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comments2.xml" ContentType="application/vnd.openxmlformats-officedocument.spreadsheetml.comments+xml"/>
  <Override PartName="/xl/charts/chart2.xml" ContentType="application/vnd.openxmlformats-officedocument.drawingml.chart+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5" yWindow="6660" windowWidth="28830" windowHeight="6705"/>
  </bookViews>
  <sheets>
    <sheet name="Q1, Q2" sheetId="1" r:id="rId1"/>
    <sheet name="Q3" sheetId="2" r:id="rId2"/>
    <sheet name="Q4" sheetId="3" r:id="rId3"/>
    <sheet name="Q5" sheetId="4" r:id="rId4"/>
    <sheet name="Q5_STS" sheetId="5" state="veryHidden" r:id="rId5"/>
    <sheet name="STS_1" sheetId="6" r:id="rId6"/>
    <sheet name="Q6" sheetId="9" r:id="rId7"/>
    <sheet name="Q6_STS" sheetId="10" state="veryHidden" r:id="rId8"/>
    <sheet name="STS_2" sheetId="12" r:id="rId9"/>
    <sheet name="Q7" sheetId="13" r:id="rId10"/>
    <sheet name="Q8" sheetId="14" r:id="rId11"/>
    <sheet name="Q9" sheetId="15" r:id="rId12"/>
  </sheets>
  <definedNames>
    <definedName name="Actual_Petite" localSheetId="1">'Q3'!$F$28:$G$28</definedName>
    <definedName name="Actual_Petite" localSheetId="2">'Q4'!$F$28:$G$28</definedName>
    <definedName name="Actual_Petite" localSheetId="3">'Q5'!$F$28:$G$28</definedName>
    <definedName name="Actual_Petite" localSheetId="6">'Q6'!$F$28:$G$28</definedName>
    <definedName name="Actual_Petite" localSheetId="9">'Q7'!$F$29:$G$29</definedName>
    <definedName name="Actual_Petite" localSheetId="10">'Q8'!$F$28:$G$28</definedName>
    <definedName name="Actual_Petite" localSheetId="11">'Q9'!$F$28:$G$28</definedName>
    <definedName name="Actual_Petite">'Q1, Q2'!$F$28:$G$28</definedName>
    <definedName name="Advertising" localSheetId="1">'Q3'!$F$21:$G$22</definedName>
    <definedName name="Advertising" localSheetId="2">'Q4'!$F$21:$G$22</definedName>
    <definedName name="Advertising" localSheetId="3">'Q5'!$F$21:$G$22</definedName>
    <definedName name="Advertising" localSheetId="6">'Q6'!$F$21:$G$22</definedName>
    <definedName name="Advertising" localSheetId="9">'Q7'!$F$22:$G$23</definedName>
    <definedName name="Advertising" localSheetId="10">'Q8'!$F$21:$G$22</definedName>
    <definedName name="Advertising" localSheetId="11">'Q9'!$F$21:$G$22</definedName>
    <definedName name="Advertising">'Q1, Q2'!$F$21:$G$22</definedName>
    <definedName name="Available" localSheetId="1">'Q3'!$J$23:$K$23</definedName>
    <definedName name="Available" localSheetId="2">'Q4'!$J$23:$K$23</definedName>
    <definedName name="Available" localSheetId="3">'Q5'!$J$23:$K$23</definedName>
    <definedName name="Available" localSheetId="6">'Q6'!$J$23:$K$23</definedName>
    <definedName name="Available" localSheetId="9">'Q7'!$J$24:$K$24</definedName>
    <definedName name="Available" localSheetId="10">'Q8'!$J$23:$K$23</definedName>
    <definedName name="Available" localSheetId="11">'Q9'!$J$23:$K$23</definedName>
    <definedName name="Available">'Q1, Q2'!$J$23:$K$23</definedName>
    <definedName name="Bottles_available" localSheetId="1">'Q3'!$B$24:$C$25</definedName>
    <definedName name="Bottles_available" localSheetId="2">'Q4'!$B$24:$C$25</definedName>
    <definedName name="Bottles_available" localSheetId="3">'Q5'!$B$24:$C$25</definedName>
    <definedName name="Bottles_available" localSheetId="6">'Q6'!$B$24:$C$25</definedName>
    <definedName name="Bottles_available" localSheetId="9">'Q7'!$B$25:$C$26</definedName>
    <definedName name="Bottles_available" localSheetId="10">'Q8'!$B$24:$C$25</definedName>
    <definedName name="Bottles_available" localSheetId="11">'Q9'!$B$24:$C$25</definedName>
    <definedName name="Bottles_available">'Q1, Q2'!$B$24:$C$25</definedName>
    <definedName name="Bottles_sold" localSheetId="1">'Q3'!$B$27:$C$28</definedName>
    <definedName name="Bottles_sold" localSheetId="2">'Q4'!$B$27:$C$28</definedName>
    <definedName name="Bottles_sold" localSheetId="3">'Q5'!$B$27:$C$28</definedName>
    <definedName name="Bottles_sold" localSheetId="6">'Q6'!$B$27:$C$28</definedName>
    <definedName name="Bottles_sold" localSheetId="9">'Q7'!$B$28:$C$29</definedName>
    <definedName name="Bottles_sold" localSheetId="10">'Q8'!$B$27:$C$28</definedName>
    <definedName name="Bottles_sold" localSheetId="11">'Q9'!$B$27:$C$28</definedName>
    <definedName name="Bottles_sold">'Q1, Q2'!$B$27:$C$28</definedName>
    <definedName name="ChartData" localSheetId="5">STS_1!$P$5:$P$10</definedName>
    <definedName name="ChartData" localSheetId="8">STS_2!$P$5:$P$9</definedName>
    <definedName name="Demand" localSheetId="1">'Q3'!$B$30:$C$31</definedName>
    <definedName name="Demand" localSheetId="2">'Q4'!$B$30:$C$31</definedName>
    <definedName name="Demand" localSheetId="3">'Q5'!$B$30:$C$31</definedName>
    <definedName name="Demand" localSheetId="6">'Q6'!$B$30:$C$31</definedName>
    <definedName name="Demand" localSheetId="9">'Q7'!$B$31:$C$32</definedName>
    <definedName name="Demand" localSheetId="10">'Q8'!$B$30:$C$31</definedName>
    <definedName name="Demand" localSheetId="11">'Q9'!$B$30:$C$31</definedName>
    <definedName name="Demand">'Q1, Q2'!$B$30:$C$31</definedName>
    <definedName name="Grapes_produced" localSheetId="1">'Q3'!$B$21:$C$22</definedName>
    <definedName name="Grapes_produced" localSheetId="2">'Q4'!$B$21:$C$22</definedName>
    <definedName name="Grapes_produced" localSheetId="3">'Q5'!$B$21:$C$22</definedName>
    <definedName name="Grapes_produced" localSheetId="6">'Q6'!$B$21:$C$22</definedName>
    <definedName name="Grapes_produced" localSheetId="9">'Q7'!$B$22:$C$23</definedName>
    <definedName name="Grapes_produced" localSheetId="10">'Q8'!$B$21:$C$22</definedName>
    <definedName name="Grapes_produced" localSheetId="11">'Q9'!$B$21:$C$22</definedName>
    <definedName name="Grapes_produced">'Q1, Q2'!$B$21:$C$22</definedName>
    <definedName name="InputValues" localSheetId="5">STS_1!$A$5:$A$10</definedName>
    <definedName name="InputValues" localSheetId="8">STS_2!$A$5:$A$9</definedName>
    <definedName name="Loan_amount">'Q7'!$D$34</definedName>
    <definedName name="Loan_payoff">'Q7'!$B$34</definedName>
    <definedName name="Max_Petite" localSheetId="1">'Q3'!$F$30:$G$30</definedName>
    <definedName name="Max_Petite" localSheetId="2">'Q4'!$F$30:$G$30</definedName>
    <definedName name="Max_Petite" localSheetId="3">'Q5'!$F$30:$G$30</definedName>
    <definedName name="Max_Petite" localSheetId="6">'Q6'!$F$30:$G$30</definedName>
    <definedName name="Max_Petite" localSheetId="9">'Q7'!$F$31:$G$31</definedName>
    <definedName name="Max_Petite" localSheetId="10">'Q8'!$F$30:$G$30</definedName>
    <definedName name="Max_Petite" localSheetId="11">'Q9'!$F$30:$G$30</definedName>
    <definedName name="Max_Petite">'Q1, Q2'!$F$30:$G$30</definedName>
    <definedName name="Min_Petite" localSheetId="1">'Q3'!$F$26:$G$26</definedName>
    <definedName name="Min_Petite" localSheetId="2">'Q4'!$F$26:$G$26</definedName>
    <definedName name="Min_Petite" localSheetId="3">'Q5'!$F$26:$G$26</definedName>
    <definedName name="Min_Petite" localSheetId="6">'Q6'!$F$26:$G$26</definedName>
    <definedName name="Min_Petite" localSheetId="9">'Q7'!$F$27:$G$27</definedName>
    <definedName name="Min_Petite" localSheetId="10">'Q8'!$F$26:$G$26</definedName>
    <definedName name="Min_Petite" localSheetId="11">'Q9'!$F$26:$G$26</definedName>
    <definedName name="Min_Petite">'Q1, Q2'!$F$26:$G$26</definedName>
    <definedName name="OutputAddresses" localSheetId="5">STS_1!$B$4:$N$4</definedName>
    <definedName name="OutputAddresses" localSheetId="8">STS_2!$B$4:$N$4</definedName>
    <definedName name="OutputValues" localSheetId="5">STS_1!$B$5:$N$10</definedName>
    <definedName name="OutputValues" localSheetId="8">STS_2!$B$5:$N$9</definedName>
    <definedName name="Profit" localSheetId="1">'Q3'!$J$25</definedName>
    <definedName name="Profit" localSheetId="2">'Q4'!$J$25</definedName>
    <definedName name="Profit" localSheetId="3">'Q5'!$J$25</definedName>
    <definedName name="Profit" localSheetId="6">'Q6'!$J$25</definedName>
    <definedName name="Profit" localSheetId="9">'Q7'!$J$26</definedName>
    <definedName name="Profit" localSheetId="10">'Q8'!$J$25</definedName>
    <definedName name="Profit" localSheetId="11">'Q9'!$J$25</definedName>
    <definedName name="Profit">'Q1, Q2'!$J$25</definedName>
    <definedName name="solver_adj" localSheetId="0" hidden="1">'Q1, Q2'!$B$21:$C$22,'Q1, Q2'!$F$21:$G$22,'Q1, Q2'!$B$27:$C$28</definedName>
    <definedName name="solver_adj" localSheetId="1" hidden="1">'Q3'!$B$21:$C$22,'Q3'!$F$21:$G$22,'Q3'!$B$27:$C$28</definedName>
    <definedName name="solver_adj" localSheetId="2" hidden="1">'Q4'!$B$21:$C$22,'Q4'!$F$21:$G$22,'Q4'!$B$27:$C$28</definedName>
    <definedName name="solver_adj" localSheetId="3" hidden="1">'Q5'!$B$21:$C$22,'Q5'!$F$21:$G$22,'Q5'!$B$27:$C$28</definedName>
    <definedName name="solver_adj" localSheetId="6" hidden="1">'Q6'!$B$21:$C$22,'Q6'!$F$21:$G$22,'Q6'!$B$27:$C$28</definedName>
    <definedName name="solver_adj" localSheetId="9" hidden="1">'Q7'!$B$22:$C$23,'Q7'!$F$22:$G$23,'Q7'!$B$28:$C$29,'Q7'!$B$34</definedName>
    <definedName name="solver_adj" localSheetId="10" hidden="1">'Q8'!$B$21:$C$22,'Q8'!$F$21:$G$22,'Q8'!$B$27:$C$28</definedName>
    <definedName name="solver_adj" localSheetId="11" hidden="1">'Q9'!$B$21:$C$22,'Q9'!$F$21:$G$22,'Q9'!$B$27:$C$28</definedName>
    <definedName name="solver_cvg" localSheetId="0" hidden="1">0.0001</definedName>
    <definedName name="solver_cvg" localSheetId="1" hidden="1">0.0001</definedName>
    <definedName name="solver_cvg" localSheetId="2" hidden="1">0.0001</definedName>
    <definedName name="solver_cvg" localSheetId="3" hidden="1">0.0001</definedName>
    <definedName name="solver_cvg" localSheetId="6" hidden="1">0.0001</definedName>
    <definedName name="solver_cvg" localSheetId="9" hidden="1">0.0001</definedName>
    <definedName name="solver_cvg" localSheetId="10" hidden="1">0.0001</definedName>
    <definedName name="solver_cvg" localSheetId="11" hidden="1">0.0001</definedName>
    <definedName name="solver_drv" localSheetId="0" hidden="1">1</definedName>
    <definedName name="solver_drv" localSheetId="1" hidden="1">1</definedName>
    <definedName name="solver_drv" localSheetId="2" hidden="1">1</definedName>
    <definedName name="solver_drv" localSheetId="3" hidden="1">1</definedName>
    <definedName name="solver_drv" localSheetId="6" hidden="1">1</definedName>
    <definedName name="solver_drv" localSheetId="9" hidden="1">1</definedName>
    <definedName name="solver_drv" localSheetId="10" hidden="1">1</definedName>
    <definedName name="solver_drv" localSheetId="11" hidden="1">1</definedName>
    <definedName name="solver_eng" localSheetId="0" hidden="1">2</definedName>
    <definedName name="solver_eng" localSheetId="1" hidden="1">2</definedName>
    <definedName name="solver_eng" localSheetId="2" hidden="1">2</definedName>
    <definedName name="solver_eng" localSheetId="3" hidden="1">2</definedName>
    <definedName name="solver_eng" localSheetId="6" hidden="1">2</definedName>
    <definedName name="solver_eng" localSheetId="9" hidden="1">2</definedName>
    <definedName name="solver_eng" localSheetId="10" hidden="1">2</definedName>
    <definedName name="solver_eng" localSheetId="11" hidden="1">2</definedName>
    <definedName name="solver_est" localSheetId="0" hidden="1">1</definedName>
    <definedName name="solver_est" localSheetId="1" hidden="1">1</definedName>
    <definedName name="solver_est" localSheetId="2" hidden="1">1</definedName>
    <definedName name="solver_est" localSheetId="3" hidden="1">1</definedName>
    <definedName name="solver_est" localSheetId="6" hidden="1">1</definedName>
    <definedName name="solver_est" localSheetId="9" hidden="1">1</definedName>
    <definedName name="solver_est" localSheetId="10" hidden="1">1</definedName>
    <definedName name="solver_est" localSheetId="11" hidden="1">1</definedName>
    <definedName name="solver_itr" localSheetId="0" hidden="1">2147483647</definedName>
    <definedName name="solver_itr" localSheetId="1" hidden="1">2147483647</definedName>
    <definedName name="solver_itr" localSheetId="2" hidden="1">2147483647</definedName>
    <definedName name="solver_itr" localSheetId="3" hidden="1">2147483647</definedName>
    <definedName name="solver_itr" localSheetId="6" hidden="1">2147483647</definedName>
    <definedName name="solver_itr" localSheetId="9" hidden="1">2147483647</definedName>
    <definedName name="solver_itr" localSheetId="10" hidden="1">2147483647</definedName>
    <definedName name="solver_itr" localSheetId="11" hidden="1">2147483647</definedName>
    <definedName name="solver_lhs1" localSheetId="0" hidden="1">'Q1, Q2'!$F$28:$G$28</definedName>
    <definedName name="solver_lhs1" localSheetId="1" hidden="1">'Q3'!$F$28:$G$28</definedName>
    <definedName name="solver_lhs1" localSheetId="2" hidden="1">'Q4'!$F$28:$G$28</definedName>
    <definedName name="solver_lhs1" localSheetId="3" hidden="1">'Q5'!$F$28:$G$28</definedName>
    <definedName name="solver_lhs1" localSheetId="6" hidden="1">'Q6'!$F$28:$G$28</definedName>
    <definedName name="solver_lhs1" localSheetId="9" hidden="1">'Q7'!$F$29:$G$29</definedName>
    <definedName name="solver_lhs1" localSheetId="10" hidden="1">'Q8'!$F$28:$G$28</definedName>
    <definedName name="solver_lhs1" localSheetId="11" hidden="1">'Q9'!$B$27:$C$28</definedName>
    <definedName name="solver_lhs2" localSheetId="0" hidden="1">'Q1, Q2'!$F$28:$G$28</definedName>
    <definedName name="solver_lhs2" localSheetId="1" hidden="1">'Q3'!$F$28:$G$28</definedName>
    <definedName name="solver_lhs2" localSheetId="2" hidden="1">'Q4'!$F$28:$G$28</definedName>
    <definedName name="solver_lhs2" localSheetId="3" hidden="1">'Q5'!$F$28:$G$28</definedName>
    <definedName name="solver_lhs2" localSheetId="6" hidden="1">'Q6'!$F$28:$G$28</definedName>
    <definedName name="solver_lhs2" localSheetId="9" hidden="1">'Q7'!$F$29:$G$29</definedName>
    <definedName name="solver_lhs2" localSheetId="10" hidden="1">'Q8'!$F$28:$G$28</definedName>
    <definedName name="solver_lhs2" localSheetId="11" hidden="1">'Q9'!$B$27:$C$28</definedName>
    <definedName name="solver_lhs3" localSheetId="0" hidden="1">'Q1, Q2'!$B$27:$C$28</definedName>
    <definedName name="solver_lhs3" localSheetId="1" hidden="1">'Q3'!$B$27:$C$28</definedName>
    <definedName name="solver_lhs3" localSheetId="2" hidden="1">'Q4'!$B$27:$C$28</definedName>
    <definedName name="solver_lhs3" localSheetId="3" hidden="1">'Q5'!$B$27:$C$28</definedName>
    <definedName name="solver_lhs3" localSheetId="6" hidden="1">'Q6'!$B$27:$C$28</definedName>
    <definedName name="solver_lhs3" localSheetId="9" hidden="1">'Q7'!$B$28:$C$29</definedName>
    <definedName name="solver_lhs3" localSheetId="10" hidden="1">'Q8'!$B$27:$C$28</definedName>
    <definedName name="solver_lhs3" localSheetId="11" hidden="1">'Q9'!$J$21:$K$21</definedName>
    <definedName name="solver_lhs4" localSheetId="0" hidden="1">'Q1, Q2'!$B$27:$C$28</definedName>
    <definedName name="solver_lhs4" localSheetId="1" hidden="1">'Q3'!$B$27:$C$28</definedName>
    <definedName name="solver_lhs4" localSheetId="2" hidden="1">'Q4'!$B$27:$C$28</definedName>
    <definedName name="solver_lhs4" localSheetId="3" hidden="1">'Q5'!$B$27:$C$28</definedName>
    <definedName name="solver_lhs4" localSheetId="6" hidden="1">'Q6'!$B$27:$C$28</definedName>
    <definedName name="solver_lhs4" localSheetId="9" hidden="1">'Q7'!$B$28:$C$29</definedName>
    <definedName name="solver_lhs4" localSheetId="10" hidden="1">'Q8'!$B$27:$C$28</definedName>
    <definedName name="solver_lhs4" localSheetId="11" hidden="1">'Q9'!$J$21:$K$21</definedName>
    <definedName name="solver_lhs5" localSheetId="0" hidden="1">'Q1, Q2'!$J$21:$K$21</definedName>
    <definedName name="solver_lhs5" localSheetId="1" hidden="1">'Q3'!$J$21:$K$21</definedName>
    <definedName name="solver_lhs5" localSheetId="2" hidden="1">'Q4'!$J$21:$K$21</definedName>
    <definedName name="solver_lhs5" localSheetId="3" hidden="1">'Q5'!$J$21:$K$21</definedName>
    <definedName name="solver_lhs5" localSheetId="6" hidden="1">'Q6'!$J$21:$K$21</definedName>
    <definedName name="solver_lhs5" localSheetId="9" hidden="1">'Q7'!$B$34</definedName>
    <definedName name="solver_lhs5" localSheetId="10" hidden="1">'Q8'!$J$21:$K$21</definedName>
    <definedName name="solver_lhs5" localSheetId="11" hidden="1">'Q9'!$J$21:$K$21</definedName>
    <definedName name="solver_lhs6" localSheetId="9" hidden="1">'Q7'!$J$22:$K$22</definedName>
    <definedName name="solver_mip" localSheetId="0" hidden="1">2147483647</definedName>
    <definedName name="solver_mip" localSheetId="1" hidden="1">2147483647</definedName>
    <definedName name="solver_mip" localSheetId="2" hidden="1">2147483647</definedName>
    <definedName name="solver_mip" localSheetId="3" hidden="1">2147483647</definedName>
    <definedName name="solver_mip" localSheetId="6" hidden="1">2147483647</definedName>
    <definedName name="solver_mip" localSheetId="9" hidden="1">2147483647</definedName>
    <definedName name="solver_mip" localSheetId="10" hidden="1">2147483647</definedName>
    <definedName name="solver_mip" localSheetId="11" hidden="1">2147483647</definedName>
    <definedName name="solver_mni" localSheetId="0" hidden="1">30</definedName>
    <definedName name="solver_mni" localSheetId="1" hidden="1">30</definedName>
    <definedName name="solver_mni" localSheetId="2" hidden="1">30</definedName>
    <definedName name="solver_mni" localSheetId="3" hidden="1">30</definedName>
    <definedName name="solver_mni" localSheetId="6" hidden="1">30</definedName>
    <definedName name="solver_mni" localSheetId="9" hidden="1">30</definedName>
    <definedName name="solver_mni" localSheetId="10" hidden="1">30</definedName>
    <definedName name="solver_mni" localSheetId="11" hidden="1">30</definedName>
    <definedName name="solver_mrt" localSheetId="0" hidden="1">0.075</definedName>
    <definedName name="solver_mrt" localSheetId="1" hidden="1">0.075</definedName>
    <definedName name="solver_mrt" localSheetId="2" hidden="1">0.075</definedName>
    <definedName name="solver_mrt" localSheetId="3" hidden="1">0.075</definedName>
    <definedName name="solver_mrt" localSheetId="6" hidden="1">0.075</definedName>
    <definedName name="solver_mrt" localSheetId="9" hidden="1">0.075</definedName>
    <definedName name="solver_mrt" localSheetId="10" hidden="1">0.075</definedName>
    <definedName name="solver_mrt" localSheetId="11" hidden="1">0.075</definedName>
    <definedName name="solver_msl" localSheetId="0" hidden="1">2</definedName>
    <definedName name="solver_msl" localSheetId="1" hidden="1">2</definedName>
    <definedName name="solver_msl" localSheetId="2" hidden="1">2</definedName>
    <definedName name="solver_msl" localSheetId="3" hidden="1">2</definedName>
    <definedName name="solver_msl" localSheetId="6" hidden="1">2</definedName>
    <definedName name="solver_msl" localSheetId="9" hidden="1">2</definedName>
    <definedName name="solver_msl" localSheetId="10" hidden="1">2</definedName>
    <definedName name="solver_msl" localSheetId="11" hidden="1">2</definedName>
    <definedName name="solver_neg" localSheetId="0" hidden="1">1</definedName>
    <definedName name="solver_neg" localSheetId="1" hidden="1">1</definedName>
    <definedName name="solver_neg" localSheetId="2" hidden="1">1</definedName>
    <definedName name="solver_neg" localSheetId="3" hidden="1">1</definedName>
    <definedName name="solver_neg" localSheetId="6" hidden="1">1</definedName>
    <definedName name="solver_neg" localSheetId="9" hidden="1">1</definedName>
    <definedName name="solver_neg" localSheetId="10" hidden="1">1</definedName>
    <definedName name="solver_neg" localSheetId="11" hidden="1">1</definedName>
    <definedName name="solver_nod" localSheetId="0" hidden="1">2147483647</definedName>
    <definedName name="solver_nod" localSheetId="1" hidden="1">2147483647</definedName>
    <definedName name="solver_nod" localSheetId="2" hidden="1">2147483647</definedName>
    <definedName name="solver_nod" localSheetId="3" hidden="1">2147483647</definedName>
    <definedName name="solver_nod" localSheetId="6" hidden="1">2147483647</definedName>
    <definedName name="solver_nod" localSheetId="9" hidden="1">2147483647</definedName>
    <definedName name="solver_nod" localSheetId="10" hidden="1">2147483647</definedName>
    <definedName name="solver_nod" localSheetId="11" hidden="1">2147483647</definedName>
    <definedName name="solver_num" localSheetId="0" hidden="1">5</definedName>
    <definedName name="solver_num" localSheetId="1" hidden="1">5</definedName>
    <definedName name="solver_num" localSheetId="2" hidden="1">5</definedName>
    <definedName name="solver_num" localSheetId="3" hidden="1">5</definedName>
    <definedName name="solver_num" localSheetId="6" hidden="1">5</definedName>
    <definedName name="solver_num" localSheetId="9" hidden="1">6</definedName>
    <definedName name="solver_num" localSheetId="10" hidden="1">5</definedName>
    <definedName name="solver_num" localSheetId="11" hidden="1">3</definedName>
    <definedName name="solver_nwt" localSheetId="0" hidden="1">1</definedName>
    <definedName name="solver_nwt" localSheetId="1" hidden="1">1</definedName>
    <definedName name="solver_nwt" localSheetId="2" hidden="1">1</definedName>
    <definedName name="solver_nwt" localSheetId="3" hidden="1">1</definedName>
    <definedName name="solver_nwt" localSheetId="6" hidden="1">1</definedName>
    <definedName name="solver_nwt" localSheetId="9" hidden="1">1</definedName>
    <definedName name="solver_nwt" localSheetId="10" hidden="1">1</definedName>
    <definedName name="solver_nwt" localSheetId="11" hidden="1">1</definedName>
    <definedName name="solver_opt" localSheetId="0" hidden="1">'Q1, Q2'!$J$25</definedName>
    <definedName name="solver_opt" localSheetId="1" hidden="1">'Q3'!$J$25</definedName>
    <definedName name="solver_opt" localSheetId="2" hidden="1">'Q4'!$J$25</definedName>
    <definedName name="solver_opt" localSheetId="3" hidden="1">'Q5'!$J$25</definedName>
    <definedName name="solver_opt" localSheetId="6" hidden="1">'Q6'!$J$25</definedName>
    <definedName name="solver_opt" localSheetId="9" hidden="1">'Q7'!$J$26</definedName>
    <definedName name="solver_opt" localSheetId="10" hidden="1">'Q8'!$J$25</definedName>
    <definedName name="solver_opt" localSheetId="11" hidden="1">'Q9'!$J$25</definedName>
    <definedName name="solver_pre" localSheetId="0" hidden="1">0.000001</definedName>
    <definedName name="solver_pre" localSheetId="1" hidden="1">0.000001</definedName>
    <definedName name="solver_pre" localSheetId="2" hidden="1">0.000001</definedName>
    <definedName name="solver_pre" localSheetId="3" hidden="1">0.000001</definedName>
    <definedName name="solver_pre" localSheetId="6" hidden="1">0.000001</definedName>
    <definedName name="solver_pre" localSheetId="9" hidden="1">0.000001</definedName>
    <definedName name="solver_pre" localSheetId="10" hidden="1">0.000001</definedName>
    <definedName name="solver_pre" localSheetId="11" hidden="1">0.000001</definedName>
    <definedName name="solver_rbv" localSheetId="0" hidden="1">1</definedName>
    <definedName name="solver_rbv" localSheetId="1" hidden="1">1</definedName>
    <definedName name="solver_rbv" localSheetId="2" hidden="1">1</definedName>
    <definedName name="solver_rbv" localSheetId="3" hidden="1">1</definedName>
    <definedName name="solver_rbv" localSheetId="6" hidden="1">1</definedName>
    <definedName name="solver_rbv" localSheetId="9" hidden="1">1</definedName>
    <definedName name="solver_rbv" localSheetId="10" hidden="1">1</definedName>
    <definedName name="solver_rbv" localSheetId="11" hidden="1">1</definedName>
    <definedName name="solver_rel1" localSheetId="0" hidden="1">1</definedName>
    <definedName name="solver_rel1" localSheetId="1" hidden="1">1</definedName>
    <definedName name="solver_rel1" localSheetId="2" hidden="1">1</definedName>
    <definedName name="solver_rel1" localSheetId="3" hidden="1">1</definedName>
    <definedName name="solver_rel1" localSheetId="6" hidden="1">1</definedName>
    <definedName name="solver_rel1" localSheetId="9" hidden="1">1</definedName>
    <definedName name="solver_rel1" localSheetId="10" hidden="1">1</definedName>
    <definedName name="solver_rel1" localSheetId="11" hidden="1">1</definedName>
    <definedName name="solver_rel2" localSheetId="0" hidden="1">3</definedName>
    <definedName name="solver_rel2" localSheetId="1" hidden="1">3</definedName>
    <definedName name="solver_rel2" localSheetId="2" hidden="1">3</definedName>
    <definedName name="solver_rel2" localSheetId="3" hidden="1">3</definedName>
    <definedName name="solver_rel2" localSheetId="6" hidden="1">3</definedName>
    <definedName name="solver_rel2" localSheetId="9" hidden="1">3</definedName>
    <definedName name="solver_rel2" localSheetId="10" hidden="1">3</definedName>
    <definedName name="solver_rel2" localSheetId="11" hidden="1">1</definedName>
    <definedName name="solver_rel3" localSheetId="0" hidden="1">1</definedName>
    <definedName name="solver_rel3" localSheetId="1" hidden="1">1</definedName>
    <definedName name="solver_rel3" localSheetId="2" hidden="1">1</definedName>
    <definedName name="solver_rel3" localSheetId="3" hidden="1">1</definedName>
    <definedName name="solver_rel3" localSheetId="6" hidden="1">1</definedName>
    <definedName name="solver_rel3" localSheetId="9" hidden="1">1</definedName>
    <definedName name="solver_rel3" localSheetId="10" hidden="1">1</definedName>
    <definedName name="solver_rel3" localSheetId="11" hidden="1">1</definedName>
    <definedName name="solver_rel4" localSheetId="0" hidden="1">1</definedName>
    <definedName name="solver_rel4" localSheetId="1" hidden="1">1</definedName>
    <definedName name="solver_rel4" localSheetId="2" hidden="1">1</definedName>
    <definedName name="solver_rel4" localSheetId="3" hidden="1">1</definedName>
    <definedName name="solver_rel4" localSheetId="6" hidden="1">1</definedName>
    <definedName name="solver_rel4" localSheetId="9" hidden="1">1</definedName>
    <definedName name="solver_rel4" localSheetId="10" hidden="1">1</definedName>
    <definedName name="solver_rel4" localSheetId="11" hidden="1">1</definedName>
    <definedName name="solver_rel5" localSheetId="0" hidden="1">1</definedName>
    <definedName name="solver_rel5" localSheetId="1" hidden="1">1</definedName>
    <definedName name="solver_rel5" localSheetId="2" hidden="1">1</definedName>
    <definedName name="solver_rel5" localSheetId="3" hidden="1">1</definedName>
    <definedName name="solver_rel5" localSheetId="6" hidden="1">1</definedName>
    <definedName name="solver_rel5" localSheetId="9" hidden="1">1</definedName>
    <definedName name="solver_rel5" localSheetId="10" hidden="1">1</definedName>
    <definedName name="solver_rel5" localSheetId="11" hidden="1">1</definedName>
    <definedName name="solver_rel6" localSheetId="9" hidden="1">1</definedName>
    <definedName name="solver_rhs1" localSheetId="0" hidden="1">Max_Petite</definedName>
    <definedName name="solver_rhs1" localSheetId="1" hidden="1">'Q3'!$F$30:$G$30</definedName>
    <definedName name="solver_rhs1" localSheetId="2" hidden="1">'Q4'!Max_Petite</definedName>
    <definedName name="solver_rhs1" localSheetId="3" hidden="1">'Q5'!Max_Petite</definedName>
    <definedName name="solver_rhs1" localSheetId="6" hidden="1">'Q6'!$F$30:$G$30</definedName>
    <definedName name="solver_rhs1" localSheetId="9" hidden="1">'Q7'!$F$31:$G$31</definedName>
    <definedName name="solver_rhs1" localSheetId="10" hidden="1">'Q8'!$F$30:$G$30</definedName>
    <definedName name="solver_rhs1" localSheetId="11" hidden="1">'Q9'!$B$24:$C$25</definedName>
    <definedName name="solver_rhs2" localSheetId="0" hidden="1">Min_Petite</definedName>
    <definedName name="solver_rhs2" localSheetId="1" hidden="1">'Q3'!$F$26:$G$26</definedName>
    <definedName name="solver_rhs2" localSheetId="2" hidden="1">'Q4'!Min_Petite</definedName>
    <definedName name="solver_rhs2" localSheetId="3" hidden="1">'Q5'!Min_Petite</definedName>
    <definedName name="solver_rhs2" localSheetId="6" hidden="1">'Q6'!$F$26:$G$26</definedName>
    <definedName name="solver_rhs2" localSheetId="9" hidden="1">'Q7'!$F$27:$G$27</definedName>
    <definedName name="solver_rhs2" localSheetId="10" hidden="1">'Q8'!$F$26:$G$26</definedName>
    <definedName name="solver_rhs2" localSheetId="11" hidden="1">'Q9'!$B$30:$C$31</definedName>
    <definedName name="solver_rhs3" localSheetId="0" hidden="1">Bottles_available</definedName>
    <definedName name="solver_rhs3" localSheetId="1" hidden="1">'Q3'!$B$24:$C$25</definedName>
    <definedName name="solver_rhs3" localSheetId="2" hidden="1">'Q4'!Bottles_available</definedName>
    <definedName name="solver_rhs3" localSheetId="3" hidden="1">'Q5'!Bottles_available</definedName>
    <definedName name="solver_rhs3" localSheetId="6" hidden="1">'Q6'!$B$24:$C$25</definedName>
    <definedName name="solver_rhs3" localSheetId="9" hidden="1">'Q7'!$B$25:$C$26</definedName>
    <definedName name="solver_rhs3" localSheetId="10" hidden="1">'Q8'!$B$24:$C$25</definedName>
    <definedName name="solver_rhs3" localSheetId="11" hidden="1">'Q9'!$J$23:$K$23</definedName>
    <definedName name="solver_rhs4" localSheetId="0" hidden="1">Demand</definedName>
    <definedName name="solver_rhs4" localSheetId="1" hidden="1">'Q3'!$B$30:$C$31</definedName>
    <definedName name="solver_rhs4" localSheetId="2" hidden="1">'Q4'!Demand</definedName>
    <definedName name="solver_rhs4" localSheetId="3" hidden="1">'Q5'!Demand</definedName>
    <definedName name="solver_rhs4" localSheetId="6" hidden="1">'Q6'!$B$30:$C$31</definedName>
    <definedName name="solver_rhs4" localSheetId="9" hidden="1">'Q7'!$B$31:$C$32</definedName>
    <definedName name="solver_rhs4" localSheetId="10" hidden="1">'Q8'!$B$30:$C$31</definedName>
    <definedName name="solver_rhs4" localSheetId="11" hidden="1">'Q9'!$J$23:$K$23</definedName>
    <definedName name="solver_rhs5" localSheetId="0" hidden="1">Available</definedName>
    <definedName name="solver_rhs5" localSheetId="1" hidden="1">'Q3'!$J$23:$K$23</definedName>
    <definedName name="solver_rhs5" localSheetId="2" hidden="1">'Q4'!Available</definedName>
    <definedName name="solver_rhs5" localSheetId="3" hidden="1">'Q5'!Available</definedName>
    <definedName name="solver_rhs5" localSheetId="6" hidden="1">'Q6'!$J$23:$K$23</definedName>
    <definedName name="solver_rhs5" localSheetId="9" hidden="1">Loan_amount</definedName>
    <definedName name="solver_rhs5" localSheetId="10" hidden="1">'Q8'!$J$23:$K$23</definedName>
    <definedName name="solver_rhs5" localSheetId="11" hidden="1">'Q9'!$J$23:$K$23</definedName>
    <definedName name="solver_rhs6" localSheetId="9" hidden="1">'Q7'!$J$24:$K$24</definedName>
    <definedName name="solver_rlx" localSheetId="0" hidden="1">2</definedName>
    <definedName name="solver_rlx" localSheetId="1" hidden="1">2</definedName>
    <definedName name="solver_rlx" localSheetId="2" hidden="1">2</definedName>
    <definedName name="solver_rlx" localSheetId="3" hidden="1">2</definedName>
    <definedName name="solver_rlx" localSheetId="6" hidden="1">2</definedName>
    <definedName name="solver_rlx" localSheetId="9" hidden="1">2</definedName>
    <definedName name="solver_rlx" localSheetId="10" hidden="1">2</definedName>
    <definedName name="solver_rlx" localSheetId="11" hidden="1">2</definedName>
    <definedName name="solver_rsd" localSheetId="0" hidden="1">0</definedName>
    <definedName name="solver_rsd" localSheetId="1" hidden="1">0</definedName>
    <definedName name="solver_rsd" localSheetId="2" hidden="1">0</definedName>
    <definedName name="solver_rsd" localSheetId="3" hidden="1">0</definedName>
    <definedName name="solver_rsd" localSheetId="6" hidden="1">0</definedName>
    <definedName name="solver_rsd" localSheetId="9" hidden="1">0</definedName>
    <definedName name="solver_rsd" localSheetId="10" hidden="1">0</definedName>
    <definedName name="solver_rsd" localSheetId="11" hidden="1">0</definedName>
    <definedName name="solver_scl" localSheetId="0" hidden="1">1</definedName>
    <definedName name="solver_scl" localSheetId="1" hidden="1">1</definedName>
    <definedName name="solver_scl" localSheetId="2" hidden="1">1</definedName>
    <definedName name="solver_scl" localSheetId="3" hidden="1">1</definedName>
    <definedName name="solver_scl" localSheetId="6" hidden="1">1</definedName>
    <definedName name="solver_scl" localSheetId="9" hidden="1">1</definedName>
    <definedName name="solver_scl" localSheetId="10" hidden="1">1</definedName>
    <definedName name="solver_scl" localSheetId="11" hidden="1">1</definedName>
    <definedName name="solver_sho" localSheetId="0" hidden="1">2</definedName>
    <definedName name="solver_sho" localSheetId="1" hidden="1">2</definedName>
    <definedName name="solver_sho" localSheetId="2" hidden="1">2</definedName>
    <definedName name="solver_sho" localSheetId="3" hidden="1">2</definedName>
    <definedName name="solver_sho" localSheetId="6" hidden="1">2</definedName>
    <definedName name="solver_sho" localSheetId="9" hidden="1">2</definedName>
    <definedName name="solver_sho" localSheetId="10" hidden="1">2</definedName>
    <definedName name="solver_sho" localSheetId="11" hidden="1">2</definedName>
    <definedName name="solver_ssz" localSheetId="0" hidden="1">100</definedName>
    <definedName name="solver_ssz" localSheetId="1" hidden="1">100</definedName>
    <definedName name="solver_ssz" localSheetId="2" hidden="1">100</definedName>
    <definedName name="solver_ssz" localSheetId="3" hidden="1">100</definedName>
    <definedName name="solver_ssz" localSheetId="6" hidden="1">100</definedName>
    <definedName name="solver_ssz" localSheetId="9" hidden="1">100</definedName>
    <definedName name="solver_ssz" localSheetId="10" hidden="1">100</definedName>
    <definedName name="solver_ssz" localSheetId="11" hidden="1">100</definedName>
    <definedName name="solver_tim" localSheetId="0" hidden="1">2147483647</definedName>
    <definedName name="solver_tim" localSheetId="1" hidden="1">2147483647</definedName>
    <definedName name="solver_tim" localSheetId="2" hidden="1">2147483647</definedName>
    <definedName name="solver_tim" localSheetId="3" hidden="1">2147483647</definedName>
    <definedName name="solver_tim" localSheetId="6" hidden="1">2147483647</definedName>
    <definedName name="solver_tim" localSheetId="9" hidden="1">2147483647</definedName>
    <definedName name="solver_tim" localSheetId="10" hidden="1">2147483647</definedName>
    <definedName name="solver_tim" localSheetId="11" hidden="1">2147483647</definedName>
    <definedName name="solver_tol" localSheetId="0" hidden="1">0.01</definedName>
    <definedName name="solver_tol" localSheetId="1" hidden="1">0.01</definedName>
    <definedName name="solver_tol" localSheetId="2" hidden="1">0.01</definedName>
    <definedName name="solver_tol" localSheetId="3" hidden="1">0.01</definedName>
    <definedName name="solver_tol" localSheetId="6" hidden="1">0.01</definedName>
    <definedName name="solver_tol" localSheetId="9" hidden="1">0.01</definedName>
    <definedName name="solver_tol" localSheetId="10" hidden="1">0.01</definedName>
    <definedName name="solver_tol" localSheetId="11" hidden="1">0.01</definedName>
    <definedName name="solver_typ" localSheetId="0" hidden="1">1</definedName>
    <definedName name="solver_typ" localSheetId="1" hidden="1">1</definedName>
    <definedName name="solver_typ" localSheetId="2" hidden="1">1</definedName>
    <definedName name="solver_typ" localSheetId="3" hidden="1">1</definedName>
    <definedName name="solver_typ" localSheetId="6" hidden="1">1</definedName>
    <definedName name="solver_typ" localSheetId="9" hidden="1">1</definedName>
    <definedName name="solver_typ" localSheetId="10" hidden="1">1</definedName>
    <definedName name="solver_typ" localSheetId="11" hidden="1">1</definedName>
    <definedName name="solver_val" localSheetId="0" hidden="1">0</definedName>
    <definedName name="solver_val" localSheetId="1" hidden="1">0</definedName>
    <definedName name="solver_val" localSheetId="2" hidden="1">0</definedName>
    <definedName name="solver_val" localSheetId="3" hidden="1">0</definedName>
    <definedName name="solver_val" localSheetId="6" hidden="1">0</definedName>
    <definedName name="solver_val" localSheetId="9" hidden="1">0</definedName>
    <definedName name="solver_val" localSheetId="10" hidden="1">0</definedName>
    <definedName name="solver_val" localSheetId="11" hidden="1">0</definedName>
    <definedName name="solver_ver" localSheetId="0" hidden="1">3</definedName>
    <definedName name="solver_ver" localSheetId="1" hidden="1">3</definedName>
    <definedName name="solver_ver" localSheetId="2" hidden="1">3</definedName>
    <definedName name="solver_ver" localSheetId="3" hidden="1">3</definedName>
    <definedName name="solver_ver" localSheetId="6" hidden="1">3</definedName>
    <definedName name="solver_ver" localSheetId="9" hidden="1">3</definedName>
    <definedName name="solver_ver" localSheetId="10" hidden="1">3</definedName>
    <definedName name="solver_ver" localSheetId="11" hidden="1">3</definedName>
    <definedName name="Spent" localSheetId="1">'Q3'!$J$21:$K$21</definedName>
    <definedName name="Spent" localSheetId="2">'Q4'!$J$21:$K$21</definedName>
    <definedName name="Spent" localSheetId="3">'Q5'!$J$21:$K$21</definedName>
    <definedName name="Spent" localSheetId="6">'Q6'!$J$21:$K$21</definedName>
    <definedName name="Spent" localSheetId="9">'Q7'!$J$22:$K$22</definedName>
    <definedName name="Spent" localSheetId="10">'Q8'!$J$21:$K$21</definedName>
    <definedName name="Spent" localSheetId="11">'Q9'!$J$21:$K$21</definedName>
    <definedName name="Spent">'Q1, Q2'!$J$21:$K$21</definedName>
  </definedNames>
  <calcPr calcId="144525" iterate="1"/>
</workbook>
</file>

<file path=xl/calcChain.xml><?xml version="1.0" encoding="utf-8"?>
<calcChain xmlns="http://schemas.openxmlformats.org/spreadsheetml/2006/main">
  <c r="J26" i="13" l="1"/>
  <c r="D34" i="13"/>
  <c r="J24" i="13"/>
  <c r="C31" i="15"/>
  <c r="B31" i="15"/>
  <c r="C30" i="15"/>
  <c r="B30" i="15"/>
  <c r="J25" i="15"/>
  <c r="B25" i="15"/>
  <c r="C25" i="15" s="1"/>
  <c r="B24" i="15"/>
  <c r="C24" i="15" s="1"/>
  <c r="J23" i="15"/>
  <c r="K21" i="15"/>
  <c r="J21" i="15"/>
  <c r="C31" i="14"/>
  <c r="B31" i="14"/>
  <c r="G30" i="14"/>
  <c r="F30" i="14"/>
  <c r="C30" i="14"/>
  <c r="B30" i="14"/>
  <c r="G28" i="14"/>
  <c r="F28" i="14"/>
  <c r="G26" i="14"/>
  <c r="F26" i="14"/>
  <c r="J25" i="14"/>
  <c r="B25" i="14"/>
  <c r="C25" i="14" s="1"/>
  <c r="B24" i="14"/>
  <c r="C24" i="14" s="1"/>
  <c r="J23" i="14"/>
  <c r="K21" i="14"/>
  <c r="J21" i="14"/>
  <c r="C32" i="13"/>
  <c r="B32" i="13"/>
  <c r="G31" i="13"/>
  <c r="F31" i="13"/>
  <c r="C31" i="13"/>
  <c r="B31" i="13"/>
  <c r="G29" i="13"/>
  <c r="F29" i="13"/>
  <c r="G27" i="13"/>
  <c r="F27" i="13"/>
  <c r="B26" i="13"/>
  <c r="C26" i="13" s="1"/>
  <c r="B25" i="13"/>
  <c r="C25" i="13" s="1"/>
  <c r="K22" i="13"/>
  <c r="J22" i="13"/>
  <c r="K24" i="13" s="1"/>
  <c r="P1" i="12"/>
  <c r="O4" i="12"/>
  <c r="P8" i="12" s="1"/>
  <c r="G14" i="9"/>
  <c r="F14" i="9"/>
  <c r="J25" i="9" s="1"/>
  <c r="C31" i="9"/>
  <c r="B31" i="9"/>
  <c r="G30" i="9"/>
  <c r="F30" i="9"/>
  <c r="C30" i="9"/>
  <c r="B30" i="9"/>
  <c r="G28" i="9"/>
  <c r="F28" i="9"/>
  <c r="G26" i="9"/>
  <c r="F26" i="9"/>
  <c r="B25" i="9"/>
  <c r="C25" i="9" s="1"/>
  <c r="B24" i="9"/>
  <c r="C24" i="9" s="1"/>
  <c r="J23" i="9"/>
  <c r="K21" i="9"/>
  <c r="J21" i="9"/>
  <c r="P1" i="6"/>
  <c r="O4" i="6"/>
  <c r="P10" i="6" s="1"/>
  <c r="B7" i="4"/>
  <c r="C7" i="4"/>
  <c r="B8" i="4"/>
  <c r="C8" i="4"/>
  <c r="C31" i="4"/>
  <c r="B31" i="4"/>
  <c r="G30" i="4"/>
  <c r="F30" i="4"/>
  <c r="C30" i="4"/>
  <c r="B30" i="4"/>
  <c r="G28" i="4"/>
  <c r="F28" i="4"/>
  <c r="G26" i="4"/>
  <c r="F26" i="4"/>
  <c r="B25" i="4"/>
  <c r="C25" i="4" s="1"/>
  <c r="B24" i="4"/>
  <c r="C24" i="4" s="1"/>
  <c r="J23" i="4"/>
  <c r="J21" i="4"/>
  <c r="J25" i="3"/>
  <c r="C31" i="3"/>
  <c r="B31" i="3"/>
  <c r="G30" i="3"/>
  <c r="F30" i="3"/>
  <c r="C30" i="3"/>
  <c r="B30" i="3"/>
  <c r="G28" i="3"/>
  <c r="F28" i="3"/>
  <c r="G26" i="3"/>
  <c r="F26" i="3"/>
  <c r="B25" i="3"/>
  <c r="C25" i="3" s="1"/>
  <c r="B24" i="3"/>
  <c r="C24" i="3" s="1"/>
  <c r="J23" i="3"/>
  <c r="K23" i="3" s="1"/>
  <c r="K21" i="3"/>
  <c r="J21" i="3"/>
  <c r="C31" i="2"/>
  <c r="B31" i="2"/>
  <c r="G30" i="2"/>
  <c r="F30" i="2"/>
  <c r="C30" i="2"/>
  <c r="B30" i="2"/>
  <c r="G28" i="2"/>
  <c r="F28" i="2"/>
  <c r="G26" i="2"/>
  <c r="F26" i="2"/>
  <c r="J25" i="2"/>
  <c r="B25" i="2"/>
  <c r="C25" i="2" s="1"/>
  <c r="B24" i="2"/>
  <c r="C24" i="2" s="1"/>
  <c r="J23" i="2"/>
  <c r="K21" i="2"/>
  <c r="J21" i="2"/>
  <c r="J25" i="1"/>
  <c r="B24" i="1"/>
  <c r="C24" i="1" s="1"/>
  <c r="B25" i="1"/>
  <c r="C25" i="1" s="1"/>
  <c r="B30" i="1"/>
  <c r="C30" i="1"/>
  <c r="B31" i="1"/>
  <c r="C31" i="1"/>
  <c r="G30" i="1"/>
  <c r="F30" i="1"/>
  <c r="G26" i="1"/>
  <c r="F26" i="1"/>
  <c r="J21" i="1"/>
  <c r="K21" i="1"/>
  <c r="J23" i="1"/>
  <c r="K23" i="15" l="1"/>
  <c r="K23" i="14"/>
  <c r="P5" i="12"/>
  <c r="P7" i="12"/>
  <c r="P9" i="12"/>
  <c r="P6" i="12"/>
  <c r="K23" i="9"/>
  <c r="P5" i="6"/>
  <c r="P9" i="6"/>
  <c r="P7" i="6"/>
  <c r="P6" i="6"/>
  <c r="P8" i="6"/>
  <c r="J25" i="4"/>
  <c r="K21" i="4"/>
  <c r="K23" i="4"/>
  <c r="K23" i="2"/>
  <c r="K23" i="1"/>
  <c r="F28" i="1"/>
  <c r="G28" i="1"/>
</calcChain>
</file>

<file path=xl/comments1.xml><?xml version="1.0" encoding="utf-8"?>
<comments xmlns="http://schemas.openxmlformats.org/spreadsheetml/2006/main">
  <authors>
    <author xml:space="preserve"> Chris Albright</author>
  </authors>
  <commentList>
    <comment ref="B5" authorId="0">
      <text>
        <r>
          <rPr>
            <sz val="8"/>
            <color indexed="81"/>
            <rFont val="Tahoma"/>
            <family val="2"/>
          </rPr>
          <t>Solver found a solution. All constraints and optimality conditions are satisfied.</t>
        </r>
      </text>
    </comment>
    <comment ref="B6" authorId="0">
      <text>
        <r>
          <rPr>
            <sz val="8"/>
            <color indexed="81"/>
            <rFont val="Tahoma"/>
            <family val="2"/>
          </rPr>
          <t>Solver found a solution. All constraints and optimality conditions are satisfied.</t>
        </r>
      </text>
    </comment>
    <comment ref="B7" authorId="0">
      <text>
        <r>
          <rPr>
            <sz val="8"/>
            <color indexed="81"/>
            <rFont val="Tahoma"/>
            <family val="2"/>
          </rPr>
          <t>Solver found a solution. All constraints and optimality conditions are satisfied.</t>
        </r>
      </text>
    </comment>
    <comment ref="B8" authorId="0">
      <text>
        <r>
          <rPr>
            <sz val="8"/>
            <color indexed="81"/>
            <rFont val="Tahoma"/>
            <family val="2"/>
          </rPr>
          <t>Solver found a solution. All constraints and optimality conditions are satisfied.</t>
        </r>
      </text>
    </comment>
    <comment ref="B9" authorId="0">
      <text>
        <r>
          <rPr>
            <sz val="8"/>
            <color indexed="81"/>
            <rFont val="Tahoma"/>
            <family val="2"/>
          </rPr>
          <t>Solver found a solution. All constraints and optimality conditions are satisfied.</t>
        </r>
      </text>
    </comment>
    <comment ref="B10" authorId="0">
      <text>
        <r>
          <rPr>
            <sz val="8"/>
            <color indexed="81"/>
            <rFont val="Tahoma"/>
            <family val="2"/>
          </rPr>
          <t>Solver found a solution. All constraints and optimality conditions are satisfied.</t>
        </r>
      </text>
    </comment>
  </commentList>
</comments>
</file>

<file path=xl/comments2.xml><?xml version="1.0" encoding="utf-8"?>
<comments xmlns="http://schemas.openxmlformats.org/spreadsheetml/2006/main">
  <authors>
    <author xml:space="preserve"> Chris Albright</author>
  </authors>
  <commentList>
    <comment ref="B5" authorId="0">
      <text>
        <r>
          <rPr>
            <sz val="8"/>
            <color indexed="81"/>
            <rFont val="Tahoma"/>
            <family val="2"/>
          </rPr>
          <t>Solver found a solution. All constraints and optimality conditions are satisfied.</t>
        </r>
      </text>
    </comment>
    <comment ref="B6" authorId="0">
      <text>
        <r>
          <rPr>
            <sz val="8"/>
            <color indexed="81"/>
            <rFont val="Tahoma"/>
            <family val="2"/>
          </rPr>
          <t>Solver found a solution. All constraints and optimality conditions are satisfied.</t>
        </r>
      </text>
    </comment>
    <comment ref="B7" authorId="0">
      <text>
        <r>
          <rPr>
            <sz val="8"/>
            <color indexed="81"/>
            <rFont val="Tahoma"/>
            <family val="2"/>
          </rPr>
          <t>Solver found a solution. All constraints and optimality conditions are satisfied.</t>
        </r>
      </text>
    </comment>
    <comment ref="B8" authorId="0">
      <text>
        <r>
          <rPr>
            <sz val="8"/>
            <color indexed="81"/>
            <rFont val="Tahoma"/>
            <family val="2"/>
          </rPr>
          <t>Solver found a solution. All constraints and optimality conditions are satisfied.</t>
        </r>
      </text>
    </comment>
    <comment ref="B9" authorId="0">
      <text>
        <r>
          <rPr>
            <sz val="8"/>
            <color indexed="81"/>
            <rFont val="Tahoma"/>
            <family val="2"/>
          </rPr>
          <t>Solver found a solution. All constraints and optimality conditions are satisfied.</t>
        </r>
      </text>
    </comment>
  </commentList>
</comments>
</file>

<file path=xl/sharedStrings.xml><?xml version="1.0" encoding="utf-8"?>
<sst xmlns="http://schemas.openxmlformats.org/spreadsheetml/2006/main" count="510" uniqueCount="61">
  <si>
    <t>Sonoma Valley Wines</t>
  </si>
  <si>
    <t>Costs of grapes per bottle</t>
  </si>
  <si>
    <t>Petite Sirah</t>
  </si>
  <si>
    <t>Sauvignon Blanc</t>
  </si>
  <si>
    <t>Year 1</t>
  </si>
  <si>
    <t>Year 2</t>
  </si>
  <si>
    <t>Selling prices per bottle</t>
  </si>
  <si>
    <t>Cash in year 1</t>
  </si>
  <si>
    <t>Percentage constraints on Petite Sirah sold each year</t>
  </si>
  <si>
    <t>Min</t>
  </si>
  <si>
    <t>Max</t>
  </si>
  <si>
    <t>Dollars on advertising</t>
  </si>
  <si>
    <t>Demand created (bottles) per dollar of advertising</t>
  </si>
  <si>
    <t>Percentage constraints on Petite Sirah</t>
  </si>
  <si>
    <t>Actual</t>
  </si>
  <si>
    <t>&lt;=</t>
  </si>
  <si>
    <t>Cash constraints</t>
  </si>
  <si>
    <t>Spent</t>
  </si>
  <si>
    <t>Available</t>
  </si>
  <si>
    <t>Profit</t>
  </si>
  <si>
    <t>&gt;=</t>
  </si>
  <si>
    <t>Petite Sirah sold</t>
  </si>
  <si>
    <t>Sauvignon Blanc sold</t>
  </si>
  <si>
    <t>Petite Sirah produced</t>
  </si>
  <si>
    <t>Sauvignon Blanc produced</t>
  </si>
  <si>
    <t>Petite Sirah available</t>
  </si>
  <si>
    <t>Sauvignon Blanc available</t>
  </si>
  <si>
    <t>Petite Sirah demand</t>
  </si>
  <si>
    <t>Sauvignon Blanc demand</t>
  </si>
  <si>
    <t>Production, sales plan</t>
  </si>
  <si>
    <t>Holding cost per bottle each year</t>
  </si>
  <si>
    <t>Original costs of grapes per bottle</t>
  </si>
  <si>
    <t>Percentage increase</t>
  </si>
  <si>
    <t>$J$10</t>
  </si>
  <si>
    <t>$B$21:$C$22,$F$21:$G$22,$B$27:$C$28,$J$25</t>
  </si>
  <si>
    <t>Pct cost increase</t>
  </si>
  <si>
    <t>Oneway analysis for Solver model in Q5 worksheet</t>
  </si>
  <si>
    <t>Pct cost increase (cell $J$10) values along side, output cell(s) along top</t>
  </si>
  <si>
    <t>Grapes_produced_1</t>
  </si>
  <si>
    <t>Grapes_produced_2</t>
  </si>
  <si>
    <t>Grapes_produced_3</t>
  </si>
  <si>
    <t>Grapes_produced_4</t>
  </si>
  <si>
    <t>Advertising_1</t>
  </si>
  <si>
    <t>Advertising_2</t>
  </si>
  <si>
    <t>Advertising_3</t>
  </si>
  <si>
    <t>Advertising_4</t>
  </si>
  <si>
    <t>Bottles_sold_1</t>
  </si>
  <si>
    <t>Bottles_sold_2</t>
  </si>
  <si>
    <t>Bottles_sold_3</t>
  </si>
  <si>
    <t>Bottles_sold_4</t>
  </si>
  <si>
    <t>Data for chart</t>
  </si>
  <si>
    <t>Discount rate</t>
  </si>
  <si>
    <t>$F$11</t>
  </si>
  <si>
    <t>Oneway analysis for Solver model in Q6 worksheet</t>
  </si>
  <si>
    <t>Discount rate (cell $F$11) values along side, output cell(s) along top</t>
  </si>
  <si>
    <t>Discount factor</t>
  </si>
  <si>
    <t>Year 1 end</t>
  </si>
  <si>
    <t>Year 2 end</t>
  </si>
  <si>
    <t>Extra cash from bank</t>
  </si>
  <si>
    <t>Bank's interest</t>
  </si>
  <si>
    <t>Loan paid off at end of year 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</si>
</sst>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quot;$&quot;#,##0.00"/>
    <numFmt numFmtId="165" formatCode="&quot;$&quot;#,##0"/>
    <numFmt numFmtId="169" formatCode="0.0000"/>
  </numFmts>
  <fonts count="4" x14ac:knownFonts="1">
    <font>
      <sz val="11"/>
      <color theme="1"/>
      <name val="Calibri"/>
      <family val="2"/>
      <scheme val="minor"/>
    </font>
    <font>
      <b/>
      <sz val="11"/>
      <color theme="1"/>
      <name val="Calibri"/>
      <family val="2"/>
      <scheme val="minor"/>
    </font>
    <font>
      <sz val="11"/>
      <color rgb="FFFFFFFF"/>
      <name val="Calibri"/>
      <family val="2"/>
      <scheme val="minor"/>
    </font>
    <font>
      <sz val="8"/>
      <color indexed="81"/>
      <name val="Tahoma"/>
      <family val="2"/>
    </font>
  </fonts>
  <fills count="7">
    <fill>
      <patternFill patternType="none"/>
    </fill>
    <fill>
      <patternFill patternType="gray125"/>
    </fill>
    <fill>
      <patternFill patternType="solid">
        <fgColor theme="4" tint="0.59999389629810485"/>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rgb="FFFFFF99"/>
        <bgColor indexed="64"/>
      </patternFill>
    </fill>
  </fills>
  <borders count="9">
    <border>
      <left/>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37">
    <xf numFmtId="0" fontId="0" fillId="0" borderId="0" xfId="0"/>
    <xf numFmtId="0" fontId="1" fillId="0" borderId="0" xfId="0" applyFont="1"/>
    <xf numFmtId="0" fontId="0" fillId="0" borderId="0" xfId="0" applyAlignment="1">
      <alignment horizontal="right"/>
    </xf>
    <xf numFmtId="164" fontId="0" fillId="2" borderId="0" xfId="0" applyNumberFormat="1" applyFill="1"/>
    <xf numFmtId="165" fontId="0" fillId="2" borderId="0" xfId="0" applyNumberFormat="1" applyFill="1"/>
    <xf numFmtId="0" fontId="0" fillId="2" borderId="0" xfId="0" applyFill="1"/>
    <xf numFmtId="9" fontId="0" fillId="0" borderId="0" xfId="0" applyNumberFormat="1"/>
    <xf numFmtId="165" fontId="0" fillId="0" borderId="0" xfId="0" applyNumberFormat="1"/>
    <xf numFmtId="165" fontId="0" fillId="0" borderId="0" xfId="0" applyNumberFormat="1" applyAlignment="1">
      <alignment horizontal="right"/>
    </xf>
    <xf numFmtId="165" fontId="0" fillId="4" borderId="0" xfId="0" applyNumberFormat="1" applyFill="1"/>
    <xf numFmtId="1" fontId="0" fillId="3" borderId="0" xfId="0" applyNumberFormat="1" applyFill="1"/>
    <xf numFmtId="1" fontId="0" fillId="0" borderId="0" xfId="0" applyNumberFormat="1"/>
    <xf numFmtId="1" fontId="0" fillId="0" borderId="0" xfId="0" applyNumberFormat="1" applyAlignment="1">
      <alignment horizontal="right"/>
    </xf>
    <xf numFmtId="165" fontId="0" fillId="3" borderId="0" xfId="0" applyNumberFormat="1" applyFill="1"/>
    <xf numFmtId="164" fontId="0" fillId="6" borderId="0" xfId="0" applyNumberFormat="1" applyFill="1"/>
    <xf numFmtId="0" fontId="0" fillId="6" borderId="0" xfId="0" applyFill="1"/>
    <xf numFmtId="164" fontId="0" fillId="0" borderId="0" xfId="0" applyNumberFormat="1" applyFill="1"/>
    <xf numFmtId="49" fontId="0" fillId="0" borderId="0" xfId="0" applyNumberFormat="1"/>
    <xf numFmtId="0" fontId="0" fillId="0" borderId="0" xfId="0" applyAlignment="1">
      <alignment horizontal="right" textRotation="90"/>
    </xf>
    <xf numFmtId="0" fontId="0" fillId="5" borderId="0" xfId="0" applyFill="1" applyAlignment="1">
      <alignment horizontal="right" textRotation="90"/>
    </xf>
    <xf numFmtId="0" fontId="2" fillId="0" borderId="0" xfId="0" applyFont="1"/>
    <xf numFmtId="1" fontId="0" fillId="0" borderId="3" xfId="0" applyNumberFormat="1" applyBorder="1"/>
    <xf numFmtId="1" fontId="0" fillId="0" borderId="4" xfId="0" applyNumberFormat="1" applyBorder="1"/>
    <xf numFmtId="165" fontId="0" fillId="0" borderId="4" xfId="0" applyNumberFormat="1" applyBorder="1"/>
    <xf numFmtId="165" fontId="0" fillId="0" borderId="5" xfId="0" applyNumberFormat="1" applyBorder="1"/>
    <xf numFmtId="1" fontId="0" fillId="0" borderId="1" xfId="0" applyNumberFormat="1" applyBorder="1"/>
    <xf numFmtId="1" fontId="0" fillId="0" borderId="0" xfId="0" applyNumberFormat="1" applyBorder="1"/>
    <xf numFmtId="165" fontId="0" fillId="0" borderId="0" xfId="0" applyNumberFormat="1" applyBorder="1"/>
    <xf numFmtId="165" fontId="0" fillId="0" borderId="2" xfId="0" applyNumberFormat="1" applyBorder="1"/>
    <xf numFmtId="1" fontId="0" fillId="0" borderId="6" xfId="0" applyNumberFormat="1" applyBorder="1"/>
    <xf numFmtId="1" fontId="0" fillId="0" borderId="7" xfId="0" applyNumberFormat="1" applyBorder="1"/>
    <xf numFmtId="165" fontId="0" fillId="0" borderId="7" xfId="0" applyNumberFormat="1" applyBorder="1"/>
    <xf numFmtId="165" fontId="0" fillId="0" borderId="8" xfId="0" applyNumberFormat="1" applyBorder="1"/>
    <xf numFmtId="9" fontId="0" fillId="6" borderId="0" xfId="0" applyNumberFormat="1" applyFill="1"/>
    <xf numFmtId="169" fontId="0" fillId="0" borderId="0" xfId="0" applyNumberFormat="1"/>
    <xf numFmtId="165" fontId="0" fillId="6" borderId="0" xfId="0" applyNumberFormat="1" applyFill="1"/>
    <xf numFmtId="0" fontId="0" fillId="0" borderId="0" xfId="0"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STS_1!$P$1</c:f>
          <c:strCache>
            <c:ptCount val="1"/>
            <c:pt idx="0">
              <c:v>Sensitivity of Profit to Pct cost increase</c:v>
            </c:pt>
          </c:strCache>
        </c:strRef>
      </c:tx>
      <c:layout/>
      <c:overlay val="0"/>
      <c:txPr>
        <a:bodyPr/>
        <a:lstStyle/>
        <a:p>
          <a:pPr>
            <a:defRPr sz="1400"/>
          </a:pPr>
          <a:endParaRPr lang="en-US"/>
        </a:p>
      </c:txPr>
    </c:title>
    <c:autoTitleDeleted val="0"/>
    <c:plotArea>
      <c:layout/>
      <c:lineChart>
        <c:grouping val="standard"/>
        <c:varyColors val="0"/>
        <c:ser>
          <c:idx val="0"/>
          <c:order val="0"/>
          <c:cat>
            <c:numRef>
              <c:f>STS_1!$A$5:$A$10</c:f>
              <c:numCache>
                <c:formatCode>0%</c:formatCode>
                <c:ptCount val="6"/>
                <c:pt idx="0">
                  <c:v>0.5</c:v>
                </c:pt>
                <c:pt idx="1">
                  <c:v>0.60000002384185791</c:v>
                </c:pt>
                <c:pt idx="2">
                  <c:v>0.69999998807907104</c:v>
                </c:pt>
                <c:pt idx="3">
                  <c:v>0.80000001192092896</c:v>
                </c:pt>
                <c:pt idx="4">
                  <c:v>0.89999997615814209</c:v>
                </c:pt>
                <c:pt idx="5">
                  <c:v>1</c:v>
                </c:pt>
              </c:numCache>
            </c:numRef>
          </c:cat>
          <c:val>
            <c:numRef>
              <c:f>STS_1!$P$5:$P$10</c:f>
              <c:numCache>
                <c:formatCode>General</c:formatCode>
                <c:ptCount val="6"/>
                <c:pt idx="0">
                  <c:v>339877.42</c:v>
                </c:pt>
                <c:pt idx="1">
                  <c:v>302055.09000000003</c:v>
                </c:pt>
                <c:pt idx="2">
                  <c:v>270050.06</c:v>
                </c:pt>
                <c:pt idx="3">
                  <c:v>242727.71</c:v>
                </c:pt>
                <c:pt idx="4">
                  <c:v>219217.19</c:v>
                </c:pt>
                <c:pt idx="5">
                  <c:v>198841.03</c:v>
                </c:pt>
              </c:numCache>
            </c:numRef>
          </c:val>
          <c:smooth val="0"/>
        </c:ser>
        <c:dLbls>
          <c:showLegendKey val="0"/>
          <c:showVal val="0"/>
          <c:showCatName val="0"/>
          <c:showSerName val="0"/>
          <c:showPercent val="0"/>
          <c:showBubbleSize val="0"/>
        </c:dLbls>
        <c:marker val="1"/>
        <c:smooth val="0"/>
        <c:axId val="273590144"/>
        <c:axId val="273591680"/>
      </c:lineChart>
      <c:catAx>
        <c:axId val="273590144"/>
        <c:scaling>
          <c:orientation val="minMax"/>
        </c:scaling>
        <c:delete val="0"/>
        <c:axPos val="b"/>
        <c:title>
          <c:tx>
            <c:rich>
              <a:bodyPr/>
              <a:lstStyle/>
              <a:p>
                <a:pPr>
                  <a:defRPr/>
                </a:pPr>
                <a:r>
                  <a:rPr lang="en-US"/>
                  <a:t>Pct cost increase ($J$10)</a:t>
                </a:r>
              </a:p>
            </c:rich>
          </c:tx>
          <c:layout/>
          <c:overlay val="0"/>
        </c:title>
        <c:numFmt formatCode="0%" sourceLinked="1"/>
        <c:majorTickMark val="out"/>
        <c:minorTickMark val="none"/>
        <c:tickLblPos val="nextTo"/>
        <c:crossAx val="273591680"/>
        <c:crosses val="autoZero"/>
        <c:auto val="1"/>
        <c:lblAlgn val="ctr"/>
        <c:lblOffset val="100"/>
        <c:noMultiLvlLbl val="0"/>
      </c:catAx>
      <c:valAx>
        <c:axId val="273591680"/>
        <c:scaling>
          <c:orientation val="minMax"/>
        </c:scaling>
        <c:delete val="0"/>
        <c:axPos val="l"/>
        <c:majorGridlines/>
        <c:numFmt formatCode="General" sourceLinked="1"/>
        <c:majorTickMark val="out"/>
        <c:minorTickMark val="none"/>
        <c:tickLblPos val="nextTo"/>
        <c:crossAx val="273590144"/>
        <c:crosses val="autoZero"/>
        <c:crossBetween val="between"/>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STS_2!$P$1</c:f>
          <c:strCache>
            <c:ptCount val="1"/>
            <c:pt idx="0">
              <c:v>Sensitivity of Profit to Discount rate</c:v>
            </c:pt>
          </c:strCache>
        </c:strRef>
      </c:tx>
      <c:layout/>
      <c:overlay val="0"/>
      <c:txPr>
        <a:bodyPr/>
        <a:lstStyle/>
        <a:p>
          <a:pPr>
            <a:defRPr sz="1400"/>
          </a:pPr>
          <a:endParaRPr lang="en-US"/>
        </a:p>
      </c:txPr>
    </c:title>
    <c:autoTitleDeleted val="0"/>
    <c:plotArea>
      <c:layout/>
      <c:lineChart>
        <c:grouping val="standard"/>
        <c:varyColors val="0"/>
        <c:ser>
          <c:idx val="0"/>
          <c:order val="0"/>
          <c:cat>
            <c:numRef>
              <c:f>STS_2!$A$5:$A$9</c:f>
              <c:numCache>
                <c:formatCode>0%</c:formatCode>
                <c:ptCount val="5"/>
                <c:pt idx="0">
                  <c:v>5.9999998658895493E-2</c:v>
                </c:pt>
                <c:pt idx="1">
                  <c:v>7.0000000298023224E-2</c:v>
                </c:pt>
                <c:pt idx="2">
                  <c:v>7.9999998211860657E-2</c:v>
                </c:pt>
                <c:pt idx="3">
                  <c:v>8.999999612569809E-2</c:v>
                </c:pt>
                <c:pt idx="4">
                  <c:v>9.9999994039535522E-2</c:v>
                </c:pt>
              </c:numCache>
            </c:numRef>
          </c:cat>
          <c:val>
            <c:numRef>
              <c:f>STS_2!$P$5:$P$9</c:f>
              <c:numCache>
                <c:formatCode>General</c:formatCode>
                <c:ptCount val="5"/>
                <c:pt idx="0">
                  <c:v>615351.18000000005</c:v>
                </c:pt>
                <c:pt idx="1">
                  <c:v>603717</c:v>
                </c:pt>
                <c:pt idx="2">
                  <c:v>592404.47999999998</c:v>
                </c:pt>
                <c:pt idx="3">
                  <c:v>581401.9</c:v>
                </c:pt>
                <c:pt idx="4">
                  <c:v>570698.01</c:v>
                </c:pt>
              </c:numCache>
            </c:numRef>
          </c:val>
          <c:smooth val="0"/>
        </c:ser>
        <c:dLbls>
          <c:showLegendKey val="0"/>
          <c:showVal val="0"/>
          <c:showCatName val="0"/>
          <c:showSerName val="0"/>
          <c:showPercent val="0"/>
          <c:showBubbleSize val="0"/>
        </c:dLbls>
        <c:marker val="1"/>
        <c:smooth val="0"/>
        <c:axId val="285121152"/>
        <c:axId val="285598464"/>
      </c:lineChart>
      <c:catAx>
        <c:axId val="285121152"/>
        <c:scaling>
          <c:orientation val="minMax"/>
        </c:scaling>
        <c:delete val="0"/>
        <c:axPos val="b"/>
        <c:title>
          <c:tx>
            <c:rich>
              <a:bodyPr/>
              <a:lstStyle/>
              <a:p>
                <a:pPr>
                  <a:defRPr/>
                </a:pPr>
                <a:r>
                  <a:rPr lang="en-US"/>
                  <a:t>Discount rate ($F$11)</a:t>
                </a:r>
              </a:p>
            </c:rich>
          </c:tx>
          <c:layout/>
          <c:overlay val="0"/>
        </c:title>
        <c:numFmt formatCode="0%" sourceLinked="1"/>
        <c:majorTickMark val="out"/>
        <c:minorTickMark val="none"/>
        <c:tickLblPos val="nextTo"/>
        <c:crossAx val="285598464"/>
        <c:crosses val="autoZero"/>
        <c:auto val="1"/>
        <c:lblAlgn val="ctr"/>
        <c:lblOffset val="100"/>
        <c:noMultiLvlLbl val="0"/>
      </c:catAx>
      <c:valAx>
        <c:axId val="285598464"/>
        <c:scaling>
          <c:orientation val="minMax"/>
        </c:scaling>
        <c:delete val="0"/>
        <c:axPos val="l"/>
        <c:majorGridlines/>
        <c:numFmt formatCode="General" sourceLinked="1"/>
        <c:majorTickMark val="out"/>
        <c:minorTickMark val="none"/>
        <c:tickLblPos val="nextTo"/>
        <c:crossAx val="285121152"/>
        <c:crosses val="autoZero"/>
        <c:crossBetween val="between"/>
      </c:valAx>
    </c:plotArea>
    <c:plotVisOnly val="1"/>
    <c:dispBlanksAs val="gap"/>
    <c:showDLblsOverMax val="0"/>
  </c:chart>
  <c:printSettings>
    <c:headerFooter/>
    <c:pageMargins b="0.75" l="0.7" r="0.7" t="0.75" header="0.3" footer="0.3"/>
    <c:pageSetup/>
  </c:printSettings>
</c:chartSpace>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4</xdr:col>
      <xdr:colOff>533400</xdr:colOff>
      <xdr:row>9</xdr:row>
      <xdr:rowOff>123825</xdr:rowOff>
    </xdr:from>
    <xdr:to>
      <xdr:col>8</xdr:col>
      <xdr:colOff>552450</xdr:colOff>
      <xdr:row>16</xdr:row>
      <xdr:rowOff>161925</xdr:rowOff>
    </xdr:to>
    <xdr:sp macro="" textlink="">
      <xdr:nvSpPr>
        <xdr:cNvPr id="2" name="TextBox 1"/>
        <xdr:cNvSpPr txBox="1"/>
      </xdr:nvSpPr>
      <xdr:spPr>
        <a:xfrm>
          <a:off x="4314825" y="1838325"/>
          <a:ext cx="2905125" cy="1371600"/>
        </a:xfrm>
        <a:prstGeom prst="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Note that the inequality indicated in</a:t>
          </a:r>
          <a:r>
            <a:rPr lang="en-US" sz="1100" baseline="0"/>
            <a:t> cells B26 and C26 allow George to hold inventory, and any inventory from year 1 is reflected in the formulas in cells C24 and C25. However, the optimal solution holds no inventory in either year. Similarly, cash can be held over (although it isn't), as indicated in the cell K23 formula.</a:t>
          </a:r>
          <a:endParaRPr lang="en-US"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4</xdr:col>
      <xdr:colOff>571500</xdr:colOff>
      <xdr:row>10</xdr:row>
      <xdr:rowOff>57150</xdr:rowOff>
    </xdr:from>
    <xdr:to>
      <xdr:col>9</xdr:col>
      <xdr:colOff>438150</xdr:colOff>
      <xdr:row>14</xdr:row>
      <xdr:rowOff>161925</xdr:rowOff>
    </xdr:to>
    <xdr:sp macro="" textlink="">
      <xdr:nvSpPr>
        <xdr:cNvPr id="2" name="TextBox 1"/>
        <xdr:cNvSpPr txBox="1"/>
      </xdr:nvSpPr>
      <xdr:spPr>
        <a:xfrm>
          <a:off x="4352925" y="1962150"/>
          <a:ext cx="3362325" cy="866775"/>
        </a:xfrm>
        <a:prstGeom prst="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The change is considerable.</a:t>
          </a:r>
          <a:r>
            <a:rPr lang="en-US" sz="1100" baseline="0"/>
            <a:t> After deleting the percentage constraints, George makes all Sauvignon Blanc in year 1 and all Petite Sirah in year 2. The profit increases by over $50,000.</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476251</xdr:colOff>
      <xdr:row>11</xdr:row>
      <xdr:rowOff>114300</xdr:rowOff>
    </xdr:from>
    <xdr:to>
      <xdr:col>7</xdr:col>
      <xdr:colOff>390526</xdr:colOff>
      <xdr:row>14</xdr:row>
      <xdr:rowOff>104775</xdr:rowOff>
    </xdr:to>
    <xdr:sp macro="" textlink="">
      <xdr:nvSpPr>
        <xdr:cNvPr id="2" name="TextBox 1"/>
        <xdr:cNvSpPr txBox="1"/>
      </xdr:nvSpPr>
      <xdr:spPr>
        <a:xfrm>
          <a:off x="4257676" y="2209800"/>
          <a:ext cx="2190750" cy="561975"/>
        </a:xfrm>
        <a:prstGeom prst="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The same plan is</a:t>
          </a:r>
          <a:r>
            <a:rPr lang="en-US" sz="1100" baseline="0"/>
            <a:t> used, but the profit is much less.</a:t>
          </a:r>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523875</xdr:colOff>
      <xdr:row>10</xdr:row>
      <xdr:rowOff>28575</xdr:rowOff>
    </xdr:from>
    <xdr:to>
      <xdr:col>11</xdr:col>
      <xdr:colOff>66675</xdr:colOff>
      <xdr:row>14</xdr:row>
      <xdr:rowOff>142875</xdr:rowOff>
    </xdr:to>
    <xdr:sp macro="" textlink="">
      <xdr:nvSpPr>
        <xdr:cNvPr id="2" name="TextBox 1"/>
        <xdr:cNvSpPr txBox="1"/>
      </xdr:nvSpPr>
      <xdr:spPr>
        <a:xfrm>
          <a:off x="6581775" y="1933575"/>
          <a:ext cx="2181225" cy="876300"/>
        </a:xfrm>
        <a:prstGeom prst="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The objective now includes the holding cost for both years, but because</a:t>
          </a:r>
          <a:r>
            <a:rPr lang="en-US" sz="1100" baseline="0"/>
            <a:t> no inventory was held, the same solution is still optimal.</a:t>
          </a:r>
          <a:endParaRPr 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428625</xdr:colOff>
      <xdr:row>12</xdr:row>
      <xdr:rowOff>28575</xdr:rowOff>
    </xdr:from>
    <xdr:to>
      <xdr:col>8</xdr:col>
      <xdr:colOff>923925</xdr:colOff>
      <xdr:row>16</xdr:row>
      <xdr:rowOff>0</xdr:rowOff>
    </xdr:to>
    <xdr:sp macro="" textlink="">
      <xdr:nvSpPr>
        <xdr:cNvPr id="2" name="TextBox 1"/>
        <xdr:cNvSpPr txBox="1"/>
      </xdr:nvSpPr>
      <xdr:spPr>
        <a:xfrm>
          <a:off x="5267325" y="2314575"/>
          <a:ext cx="2324100" cy="733425"/>
        </a:xfrm>
        <a:prstGeom prst="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See the SolverTable results on the next sheet for sensitivity to the percentage increase in cell J10.</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15</xdr:col>
      <xdr:colOff>0</xdr:colOff>
      <xdr:row>11</xdr:row>
      <xdr:rowOff>0</xdr:rowOff>
    </xdr:from>
    <xdr:to>
      <xdr:col>23</xdr:col>
      <xdr:colOff>0</xdr:colOff>
      <xdr:row>26</xdr:row>
      <xdr:rowOff>0</xdr:rowOff>
    </xdr:to>
    <xdr:graphicFrame macro="">
      <xdr:nvGraphicFramePr>
        <xdr:cNvPr id="2" name="STS_1_Chart"/>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0</xdr:colOff>
      <xdr:row>3</xdr:row>
      <xdr:rowOff>0</xdr:rowOff>
    </xdr:from>
    <xdr:to>
      <xdr:col>21</xdr:col>
      <xdr:colOff>0</xdr:colOff>
      <xdr:row>3</xdr:row>
      <xdr:rowOff>762000</xdr:rowOff>
    </xdr:to>
    <xdr:sp macro="" textlink="">
      <xdr:nvSpPr>
        <xdr:cNvPr id="3" name="TextBox 2"/>
        <xdr:cNvSpPr txBox="1"/>
      </xdr:nvSpPr>
      <xdr:spPr>
        <a:xfrm>
          <a:off x="10363200" y="571500"/>
          <a:ext cx="2438400" cy="762000"/>
        </a:xfrm>
        <a:prstGeom prst="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When you select an output from the dropdown list in cell $P$4, the chart will adapt to that output.</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342900</xdr:colOff>
      <xdr:row>9</xdr:row>
      <xdr:rowOff>0</xdr:rowOff>
    </xdr:from>
    <xdr:to>
      <xdr:col>11</xdr:col>
      <xdr:colOff>438150</xdr:colOff>
      <xdr:row>15</xdr:row>
      <xdr:rowOff>47625</xdr:rowOff>
    </xdr:to>
    <xdr:sp macro="" textlink="">
      <xdr:nvSpPr>
        <xdr:cNvPr id="2" name="TextBox 1"/>
        <xdr:cNvSpPr txBox="1"/>
      </xdr:nvSpPr>
      <xdr:spPr>
        <a:xfrm>
          <a:off x="6543675" y="1714500"/>
          <a:ext cx="2733675" cy="1190625"/>
        </a:xfrm>
        <a:prstGeom prst="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See SolverTable</a:t>
          </a:r>
          <a:r>
            <a:rPr lang="en-US" sz="1100" baseline="0"/>
            <a:t> results on the next sheet. The only thing that changes is that (discounted) profit decreases. The assumed timing on cash flows is that expenses occur at the beginnings of years, and revenues occur at the ends of years.</a:t>
          </a:r>
          <a:endParaRPr 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15</xdr:col>
      <xdr:colOff>0</xdr:colOff>
      <xdr:row>10</xdr:row>
      <xdr:rowOff>0</xdr:rowOff>
    </xdr:from>
    <xdr:to>
      <xdr:col>23</xdr:col>
      <xdr:colOff>0</xdr:colOff>
      <xdr:row>25</xdr:row>
      <xdr:rowOff>0</xdr:rowOff>
    </xdr:to>
    <xdr:graphicFrame macro="">
      <xdr:nvGraphicFramePr>
        <xdr:cNvPr id="2" name="STS_2_Chart"/>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0</xdr:colOff>
      <xdr:row>3</xdr:row>
      <xdr:rowOff>0</xdr:rowOff>
    </xdr:from>
    <xdr:to>
      <xdr:col>21</xdr:col>
      <xdr:colOff>0</xdr:colOff>
      <xdr:row>3</xdr:row>
      <xdr:rowOff>762000</xdr:rowOff>
    </xdr:to>
    <xdr:sp macro="" textlink="">
      <xdr:nvSpPr>
        <xdr:cNvPr id="3" name="TextBox 2"/>
        <xdr:cNvSpPr txBox="1"/>
      </xdr:nvSpPr>
      <xdr:spPr>
        <a:xfrm>
          <a:off x="10363200" y="571500"/>
          <a:ext cx="2438400" cy="762000"/>
        </a:xfrm>
        <a:prstGeom prst="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When you select an output from the dropdown list in cell $P$4, the chart will adapt to that output.</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209550</xdr:colOff>
      <xdr:row>11</xdr:row>
      <xdr:rowOff>66675</xdr:rowOff>
    </xdr:from>
    <xdr:to>
      <xdr:col>10</xdr:col>
      <xdr:colOff>333375</xdr:colOff>
      <xdr:row>17</xdr:row>
      <xdr:rowOff>85725</xdr:rowOff>
    </xdr:to>
    <xdr:sp macro="" textlink="">
      <xdr:nvSpPr>
        <xdr:cNvPr id="2" name="TextBox 1"/>
        <xdr:cNvSpPr txBox="1"/>
      </xdr:nvSpPr>
      <xdr:spPr>
        <a:xfrm>
          <a:off x="4143375" y="2162175"/>
          <a:ext cx="4295775" cy="1162050"/>
        </a:xfrm>
        <a:prstGeom prst="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There are probably alternative ways to model this, depending on assumptions you make. I assume George can pay off part of the loan after year 1 if he wants to. To get the cash</a:t>
          </a:r>
          <a:r>
            <a:rPr lang="en-US" sz="1100" baseline="0"/>
            <a:t> available at the beginning of year 2, subtract the interest payment to the bank from year 1 ($2800) and the loan paid off. To get the profit, subtract of interest payments to the bank for years 1 and 2.</a:t>
          </a:r>
          <a:endParaRPr lang="en-US"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4</xdr:col>
      <xdr:colOff>762000</xdr:colOff>
      <xdr:row>10</xdr:row>
      <xdr:rowOff>47625</xdr:rowOff>
    </xdr:from>
    <xdr:to>
      <xdr:col>8</xdr:col>
      <xdr:colOff>352425</xdr:colOff>
      <xdr:row>13</xdr:row>
      <xdr:rowOff>180974</xdr:rowOff>
    </xdr:to>
    <xdr:sp macro="" textlink="">
      <xdr:nvSpPr>
        <xdr:cNvPr id="2" name="TextBox 1"/>
        <xdr:cNvSpPr txBox="1"/>
      </xdr:nvSpPr>
      <xdr:spPr>
        <a:xfrm>
          <a:off x="4543425" y="1952625"/>
          <a:ext cx="2476500" cy="704849"/>
        </a:xfrm>
        <a:prstGeom prst="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There is</a:t>
          </a:r>
          <a:r>
            <a:rPr lang="en-US" sz="1100" baseline="0"/>
            <a:t> now much less demand, so fewer bottles are produced, and the profit is much lower.</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tabSelected="1" zoomScaleNormal="100" workbookViewId="0">
      <selection activeCell="A2" sqref="A2"/>
    </sheetView>
  </sheetViews>
  <sheetFormatPr defaultRowHeight="15" x14ac:dyDescent="0.25"/>
  <cols>
    <col min="1" max="1" width="25.42578125" customWidth="1"/>
    <col min="2" max="2" width="10.140625" bestFit="1" customWidth="1"/>
    <col min="3" max="3" width="12" bestFit="1" customWidth="1"/>
    <col min="5" max="5" width="15.85546875" customWidth="1"/>
    <col min="10" max="10" width="10.140625" bestFit="1" customWidth="1"/>
    <col min="11" max="11" width="11.140625" bestFit="1" customWidth="1"/>
  </cols>
  <sheetData>
    <row r="1" spans="1:7" x14ac:dyDescent="0.25">
      <c r="A1" s="1" t="s">
        <v>0</v>
      </c>
    </row>
    <row r="3" spans="1:7" x14ac:dyDescent="0.25">
      <c r="A3" t="s">
        <v>7</v>
      </c>
      <c r="B3" s="4">
        <v>10000</v>
      </c>
    </row>
    <row r="5" spans="1:7" x14ac:dyDescent="0.25">
      <c r="A5" t="s">
        <v>1</v>
      </c>
      <c r="E5" t="s">
        <v>6</v>
      </c>
    </row>
    <row r="6" spans="1:7" x14ac:dyDescent="0.25">
      <c r="B6" s="2" t="s">
        <v>4</v>
      </c>
      <c r="C6" s="2" t="s">
        <v>5</v>
      </c>
      <c r="F6" s="2" t="s">
        <v>4</v>
      </c>
      <c r="G6" s="2" t="s">
        <v>5</v>
      </c>
    </row>
    <row r="7" spans="1:7" x14ac:dyDescent="0.25">
      <c r="A7" t="s">
        <v>2</v>
      </c>
      <c r="B7" s="3">
        <v>0.8</v>
      </c>
      <c r="C7" s="3">
        <v>0.75</v>
      </c>
      <c r="E7" t="s">
        <v>2</v>
      </c>
      <c r="F7" s="3">
        <v>8</v>
      </c>
      <c r="G7" s="3">
        <v>8.25</v>
      </c>
    </row>
    <row r="8" spans="1:7" x14ac:dyDescent="0.25">
      <c r="A8" t="s">
        <v>3</v>
      </c>
      <c r="B8" s="3">
        <v>0.7</v>
      </c>
      <c r="C8" s="3">
        <v>0.85</v>
      </c>
      <c r="E8" t="s">
        <v>3</v>
      </c>
      <c r="F8" s="3">
        <v>7</v>
      </c>
      <c r="G8" s="3">
        <v>7</v>
      </c>
    </row>
    <row r="10" spans="1:7" x14ac:dyDescent="0.25">
      <c r="A10" t="s">
        <v>12</v>
      </c>
    </row>
    <row r="11" spans="1:7" x14ac:dyDescent="0.25">
      <c r="B11" s="2" t="s">
        <v>4</v>
      </c>
      <c r="C11" s="2" t="s">
        <v>5</v>
      </c>
    </row>
    <row r="12" spans="1:7" x14ac:dyDescent="0.25">
      <c r="A12" t="s">
        <v>2</v>
      </c>
      <c r="B12" s="5">
        <v>5</v>
      </c>
      <c r="C12" s="5">
        <v>6</v>
      </c>
    </row>
    <row r="13" spans="1:7" x14ac:dyDescent="0.25">
      <c r="A13" t="s">
        <v>3</v>
      </c>
      <c r="B13" s="5">
        <v>8</v>
      </c>
      <c r="C13" s="5">
        <v>10</v>
      </c>
    </row>
    <row r="15" spans="1:7" x14ac:dyDescent="0.25">
      <c r="A15" t="s">
        <v>8</v>
      </c>
    </row>
    <row r="16" spans="1:7" x14ac:dyDescent="0.25">
      <c r="A16" t="s">
        <v>9</v>
      </c>
      <c r="B16" s="6">
        <v>0.4</v>
      </c>
    </row>
    <row r="17" spans="1:11" x14ac:dyDescent="0.25">
      <c r="A17" t="s">
        <v>10</v>
      </c>
      <c r="B17" s="6">
        <v>0.7</v>
      </c>
    </row>
    <row r="19" spans="1:11" x14ac:dyDescent="0.25">
      <c r="A19" t="s">
        <v>29</v>
      </c>
      <c r="E19" t="s">
        <v>11</v>
      </c>
      <c r="I19" t="s">
        <v>16</v>
      </c>
    </row>
    <row r="20" spans="1:11" x14ac:dyDescent="0.25">
      <c r="B20" s="2" t="s">
        <v>4</v>
      </c>
      <c r="C20" s="2" t="s">
        <v>5</v>
      </c>
      <c r="F20" s="2" t="s">
        <v>4</v>
      </c>
      <c r="G20" s="2" t="s">
        <v>5</v>
      </c>
      <c r="J20" s="2" t="s">
        <v>4</v>
      </c>
      <c r="K20" s="2" t="s">
        <v>5</v>
      </c>
    </row>
    <row r="21" spans="1:11" x14ac:dyDescent="0.25">
      <c r="A21" t="s">
        <v>23</v>
      </c>
      <c r="B21" s="10">
        <v>4469.2737430160369</v>
      </c>
      <c r="C21" s="10">
        <v>62457.296732428847</v>
      </c>
      <c r="E21" t="s">
        <v>2</v>
      </c>
      <c r="F21" s="13">
        <v>893.85474860320573</v>
      </c>
      <c r="G21" s="13">
        <v>10409.549455404809</v>
      </c>
      <c r="I21" t="s">
        <v>17</v>
      </c>
      <c r="J21" s="7">
        <f>SUMPRODUCT(B$7:B$8,B$21:B$22)+SUM(F$21:F$22)</f>
        <v>9999.9999999983647</v>
      </c>
      <c r="K21" s="7">
        <f>SUMPRODUCT(C$7:C$8,C$21:C$22)+SUM(G$21:G$22)</f>
        <v>82681.56424578678</v>
      </c>
    </row>
    <row r="22" spans="1:11" x14ac:dyDescent="0.25">
      <c r="A22" t="s">
        <v>24</v>
      </c>
      <c r="B22" s="10">
        <v>6703.9106145240348</v>
      </c>
      <c r="C22" s="10">
        <v>26767.412885326659</v>
      </c>
      <c r="E22" t="s">
        <v>3</v>
      </c>
      <c r="F22" s="13">
        <v>837.98882681550481</v>
      </c>
      <c r="G22" s="13">
        <v>2676.7412885326662</v>
      </c>
      <c r="J22" s="8" t="s">
        <v>15</v>
      </c>
      <c r="K22" s="8" t="s">
        <v>15</v>
      </c>
    </row>
    <row r="23" spans="1:11" x14ac:dyDescent="0.25">
      <c r="B23" s="2"/>
      <c r="C23" s="2"/>
      <c r="I23" t="s">
        <v>18</v>
      </c>
      <c r="J23" s="7">
        <f>B3</f>
        <v>10000</v>
      </c>
      <c r="K23" s="7">
        <f>J23-J21+SUMPRODUCT(F7:F8,B27:B28)</f>
        <v>82681.564245798116</v>
      </c>
    </row>
    <row r="24" spans="1:11" x14ac:dyDescent="0.25">
      <c r="A24" t="s">
        <v>25</v>
      </c>
      <c r="B24" s="11">
        <f t="shared" ref="B24:B25" si="0">B21</f>
        <v>4469.2737430160369</v>
      </c>
      <c r="C24" s="11">
        <f>B24-B27+C21</f>
        <v>62457.296732428855</v>
      </c>
      <c r="E24" t="s">
        <v>13</v>
      </c>
      <c r="J24" s="7"/>
      <c r="K24" s="7"/>
    </row>
    <row r="25" spans="1:11" x14ac:dyDescent="0.25">
      <c r="A25" t="s">
        <v>26</v>
      </c>
      <c r="B25" s="11">
        <f t="shared" si="0"/>
        <v>6703.9106145240348</v>
      </c>
      <c r="C25" s="11">
        <f>B25-B28+C22</f>
        <v>26767.412885326656</v>
      </c>
      <c r="F25" s="2" t="s">
        <v>4</v>
      </c>
      <c r="G25" s="2" t="s">
        <v>5</v>
      </c>
      <c r="I25" t="s">
        <v>19</v>
      </c>
      <c r="J25" s="9">
        <f>SUMPRODUCT(F7:G8,Bottles_sold)-SUMPRODUCT(B7:C8,Grapes_produced)-SUM(Advertising)</f>
        <v>692644.58823983604</v>
      </c>
      <c r="K25" s="7"/>
    </row>
    <row r="26" spans="1:11" x14ac:dyDescent="0.25">
      <c r="B26" s="12" t="s">
        <v>20</v>
      </c>
      <c r="C26" s="12" t="s">
        <v>20</v>
      </c>
      <c r="E26" t="s">
        <v>9</v>
      </c>
      <c r="F26" s="11">
        <f>$B$16*SUM(B27:B28)</f>
        <v>4469.2737430160259</v>
      </c>
      <c r="G26" s="11">
        <f>$B$16*SUM(C27:C28)</f>
        <v>35689.883847102203</v>
      </c>
    </row>
    <row r="27" spans="1:11" x14ac:dyDescent="0.25">
      <c r="A27" t="s">
        <v>21</v>
      </c>
      <c r="B27" s="10">
        <v>4469.2737430160269</v>
      </c>
      <c r="C27" s="10">
        <v>62457.296732428847</v>
      </c>
      <c r="F27" s="12" t="s">
        <v>15</v>
      </c>
      <c r="G27" s="12" t="s">
        <v>15</v>
      </c>
    </row>
    <row r="28" spans="1:11" x14ac:dyDescent="0.25">
      <c r="A28" t="s">
        <v>22</v>
      </c>
      <c r="B28" s="10">
        <v>6703.9106145240385</v>
      </c>
      <c r="C28" s="10">
        <v>26767.412885326659</v>
      </c>
      <c r="E28" t="s">
        <v>14</v>
      </c>
      <c r="F28" s="11">
        <f>B27</f>
        <v>4469.2737430160269</v>
      </c>
      <c r="G28" s="11">
        <f>C27</f>
        <v>62457.296732428847</v>
      </c>
    </row>
    <row r="29" spans="1:11" x14ac:dyDescent="0.25">
      <c r="B29" s="2" t="s">
        <v>15</v>
      </c>
      <c r="C29" s="2" t="s">
        <v>15</v>
      </c>
      <c r="F29" s="12" t="s">
        <v>15</v>
      </c>
      <c r="G29" s="12" t="s">
        <v>15</v>
      </c>
    </row>
    <row r="30" spans="1:11" x14ac:dyDescent="0.25">
      <c r="A30" t="s">
        <v>27</v>
      </c>
      <c r="B30" s="11">
        <f t="shared" ref="B30:C31" si="1">B12*F21</f>
        <v>4469.2737430160287</v>
      </c>
      <c r="C30" s="11">
        <f t="shared" si="1"/>
        <v>62457.296732428855</v>
      </c>
      <c r="E30" t="s">
        <v>10</v>
      </c>
      <c r="F30" s="11">
        <f>$B$17*SUM(B27:B28)</f>
        <v>7821.2290502780452</v>
      </c>
      <c r="G30" s="11">
        <f>$B$17*SUM(C27:C28)</f>
        <v>62457.296732428847</v>
      </c>
    </row>
    <row r="31" spans="1:11" x14ac:dyDescent="0.25">
      <c r="A31" t="s">
        <v>28</v>
      </c>
      <c r="B31" s="11">
        <f t="shared" si="1"/>
        <v>6703.9106145240385</v>
      </c>
      <c r="C31" s="11">
        <f t="shared" si="1"/>
        <v>26767.412885326663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zoomScaleNormal="100" workbookViewId="0">
      <selection activeCell="A2" sqref="A2"/>
    </sheetView>
  </sheetViews>
  <sheetFormatPr defaultRowHeight="15" x14ac:dyDescent="0.25"/>
  <cols>
    <col min="1" max="1" width="27.7109375" customWidth="1"/>
    <col min="2" max="2" width="10.140625" bestFit="1" customWidth="1"/>
    <col min="3" max="3" width="12" bestFit="1" customWidth="1"/>
    <col min="5" max="5" width="15.85546875" customWidth="1"/>
    <col min="10" max="10" width="10.140625" bestFit="1" customWidth="1"/>
    <col min="11" max="11" width="11.140625" bestFit="1" customWidth="1"/>
  </cols>
  <sheetData>
    <row r="1" spans="1:7" x14ac:dyDescent="0.25">
      <c r="A1" s="1" t="s">
        <v>0</v>
      </c>
    </row>
    <row r="3" spans="1:7" x14ac:dyDescent="0.25">
      <c r="A3" t="s">
        <v>7</v>
      </c>
      <c r="B3" s="4">
        <v>10000</v>
      </c>
      <c r="C3" s="2" t="s">
        <v>18</v>
      </c>
      <c r="E3" t="s">
        <v>59</v>
      </c>
      <c r="F3" s="33">
        <v>0.28000000000000003</v>
      </c>
    </row>
    <row r="4" spans="1:7" x14ac:dyDescent="0.25">
      <c r="A4" t="s">
        <v>58</v>
      </c>
      <c r="B4" s="35">
        <v>10000</v>
      </c>
      <c r="C4" s="35">
        <v>9000</v>
      </c>
    </row>
    <row r="6" spans="1:7" x14ac:dyDescent="0.25">
      <c r="A6" t="s">
        <v>1</v>
      </c>
      <c r="E6" t="s">
        <v>6</v>
      </c>
    </row>
    <row r="7" spans="1:7" x14ac:dyDescent="0.25">
      <c r="B7" s="2" t="s">
        <v>4</v>
      </c>
      <c r="C7" s="2" t="s">
        <v>5</v>
      </c>
      <c r="F7" s="2" t="s">
        <v>4</v>
      </c>
      <c r="G7" s="2" t="s">
        <v>5</v>
      </c>
    </row>
    <row r="8" spans="1:7" x14ac:dyDescent="0.25">
      <c r="A8" t="s">
        <v>2</v>
      </c>
      <c r="B8" s="3">
        <v>0.8</v>
      </c>
      <c r="C8" s="3">
        <v>0.75</v>
      </c>
      <c r="E8" t="s">
        <v>2</v>
      </c>
      <c r="F8" s="3">
        <v>8</v>
      </c>
      <c r="G8" s="3">
        <v>8.25</v>
      </c>
    </row>
    <row r="9" spans="1:7" x14ac:dyDescent="0.25">
      <c r="A9" t="s">
        <v>3</v>
      </c>
      <c r="B9" s="3">
        <v>0.7</v>
      </c>
      <c r="C9" s="3">
        <v>0.85</v>
      </c>
      <c r="E9" t="s">
        <v>3</v>
      </c>
      <c r="F9" s="3">
        <v>7</v>
      </c>
      <c r="G9" s="3">
        <v>7</v>
      </c>
    </row>
    <row r="11" spans="1:7" x14ac:dyDescent="0.25">
      <c r="A11" t="s">
        <v>12</v>
      </c>
    </row>
    <row r="12" spans="1:7" x14ac:dyDescent="0.25">
      <c r="B12" s="2" t="s">
        <v>4</v>
      </c>
      <c r="C12" s="2" t="s">
        <v>5</v>
      </c>
    </row>
    <row r="13" spans="1:7" x14ac:dyDescent="0.25">
      <c r="A13" t="s">
        <v>2</v>
      </c>
      <c r="B13" s="5">
        <v>5</v>
      </c>
      <c r="C13" s="5">
        <v>6</v>
      </c>
    </row>
    <row r="14" spans="1:7" x14ac:dyDescent="0.25">
      <c r="A14" t="s">
        <v>3</v>
      </c>
      <c r="B14" s="5">
        <v>8</v>
      </c>
      <c r="C14" s="5">
        <v>10</v>
      </c>
    </row>
    <row r="16" spans="1:7" x14ac:dyDescent="0.25">
      <c r="A16" t="s">
        <v>8</v>
      </c>
    </row>
    <row r="17" spans="1:11" x14ac:dyDescent="0.25">
      <c r="A17" t="s">
        <v>9</v>
      </c>
      <c r="B17" s="6">
        <v>0.4</v>
      </c>
    </row>
    <row r="18" spans="1:11" x14ac:dyDescent="0.25">
      <c r="A18" t="s">
        <v>10</v>
      </c>
      <c r="B18" s="6">
        <v>0.7</v>
      </c>
    </row>
    <row r="20" spans="1:11" x14ac:dyDescent="0.25">
      <c r="A20" t="s">
        <v>29</v>
      </c>
      <c r="E20" t="s">
        <v>11</v>
      </c>
      <c r="I20" t="s">
        <v>16</v>
      </c>
    </row>
    <row r="21" spans="1:11" x14ac:dyDescent="0.25">
      <c r="B21" s="2" t="s">
        <v>4</v>
      </c>
      <c r="C21" s="2" t="s">
        <v>5</v>
      </c>
      <c r="F21" s="2" t="s">
        <v>4</v>
      </c>
      <c r="G21" s="2" t="s">
        <v>5</v>
      </c>
      <c r="J21" s="2" t="s">
        <v>4</v>
      </c>
      <c r="K21" s="2" t="s">
        <v>5</v>
      </c>
    </row>
    <row r="22" spans="1:11" x14ac:dyDescent="0.25">
      <c r="A22" t="s">
        <v>23</v>
      </c>
      <c r="B22" s="10">
        <v>8491.6201117304736</v>
      </c>
      <c r="C22" s="10">
        <v>116553.75587794601</v>
      </c>
      <c r="E22" t="s">
        <v>2</v>
      </c>
      <c r="F22" s="13">
        <v>1698.3240223460912</v>
      </c>
      <c r="G22" s="13">
        <v>19425.625979657667</v>
      </c>
      <c r="I22" t="s">
        <v>17</v>
      </c>
      <c r="J22" s="7">
        <f>SUMPRODUCT(B$8:B$9,B$22:B$23)+SUM(F$22:F$23)</f>
        <v>18999.999999996897</v>
      </c>
      <c r="K22" s="7">
        <f>SUMPRODUCT(C$8:C$9,C$22:C$23)+SUM(G$22:G$23)</f>
        <v>154294.97206699519</v>
      </c>
    </row>
    <row r="23" spans="1:11" x14ac:dyDescent="0.25">
      <c r="A23" t="s">
        <v>24</v>
      </c>
      <c r="B23" s="10">
        <v>12737.430167595669</v>
      </c>
      <c r="C23" s="10">
        <v>49951.60966197688</v>
      </c>
      <c r="E23" t="s">
        <v>3</v>
      </c>
      <c r="F23" s="13">
        <v>1592.1787709494592</v>
      </c>
      <c r="G23" s="13">
        <v>4995.1609661976881</v>
      </c>
      <c r="J23" s="8" t="s">
        <v>15</v>
      </c>
      <c r="K23" s="8" t="s">
        <v>15</v>
      </c>
    </row>
    <row r="24" spans="1:11" x14ac:dyDescent="0.25">
      <c r="B24" s="2"/>
      <c r="C24" s="2"/>
      <c r="I24" t="s">
        <v>18</v>
      </c>
      <c r="J24" s="7">
        <f>B3+C4</f>
        <v>19000</v>
      </c>
      <c r="K24" s="7">
        <f>J24-J22+SUMPRODUCT(F8:F9,B28:B29)-F3*B4-Loan_payoff</f>
        <v>154294.97206701644</v>
      </c>
    </row>
    <row r="25" spans="1:11" x14ac:dyDescent="0.25">
      <c r="A25" t="s">
        <v>25</v>
      </c>
      <c r="B25" s="11">
        <f t="shared" ref="B25:B26" si="0">B22</f>
        <v>8491.6201117304736</v>
      </c>
      <c r="C25" s="11">
        <f>B25-B28+C22</f>
        <v>116553.75587794604</v>
      </c>
      <c r="E25" t="s">
        <v>13</v>
      </c>
      <c r="J25" s="7"/>
      <c r="K25" s="7"/>
    </row>
    <row r="26" spans="1:11" x14ac:dyDescent="0.25">
      <c r="A26" t="s">
        <v>26</v>
      </c>
      <c r="B26" s="11">
        <f t="shared" si="0"/>
        <v>12737.430167595669</v>
      </c>
      <c r="C26" s="11">
        <f>B26-B29+C23</f>
        <v>49951.609661976872</v>
      </c>
      <c r="F26" s="2" t="s">
        <v>4</v>
      </c>
      <c r="G26" s="2" t="s">
        <v>5</v>
      </c>
      <c r="I26" t="s">
        <v>19</v>
      </c>
      <c r="J26" s="9">
        <f>SUMPRODUCT(F8:G9,Bottles_sold)-SUMPRODUCT(B8:C9,Grapes_produced)-SUM(Advertising)-B4*F3-(Loan_amount-Loan_payoff)*F3</f>
        <v>1289429.753626914</v>
      </c>
      <c r="K26" s="7"/>
    </row>
    <row r="27" spans="1:11" x14ac:dyDescent="0.25">
      <c r="B27" s="12" t="s">
        <v>20</v>
      </c>
      <c r="C27" s="12" t="s">
        <v>20</v>
      </c>
      <c r="E27" t="s">
        <v>9</v>
      </c>
      <c r="F27" s="11">
        <f>$B$17*SUM(B28:B29)</f>
        <v>8491.6201117304499</v>
      </c>
      <c r="G27" s="11">
        <f>$B$17*SUM(C28:C29)</f>
        <v>66602.146215969158</v>
      </c>
    </row>
    <row r="28" spans="1:11" x14ac:dyDescent="0.25">
      <c r="A28" t="s">
        <v>21</v>
      </c>
      <c r="B28" s="10">
        <v>8491.6201117304518</v>
      </c>
      <c r="C28" s="10">
        <v>116553.75587794601</v>
      </c>
      <c r="F28" s="12" t="s">
        <v>15</v>
      </c>
      <c r="G28" s="12" t="s">
        <v>15</v>
      </c>
    </row>
    <row r="29" spans="1:11" x14ac:dyDescent="0.25">
      <c r="A29" t="s">
        <v>22</v>
      </c>
      <c r="B29" s="10">
        <v>12737.430167595674</v>
      </c>
      <c r="C29" s="10">
        <v>49951.60966197688</v>
      </c>
      <c r="E29" t="s">
        <v>14</v>
      </c>
      <c r="F29" s="11">
        <f>B28</f>
        <v>8491.6201117304518</v>
      </c>
      <c r="G29" s="11">
        <f>C28</f>
        <v>116553.75587794601</v>
      </c>
    </row>
    <row r="30" spans="1:11" x14ac:dyDescent="0.25">
      <c r="B30" s="2" t="s">
        <v>15</v>
      </c>
      <c r="C30" s="2" t="s">
        <v>15</v>
      </c>
      <c r="F30" s="12" t="s">
        <v>15</v>
      </c>
      <c r="G30" s="12" t="s">
        <v>15</v>
      </c>
    </row>
    <row r="31" spans="1:11" x14ac:dyDescent="0.25">
      <c r="A31" t="s">
        <v>27</v>
      </c>
      <c r="B31" s="11">
        <f t="shared" ref="B31:C32" si="1">B13*F22</f>
        <v>8491.6201117304554</v>
      </c>
      <c r="C31" s="11">
        <f t="shared" si="1"/>
        <v>116553.75587794601</v>
      </c>
      <c r="E31" t="s">
        <v>10</v>
      </c>
      <c r="F31" s="11">
        <f>$B$18*SUM(B28:B29)</f>
        <v>14860.335195528287</v>
      </c>
      <c r="G31" s="11">
        <f>$B$18*SUM(C28:C29)</f>
        <v>116553.75587794602</v>
      </c>
    </row>
    <row r="32" spans="1:11" x14ac:dyDescent="0.25">
      <c r="A32" t="s">
        <v>28</v>
      </c>
      <c r="B32" s="11">
        <f t="shared" si="1"/>
        <v>12737.430167595674</v>
      </c>
      <c r="C32" s="11">
        <f t="shared" si="1"/>
        <v>49951.60966197688</v>
      </c>
    </row>
    <row r="34" spans="1:4" x14ac:dyDescent="0.25">
      <c r="A34" t="s">
        <v>60</v>
      </c>
      <c r="B34" s="13">
        <v>0</v>
      </c>
      <c r="C34" s="36" t="s">
        <v>15</v>
      </c>
      <c r="D34" s="7">
        <f>B4</f>
        <v>10000</v>
      </c>
    </row>
  </sheetData>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zoomScaleNormal="100" workbookViewId="0">
      <selection activeCell="A2" sqref="A2"/>
    </sheetView>
  </sheetViews>
  <sheetFormatPr defaultRowHeight="15" x14ac:dyDescent="0.25"/>
  <cols>
    <col min="1" max="1" width="25.42578125" customWidth="1"/>
    <col min="2" max="2" width="10.140625" bestFit="1" customWidth="1"/>
    <col min="3" max="3" width="12" bestFit="1" customWidth="1"/>
    <col min="5" max="5" width="15.85546875" customWidth="1"/>
    <col min="10" max="10" width="10.140625" bestFit="1" customWidth="1"/>
    <col min="11" max="11" width="11.140625" bestFit="1" customWidth="1"/>
  </cols>
  <sheetData>
    <row r="1" spans="1:7" x14ac:dyDescent="0.25">
      <c r="A1" s="1" t="s">
        <v>0</v>
      </c>
    </row>
    <row r="3" spans="1:7" x14ac:dyDescent="0.25">
      <c r="A3" t="s">
        <v>7</v>
      </c>
      <c r="B3" s="4">
        <v>10000</v>
      </c>
    </row>
    <row r="5" spans="1:7" x14ac:dyDescent="0.25">
      <c r="A5" t="s">
        <v>1</v>
      </c>
      <c r="E5" t="s">
        <v>6</v>
      </c>
    </row>
    <row r="6" spans="1:7" x14ac:dyDescent="0.25">
      <c r="B6" s="2" t="s">
        <v>4</v>
      </c>
      <c r="C6" s="2" t="s">
        <v>5</v>
      </c>
      <c r="F6" s="2" t="s">
        <v>4</v>
      </c>
      <c r="G6" s="2" t="s">
        <v>5</v>
      </c>
    </row>
    <row r="7" spans="1:7" x14ac:dyDescent="0.25">
      <c r="A7" t="s">
        <v>2</v>
      </c>
      <c r="B7" s="3">
        <v>0.8</v>
      </c>
      <c r="C7" s="3">
        <v>0.75</v>
      </c>
      <c r="E7" t="s">
        <v>2</v>
      </c>
      <c r="F7" s="3">
        <v>8</v>
      </c>
      <c r="G7" s="3">
        <v>8.25</v>
      </c>
    </row>
    <row r="8" spans="1:7" x14ac:dyDescent="0.25">
      <c r="A8" t="s">
        <v>3</v>
      </c>
      <c r="B8" s="3">
        <v>0.7</v>
      </c>
      <c r="C8" s="3">
        <v>0.85</v>
      </c>
      <c r="E8" t="s">
        <v>3</v>
      </c>
      <c r="F8" s="3">
        <v>7</v>
      </c>
      <c r="G8" s="3">
        <v>7</v>
      </c>
    </row>
    <row r="10" spans="1:7" x14ac:dyDescent="0.25">
      <c r="A10" t="s">
        <v>12</v>
      </c>
    </row>
    <row r="11" spans="1:7" x14ac:dyDescent="0.25">
      <c r="B11" s="2" t="s">
        <v>4</v>
      </c>
      <c r="C11" s="2" t="s">
        <v>5</v>
      </c>
    </row>
    <row r="12" spans="1:7" x14ac:dyDescent="0.25">
      <c r="A12" t="s">
        <v>2</v>
      </c>
      <c r="B12" s="15">
        <v>4</v>
      </c>
      <c r="C12" s="15">
        <v>4</v>
      </c>
    </row>
    <row r="13" spans="1:7" x14ac:dyDescent="0.25">
      <c r="A13" t="s">
        <v>3</v>
      </c>
      <c r="B13" s="15">
        <v>5</v>
      </c>
      <c r="C13" s="15">
        <v>5</v>
      </c>
    </row>
    <row r="15" spans="1:7" x14ac:dyDescent="0.25">
      <c r="A15" t="s">
        <v>8</v>
      </c>
    </row>
    <row r="16" spans="1:7" x14ac:dyDescent="0.25">
      <c r="A16" t="s">
        <v>9</v>
      </c>
      <c r="B16" s="6">
        <v>0.4</v>
      </c>
    </row>
    <row r="17" spans="1:11" x14ac:dyDescent="0.25">
      <c r="A17" t="s">
        <v>10</v>
      </c>
      <c r="B17" s="6">
        <v>0.7</v>
      </c>
    </row>
    <row r="19" spans="1:11" x14ac:dyDescent="0.25">
      <c r="A19" t="s">
        <v>29</v>
      </c>
      <c r="E19" t="s">
        <v>11</v>
      </c>
      <c r="I19" t="s">
        <v>16</v>
      </c>
    </row>
    <row r="20" spans="1:11" x14ac:dyDescent="0.25">
      <c r="B20" s="2" t="s">
        <v>4</v>
      </c>
      <c r="C20" s="2" t="s">
        <v>5</v>
      </c>
      <c r="F20" s="2" t="s">
        <v>4</v>
      </c>
      <c r="G20" s="2" t="s">
        <v>5</v>
      </c>
      <c r="J20" s="2" t="s">
        <v>4</v>
      </c>
      <c r="K20" s="2" t="s">
        <v>5</v>
      </c>
    </row>
    <row r="21" spans="1:11" x14ac:dyDescent="0.25">
      <c r="A21" t="s">
        <v>23</v>
      </c>
      <c r="B21" s="10">
        <v>4166.6666666660367</v>
      </c>
      <c r="C21" s="10">
        <v>53160.919540216048</v>
      </c>
      <c r="E21" t="s">
        <v>2</v>
      </c>
      <c r="F21" s="13">
        <v>1041.6666666665078</v>
      </c>
      <c r="G21" s="13">
        <v>13290.229885054012</v>
      </c>
      <c r="I21" t="s">
        <v>17</v>
      </c>
      <c r="J21" s="7">
        <f>SUMPRODUCT(B$7:B$8,B$21:B$22)+SUM(F$21:F$22)</f>
        <v>9999.9999999984793</v>
      </c>
      <c r="K21" s="7">
        <f>SUMPRODUCT(C$7:C$8,C$21:C$22)+SUM(G$21:G$22)</f>
        <v>77083.333333313276</v>
      </c>
    </row>
    <row r="22" spans="1:11" x14ac:dyDescent="0.25">
      <c r="A22" t="s">
        <v>24</v>
      </c>
      <c r="B22" s="10">
        <v>6249.9999999990487</v>
      </c>
      <c r="C22" s="10">
        <v>22783.251231521168</v>
      </c>
      <c r="E22" t="s">
        <v>3</v>
      </c>
      <c r="F22" s="13">
        <v>1249.999999999809</v>
      </c>
      <c r="G22" s="13">
        <v>4556.6502463042334</v>
      </c>
      <c r="J22" s="8" t="s">
        <v>15</v>
      </c>
      <c r="K22" s="8" t="s">
        <v>15</v>
      </c>
    </row>
    <row r="23" spans="1:11" x14ac:dyDescent="0.25">
      <c r="B23" s="2"/>
      <c r="C23" s="2"/>
      <c r="I23" t="s">
        <v>18</v>
      </c>
      <c r="J23" s="7">
        <f>B3</f>
        <v>10000</v>
      </c>
      <c r="K23" s="7">
        <f>J23-J21+SUMPRODUCT(F7:F8,B27:B28)</f>
        <v>77083.333333323069</v>
      </c>
    </row>
    <row r="24" spans="1:11" x14ac:dyDescent="0.25">
      <c r="A24" t="s">
        <v>25</v>
      </c>
      <c r="B24" s="11">
        <f t="shared" ref="B24:B25" si="0">B21</f>
        <v>4166.6666666660367</v>
      </c>
      <c r="C24" s="11">
        <f>B24-B27+C21</f>
        <v>53160.919540216055</v>
      </c>
      <c r="E24" t="s">
        <v>13</v>
      </c>
      <c r="J24" s="7"/>
      <c r="K24" s="7"/>
    </row>
    <row r="25" spans="1:11" x14ac:dyDescent="0.25">
      <c r="A25" t="s">
        <v>26</v>
      </c>
      <c r="B25" s="11">
        <f t="shared" si="0"/>
        <v>6249.9999999990487</v>
      </c>
      <c r="C25" s="11">
        <f>B25-B28+C22</f>
        <v>22783.251231521172</v>
      </c>
      <c r="F25" s="2" t="s">
        <v>4</v>
      </c>
      <c r="G25" s="2" t="s">
        <v>5</v>
      </c>
      <c r="I25" t="s">
        <v>19</v>
      </c>
      <c r="J25" s="9">
        <f>SUMPRODUCT(F7:G8,Bottles_sold)-SUMPRODUCT(B7:C8,Grapes_produced)-SUM(Advertising)</f>
        <v>588060.34482744045</v>
      </c>
      <c r="K25" s="7"/>
    </row>
    <row r="26" spans="1:11" x14ac:dyDescent="0.25">
      <c r="B26" s="12" t="s">
        <v>20</v>
      </c>
      <c r="C26" s="12" t="s">
        <v>20</v>
      </c>
      <c r="E26" t="s">
        <v>9</v>
      </c>
      <c r="F26" s="11">
        <f>$B$16*SUM(B27:B28)</f>
        <v>4166.6666666660303</v>
      </c>
      <c r="G26" s="11">
        <f>$B$16*SUM(C27:C28)</f>
        <v>30377.668308694891</v>
      </c>
    </row>
    <row r="27" spans="1:11" x14ac:dyDescent="0.25">
      <c r="A27" t="s">
        <v>21</v>
      </c>
      <c r="B27" s="10">
        <v>4166.6666666660312</v>
      </c>
      <c r="C27" s="10">
        <v>53160.919540216048</v>
      </c>
      <c r="F27" s="12" t="s">
        <v>15</v>
      </c>
      <c r="G27" s="12" t="s">
        <v>15</v>
      </c>
    </row>
    <row r="28" spans="1:11" x14ac:dyDescent="0.25">
      <c r="A28" t="s">
        <v>22</v>
      </c>
      <c r="B28" s="10">
        <v>6249.999999999045</v>
      </c>
      <c r="C28" s="10">
        <v>22783.251231521172</v>
      </c>
      <c r="E28" t="s">
        <v>14</v>
      </c>
      <c r="F28" s="11">
        <f>B27</f>
        <v>4166.6666666660312</v>
      </c>
      <c r="G28" s="11">
        <f>C27</f>
        <v>53160.919540216048</v>
      </c>
    </row>
    <row r="29" spans="1:11" x14ac:dyDescent="0.25">
      <c r="B29" s="2" t="s">
        <v>15</v>
      </c>
      <c r="C29" s="2" t="s">
        <v>15</v>
      </c>
      <c r="F29" s="12" t="s">
        <v>15</v>
      </c>
      <c r="G29" s="12" t="s">
        <v>15</v>
      </c>
    </row>
    <row r="30" spans="1:11" x14ac:dyDescent="0.25">
      <c r="A30" t="s">
        <v>27</v>
      </c>
      <c r="B30" s="11">
        <f t="shared" ref="B30:C31" si="1">B12*F21</f>
        <v>4166.6666666660312</v>
      </c>
      <c r="C30" s="11">
        <f t="shared" si="1"/>
        <v>53160.919540216048</v>
      </c>
      <c r="E30" t="s">
        <v>10</v>
      </c>
      <c r="F30" s="11">
        <f>$B$17*SUM(B27:B28)</f>
        <v>7291.6666666655528</v>
      </c>
      <c r="G30" s="11">
        <f>$B$17*SUM(C27:C28)</f>
        <v>53160.919540216048</v>
      </c>
    </row>
    <row r="31" spans="1:11" x14ac:dyDescent="0.25">
      <c r="A31" t="s">
        <v>28</v>
      </c>
      <c r="B31" s="11">
        <f t="shared" si="1"/>
        <v>6249.999999999045</v>
      </c>
      <c r="C31" s="11">
        <f t="shared" si="1"/>
        <v>22783.251231521168</v>
      </c>
    </row>
  </sheetData>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zoomScaleNormal="100" workbookViewId="0">
      <selection activeCell="A2" sqref="A2"/>
    </sheetView>
  </sheetViews>
  <sheetFormatPr defaultRowHeight="15" x14ac:dyDescent="0.25"/>
  <cols>
    <col min="1" max="1" width="25.42578125" customWidth="1"/>
    <col min="2" max="2" width="10.140625" bestFit="1" customWidth="1"/>
    <col min="3" max="3" width="12" bestFit="1" customWidth="1"/>
    <col min="5" max="5" width="15.85546875" customWidth="1"/>
    <col min="10" max="10" width="10.140625" bestFit="1" customWidth="1"/>
    <col min="11" max="11" width="11.140625" bestFit="1" customWidth="1"/>
  </cols>
  <sheetData>
    <row r="1" spans="1:7" x14ac:dyDescent="0.25">
      <c r="A1" s="1" t="s">
        <v>0</v>
      </c>
    </row>
    <row r="3" spans="1:7" x14ac:dyDescent="0.25">
      <c r="A3" t="s">
        <v>7</v>
      </c>
      <c r="B3" s="4">
        <v>10000</v>
      </c>
    </row>
    <row r="5" spans="1:7" x14ac:dyDescent="0.25">
      <c r="A5" t="s">
        <v>1</v>
      </c>
      <c r="E5" t="s">
        <v>6</v>
      </c>
    </row>
    <row r="6" spans="1:7" x14ac:dyDescent="0.25">
      <c r="B6" s="2" t="s">
        <v>4</v>
      </c>
      <c r="C6" s="2" t="s">
        <v>5</v>
      </c>
      <c r="F6" s="2" t="s">
        <v>4</v>
      </c>
      <c r="G6" s="2" t="s">
        <v>5</v>
      </c>
    </row>
    <row r="7" spans="1:7" x14ac:dyDescent="0.25">
      <c r="A7" t="s">
        <v>2</v>
      </c>
      <c r="B7" s="3">
        <v>0.8</v>
      </c>
      <c r="C7" s="3">
        <v>0.75</v>
      </c>
      <c r="E7" t="s">
        <v>2</v>
      </c>
      <c r="F7" s="3">
        <v>8</v>
      </c>
      <c r="G7" s="3">
        <v>8.25</v>
      </c>
    </row>
    <row r="8" spans="1:7" x14ac:dyDescent="0.25">
      <c r="A8" t="s">
        <v>3</v>
      </c>
      <c r="B8" s="3">
        <v>0.7</v>
      </c>
      <c r="C8" s="3">
        <v>0.85</v>
      </c>
      <c r="E8" t="s">
        <v>3</v>
      </c>
      <c r="F8" s="3">
        <v>7</v>
      </c>
      <c r="G8" s="3">
        <v>7</v>
      </c>
    </row>
    <row r="10" spans="1:7" x14ac:dyDescent="0.25">
      <c r="A10" t="s">
        <v>12</v>
      </c>
    </row>
    <row r="11" spans="1:7" x14ac:dyDescent="0.25">
      <c r="B11" s="2" t="s">
        <v>4</v>
      </c>
      <c r="C11" s="2" t="s">
        <v>5</v>
      </c>
    </row>
    <row r="12" spans="1:7" x14ac:dyDescent="0.25">
      <c r="A12" t="s">
        <v>2</v>
      </c>
      <c r="B12" s="5">
        <v>5</v>
      </c>
      <c r="C12" s="5">
        <v>6</v>
      </c>
    </row>
    <row r="13" spans="1:7" x14ac:dyDescent="0.25">
      <c r="A13" t="s">
        <v>3</v>
      </c>
      <c r="B13" s="5">
        <v>8</v>
      </c>
      <c r="C13" s="5">
        <v>10</v>
      </c>
    </row>
    <row r="15" spans="1:7" x14ac:dyDescent="0.25">
      <c r="A15" t="s">
        <v>8</v>
      </c>
    </row>
    <row r="16" spans="1:7" x14ac:dyDescent="0.25">
      <c r="A16" t="s">
        <v>9</v>
      </c>
      <c r="B16" s="6">
        <v>0.4</v>
      </c>
    </row>
    <row r="17" spans="1:11" x14ac:dyDescent="0.25">
      <c r="A17" t="s">
        <v>10</v>
      </c>
      <c r="B17" s="6">
        <v>0.7</v>
      </c>
    </row>
    <row r="19" spans="1:11" x14ac:dyDescent="0.25">
      <c r="A19" t="s">
        <v>29</v>
      </c>
      <c r="E19" t="s">
        <v>11</v>
      </c>
      <c r="I19" t="s">
        <v>16</v>
      </c>
    </row>
    <row r="20" spans="1:11" x14ac:dyDescent="0.25">
      <c r="B20" s="2" t="s">
        <v>4</v>
      </c>
      <c r="C20" s="2" t="s">
        <v>5</v>
      </c>
      <c r="F20" s="2" t="s">
        <v>4</v>
      </c>
      <c r="G20" s="2" t="s">
        <v>5</v>
      </c>
      <c r="J20" s="2" t="s">
        <v>4</v>
      </c>
      <c r="K20" s="2" t="s">
        <v>5</v>
      </c>
    </row>
    <row r="21" spans="1:11" x14ac:dyDescent="0.25">
      <c r="A21" t="s">
        <v>23</v>
      </c>
      <c r="B21" s="10">
        <v>0</v>
      </c>
      <c r="C21" s="10">
        <v>92561.983470992738</v>
      </c>
      <c r="E21" t="s">
        <v>2</v>
      </c>
      <c r="F21" s="13">
        <v>2.2737367544323206E-13</v>
      </c>
      <c r="G21" s="13">
        <v>15426.997245165458</v>
      </c>
      <c r="I21" t="s">
        <v>17</v>
      </c>
      <c r="J21" s="7">
        <f>SUMPRODUCT(B$7:B$8,B$21:B$22)+SUM(F$21:F$22)</f>
        <v>9999.9999999911797</v>
      </c>
      <c r="K21" s="7">
        <f>SUMPRODUCT(C$7:C$8,C$21:C$22)+SUM(G$21:G$22)</f>
        <v>84848.484848410008</v>
      </c>
    </row>
    <row r="22" spans="1:11" x14ac:dyDescent="0.25">
      <c r="A22" t="s">
        <v>24</v>
      </c>
      <c r="B22" s="10">
        <v>12121.21212120143</v>
      </c>
      <c r="C22" s="10">
        <v>0</v>
      </c>
      <c r="E22" t="s">
        <v>3</v>
      </c>
      <c r="F22" s="13">
        <v>1515.1515151501787</v>
      </c>
      <c r="G22" s="13">
        <v>0</v>
      </c>
      <c r="J22" s="8" t="s">
        <v>15</v>
      </c>
      <c r="K22" s="8" t="s">
        <v>15</v>
      </c>
    </row>
    <row r="23" spans="1:11" x14ac:dyDescent="0.25">
      <c r="B23" s="2"/>
      <c r="C23" s="2"/>
      <c r="I23" t="s">
        <v>18</v>
      </c>
      <c r="J23" s="7">
        <f>B3</f>
        <v>10000</v>
      </c>
      <c r="K23" s="7">
        <f>J23-J21+SUMPRODUCT(F7:F8,B27:B28)</f>
        <v>84848.484848418826</v>
      </c>
    </row>
    <row r="24" spans="1:11" x14ac:dyDescent="0.25">
      <c r="A24" t="s">
        <v>25</v>
      </c>
      <c r="B24" s="11">
        <f t="shared" ref="B24:B25" si="0">B21</f>
        <v>0</v>
      </c>
      <c r="C24" s="11">
        <f>B24-B27+C21</f>
        <v>92561.983470992738</v>
      </c>
      <c r="J24" s="7"/>
      <c r="K24" s="7"/>
    </row>
    <row r="25" spans="1:11" x14ac:dyDescent="0.25">
      <c r="A25" t="s">
        <v>26</v>
      </c>
      <c r="B25" s="11">
        <f t="shared" si="0"/>
        <v>12121.21212120143</v>
      </c>
      <c r="C25" s="11">
        <f>B25-B28+C22</f>
        <v>0</v>
      </c>
      <c r="F25" s="2"/>
      <c r="G25" s="2"/>
      <c r="I25" t="s">
        <v>19</v>
      </c>
      <c r="J25" s="9">
        <f>SUMPRODUCT(F7:G8,Bottles_sold)-SUMPRODUCT(B7:C8,Grapes_produced)-SUM(Advertising)</f>
        <v>753636.36363569892</v>
      </c>
      <c r="K25" s="7"/>
    </row>
    <row r="26" spans="1:11" x14ac:dyDescent="0.25">
      <c r="B26" s="12" t="s">
        <v>20</v>
      </c>
      <c r="C26" s="12" t="s">
        <v>20</v>
      </c>
      <c r="F26" s="11"/>
      <c r="G26" s="11"/>
    </row>
    <row r="27" spans="1:11" x14ac:dyDescent="0.25">
      <c r="A27" t="s">
        <v>21</v>
      </c>
      <c r="B27" s="10">
        <v>0</v>
      </c>
      <c r="C27" s="10">
        <v>92561.983470992738</v>
      </c>
      <c r="F27" s="12"/>
      <c r="G27" s="12"/>
    </row>
    <row r="28" spans="1:11" x14ac:dyDescent="0.25">
      <c r="A28" t="s">
        <v>22</v>
      </c>
      <c r="B28" s="10">
        <v>12121.21212120143</v>
      </c>
      <c r="C28" s="10">
        <v>0</v>
      </c>
      <c r="F28" s="11"/>
      <c r="G28" s="11"/>
    </row>
    <row r="29" spans="1:11" x14ac:dyDescent="0.25">
      <c r="B29" s="2" t="s">
        <v>15</v>
      </c>
      <c r="C29" s="2" t="s">
        <v>15</v>
      </c>
      <c r="F29" s="12"/>
      <c r="G29" s="12"/>
    </row>
    <row r="30" spans="1:11" x14ac:dyDescent="0.25">
      <c r="A30" t="s">
        <v>27</v>
      </c>
      <c r="B30" s="11">
        <f t="shared" ref="B30:C31" si="1">B12*F21</f>
        <v>1.1368683772161603E-12</v>
      </c>
      <c r="C30" s="11">
        <f t="shared" si="1"/>
        <v>92561.983470992738</v>
      </c>
      <c r="F30" s="11"/>
      <c r="G30" s="11"/>
    </row>
    <row r="31" spans="1:11" x14ac:dyDescent="0.25">
      <c r="A31" t="s">
        <v>28</v>
      </c>
      <c r="B31" s="11">
        <f t="shared" si="1"/>
        <v>12121.21212120143</v>
      </c>
      <c r="C31" s="11">
        <f t="shared" si="1"/>
        <v>0</v>
      </c>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zoomScaleNormal="100" workbookViewId="0">
      <selection activeCell="A2" sqref="A2"/>
    </sheetView>
  </sheetViews>
  <sheetFormatPr defaultRowHeight="15" x14ac:dyDescent="0.25"/>
  <cols>
    <col min="1" max="1" width="25.42578125" customWidth="1"/>
    <col min="2" max="2" width="10.140625" bestFit="1" customWidth="1"/>
    <col min="3" max="3" width="12" bestFit="1" customWidth="1"/>
    <col min="5" max="5" width="15.85546875" customWidth="1"/>
    <col min="10" max="10" width="10.140625" bestFit="1" customWidth="1"/>
    <col min="11" max="11" width="11.140625" bestFit="1" customWidth="1"/>
  </cols>
  <sheetData>
    <row r="1" spans="1:7" x14ac:dyDescent="0.25">
      <c r="A1" s="1" t="s">
        <v>0</v>
      </c>
    </row>
    <row r="3" spans="1:7" x14ac:dyDescent="0.25">
      <c r="A3" t="s">
        <v>7</v>
      </c>
      <c r="B3" s="4">
        <v>10000</v>
      </c>
    </row>
    <row r="5" spans="1:7" x14ac:dyDescent="0.25">
      <c r="A5" t="s">
        <v>1</v>
      </c>
      <c r="E5" t="s">
        <v>6</v>
      </c>
    </row>
    <row r="6" spans="1:7" x14ac:dyDescent="0.25">
      <c r="B6" s="2" t="s">
        <v>4</v>
      </c>
      <c r="C6" s="2" t="s">
        <v>5</v>
      </c>
      <c r="F6" s="2" t="s">
        <v>4</v>
      </c>
      <c r="G6" s="2" t="s">
        <v>5</v>
      </c>
    </row>
    <row r="7" spans="1:7" x14ac:dyDescent="0.25">
      <c r="A7" t="s">
        <v>2</v>
      </c>
      <c r="B7" s="3">
        <v>0.8</v>
      </c>
      <c r="C7" s="3">
        <v>0.75</v>
      </c>
      <c r="E7" t="s">
        <v>2</v>
      </c>
      <c r="F7" s="3">
        <v>8</v>
      </c>
      <c r="G7" s="3">
        <v>8.25</v>
      </c>
    </row>
    <row r="8" spans="1:7" x14ac:dyDescent="0.25">
      <c r="A8" t="s">
        <v>3</v>
      </c>
      <c r="B8" s="3">
        <v>0.7</v>
      </c>
      <c r="C8" s="3">
        <v>0.85</v>
      </c>
      <c r="E8" t="s">
        <v>3</v>
      </c>
      <c r="F8" s="3">
        <v>7</v>
      </c>
      <c r="G8" s="14">
        <v>3.5</v>
      </c>
    </row>
    <row r="10" spans="1:7" x14ac:dyDescent="0.25">
      <c r="A10" t="s">
        <v>12</v>
      </c>
    </row>
    <row r="11" spans="1:7" x14ac:dyDescent="0.25">
      <c r="B11" s="2" t="s">
        <v>4</v>
      </c>
      <c r="C11" s="2" t="s">
        <v>5</v>
      </c>
    </row>
    <row r="12" spans="1:7" x14ac:dyDescent="0.25">
      <c r="A12" t="s">
        <v>2</v>
      </c>
      <c r="B12" s="5">
        <v>5</v>
      </c>
      <c r="C12" s="5">
        <v>6</v>
      </c>
    </row>
    <row r="13" spans="1:7" x14ac:dyDescent="0.25">
      <c r="A13" t="s">
        <v>3</v>
      </c>
      <c r="B13" s="5">
        <v>8</v>
      </c>
      <c r="C13" s="5">
        <v>10</v>
      </c>
    </row>
    <row r="15" spans="1:7" x14ac:dyDescent="0.25">
      <c r="A15" t="s">
        <v>8</v>
      </c>
    </row>
    <row r="16" spans="1:7" x14ac:dyDescent="0.25">
      <c r="A16" t="s">
        <v>9</v>
      </c>
      <c r="B16" s="6">
        <v>0.4</v>
      </c>
    </row>
    <row r="17" spans="1:11" x14ac:dyDescent="0.25">
      <c r="A17" t="s">
        <v>10</v>
      </c>
      <c r="B17" s="6">
        <v>0.7</v>
      </c>
    </row>
    <row r="19" spans="1:11" x14ac:dyDescent="0.25">
      <c r="A19" t="s">
        <v>29</v>
      </c>
      <c r="E19" t="s">
        <v>11</v>
      </c>
      <c r="I19" t="s">
        <v>16</v>
      </c>
    </row>
    <row r="20" spans="1:11" x14ac:dyDescent="0.25">
      <c r="B20" s="2" t="s">
        <v>4</v>
      </c>
      <c r="C20" s="2" t="s">
        <v>5</v>
      </c>
      <c r="F20" s="2" t="s">
        <v>4</v>
      </c>
      <c r="G20" s="2" t="s">
        <v>5</v>
      </c>
      <c r="J20" s="2" t="s">
        <v>4</v>
      </c>
      <c r="K20" s="2" t="s">
        <v>5</v>
      </c>
    </row>
    <row r="21" spans="1:11" x14ac:dyDescent="0.25">
      <c r="A21" t="s">
        <v>23</v>
      </c>
      <c r="B21" s="10">
        <v>4469.2737430160214</v>
      </c>
      <c r="C21" s="10">
        <v>62457.29673242884</v>
      </c>
      <c r="E21" t="s">
        <v>2</v>
      </c>
      <c r="F21" s="13">
        <v>893.8547486032046</v>
      </c>
      <c r="G21" s="13">
        <v>10409.549455404809</v>
      </c>
      <c r="I21" t="s">
        <v>17</v>
      </c>
      <c r="J21" s="7">
        <f>SUMPRODUCT(B$7:B$8,B$21:B$22)+SUM(F$21:F$22)</f>
        <v>9999.999999998352</v>
      </c>
      <c r="K21" s="7">
        <f>SUMPRODUCT(C$7:C$8,C$21:C$22)+SUM(G$21:G$22)</f>
        <v>82681.564245786751</v>
      </c>
    </row>
    <row r="22" spans="1:11" x14ac:dyDescent="0.25">
      <c r="A22" t="s">
        <v>24</v>
      </c>
      <c r="B22" s="10">
        <v>6703.9106145240376</v>
      </c>
      <c r="C22" s="10">
        <v>26767.412885326652</v>
      </c>
      <c r="E22" t="s">
        <v>3</v>
      </c>
      <c r="F22" s="13">
        <v>837.98882681550469</v>
      </c>
      <c r="G22" s="13">
        <v>2676.7412885326653</v>
      </c>
      <c r="J22" s="8" t="s">
        <v>15</v>
      </c>
      <c r="K22" s="8" t="s">
        <v>15</v>
      </c>
    </row>
    <row r="23" spans="1:11" x14ac:dyDescent="0.25">
      <c r="B23" s="2"/>
      <c r="C23" s="2"/>
      <c r="I23" t="s">
        <v>18</v>
      </c>
      <c r="J23" s="7">
        <f>B3</f>
        <v>10000</v>
      </c>
      <c r="K23" s="7">
        <f>J23-J21+SUMPRODUCT(F7:F8,B27:B28)</f>
        <v>82681.564245798087</v>
      </c>
    </row>
    <row r="24" spans="1:11" x14ac:dyDescent="0.25">
      <c r="A24" t="s">
        <v>25</v>
      </c>
      <c r="B24" s="11">
        <f t="shared" ref="B24:B25" si="0">B21</f>
        <v>4469.2737430160214</v>
      </c>
      <c r="C24" s="11">
        <f>B24-B27+C21</f>
        <v>62457.29673242884</v>
      </c>
      <c r="E24" t="s">
        <v>13</v>
      </c>
      <c r="J24" s="7"/>
      <c r="K24" s="7"/>
    </row>
    <row r="25" spans="1:11" x14ac:dyDescent="0.25">
      <c r="A25" t="s">
        <v>26</v>
      </c>
      <c r="B25" s="11">
        <f t="shared" si="0"/>
        <v>6703.9106145240376</v>
      </c>
      <c r="C25" s="11">
        <f>B25-B28+C22</f>
        <v>26767.412885326652</v>
      </c>
      <c r="F25" s="2" t="s">
        <v>4</v>
      </c>
      <c r="G25" s="2" t="s">
        <v>5</v>
      </c>
      <c r="I25" t="s">
        <v>19</v>
      </c>
      <c r="J25" s="9">
        <f>SUMPRODUCT(F7:G8,Bottles_sold)-SUMPRODUCT(B7:C8,Grapes_produced)-SUM(Advertising)</f>
        <v>598958.64314119262</v>
      </c>
      <c r="K25" s="7"/>
    </row>
    <row r="26" spans="1:11" x14ac:dyDescent="0.25">
      <c r="B26" s="12" t="s">
        <v>20</v>
      </c>
      <c r="C26" s="12" t="s">
        <v>20</v>
      </c>
      <c r="E26" t="s">
        <v>9</v>
      </c>
      <c r="F26" s="11">
        <f>$B$16*SUM(B27:B28)</f>
        <v>4469.2737430160241</v>
      </c>
      <c r="G26" s="11">
        <f>$B$16*SUM(C27:C28)</f>
        <v>35689.883847102195</v>
      </c>
    </row>
    <row r="27" spans="1:11" x14ac:dyDescent="0.25">
      <c r="A27" t="s">
        <v>21</v>
      </c>
      <c r="B27" s="10">
        <v>4469.2737430160214</v>
      </c>
      <c r="C27" s="10">
        <v>62457.29673242884</v>
      </c>
      <c r="F27" s="12" t="s">
        <v>15</v>
      </c>
      <c r="G27" s="12" t="s">
        <v>15</v>
      </c>
    </row>
    <row r="28" spans="1:11" x14ac:dyDescent="0.25">
      <c r="A28" t="s">
        <v>22</v>
      </c>
      <c r="B28" s="10">
        <v>6703.9106145240376</v>
      </c>
      <c r="C28" s="10">
        <v>26767.412885326652</v>
      </c>
      <c r="E28" t="s">
        <v>14</v>
      </c>
      <c r="F28" s="11">
        <f>B27</f>
        <v>4469.2737430160214</v>
      </c>
      <c r="G28" s="11">
        <f>C27</f>
        <v>62457.29673242884</v>
      </c>
    </row>
    <row r="29" spans="1:11" x14ac:dyDescent="0.25">
      <c r="B29" s="2" t="s">
        <v>15</v>
      </c>
      <c r="C29" s="2" t="s">
        <v>15</v>
      </c>
      <c r="F29" s="12" t="s">
        <v>15</v>
      </c>
      <c r="G29" s="12" t="s">
        <v>15</v>
      </c>
    </row>
    <row r="30" spans="1:11" x14ac:dyDescent="0.25">
      <c r="A30" t="s">
        <v>27</v>
      </c>
      <c r="B30" s="11">
        <f t="shared" ref="B30:C31" si="1">B12*F21</f>
        <v>4469.2737430160232</v>
      </c>
      <c r="C30" s="11">
        <f t="shared" si="1"/>
        <v>62457.296732428855</v>
      </c>
      <c r="E30" t="s">
        <v>10</v>
      </c>
      <c r="F30" s="11">
        <f>$B$17*SUM(B27:B28)</f>
        <v>7821.2290502780415</v>
      </c>
      <c r="G30" s="11">
        <f>$B$17*SUM(C27:C28)</f>
        <v>62457.29673242884</v>
      </c>
    </row>
    <row r="31" spans="1:11" x14ac:dyDescent="0.25">
      <c r="A31" t="s">
        <v>28</v>
      </c>
      <c r="B31" s="11">
        <f t="shared" si="1"/>
        <v>6703.9106145240376</v>
      </c>
      <c r="C31" s="11">
        <f t="shared" si="1"/>
        <v>26767.412885326652</v>
      </c>
    </row>
  </sheetData>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zoomScaleNormal="100" workbookViewId="0">
      <selection activeCell="A2" sqref="A2"/>
    </sheetView>
  </sheetViews>
  <sheetFormatPr defaultRowHeight="15" x14ac:dyDescent="0.25"/>
  <cols>
    <col min="1" max="1" width="25.42578125" customWidth="1"/>
    <col min="2" max="2" width="10.140625" bestFit="1" customWidth="1"/>
    <col min="3" max="3" width="12" bestFit="1" customWidth="1"/>
    <col min="5" max="5" width="15.85546875" customWidth="1"/>
    <col min="10" max="10" width="10.140625" bestFit="1" customWidth="1"/>
    <col min="11" max="11" width="11.140625" bestFit="1" customWidth="1"/>
  </cols>
  <sheetData>
    <row r="1" spans="1:7" x14ac:dyDescent="0.25">
      <c r="A1" s="1" t="s">
        <v>0</v>
      </c>
    </row>
    <row r="3" spans="1:7" x14ac:dyDescent="0.25">
      <c r="A3" t="s">
        <v>7</v>
      </c>
      <c r="B3" s="4">
        <v>10000</v>
      </c>
    </row>
    <row r="5" spans="1:7" x14ac:dyDescent="0.25">
      <c r="A5" t="s">
        <v>1</v>
      </c>
      <c r="E5" t="s">
        <v>6</v>
      </c>
    </row>
    <row r="6" spans="1:7" x14ac:dyDescent="0.25">
      <c r="B6" s="2" t="s">
        <v>4</v>
      </c>
      <c r="C6" s="2" t="s">
        <v>5</v>
      </c>
      <c r="F6" s="2" t="s">
        <v>4</v>
      </c>
      <c r="G6" s="2" t="s">
        <v>5</v>
      </c>
    </row>
    <row r="7" spans="1:7" x14ac:dyDescent="0.25">
      <c r="A7" t="s">
        <v>2</v>
      </c>
      <c r="B7" s="3">
        <v>0.8</v>
      </c>
      <c r="C7" s="3">
        <v>0.75</v>
      </c>
      <c r="E7" t="s">
        <v>2</v>
      </c>
      <c r="F7" s="3">
        <v>8</v>
      </c>
      <c r="G7" s="3">
        <v>8.25</v>
      </c>
    </row>
    <row r="8" spans="1:7" x14ac:dyDescent="0.25">
      <c r="A8" t="s">
        <v>3</v>
      </c>
      <c r="B8" s="3">
        <v>0.7</v>
      </c>
      <c r="C8" s="3">
        <v>0.85</v>
      </c>
      <c r="E8" t="s">
        <v>3</v>
      </c>
      <c r="F8" s="3">
        <v>7</v>
      </c>
      <c r="G8" s="3">
        <v>7</v>
      </c>
    </row>
    <row r="10" spans="1:7" x14ac:dyDescent="0.25">
      <c r="A10" t="s">
        <v>12</v>
      </c>
    </row>
    <row r="11" spans="1:7" x14ac:dyDescent="0.25">
      <c r="B11" s="2" t="s">
        <v>4</v>
      </c>
      <c r="C11" s="2" t="s">
        <v>5</v>
      </c>
      <c r="E11" t="s">
        <v>30</v>
      </c>
    </row>
    <row r="12" spans="1:7" x14ac:dyDescent="0.25">
      <c r="A12" t="s">
        <v>2</v>
      </c>
      <c r="B12" s="5">
        <v>5</v>
      </c>
      <c r="C12" s="5">
        <v>6</v>
      </c>
      <c r="F12" s="14">
        <v>0.1</v>
      </c>
    </row>
    <row r="13" spans="1:7" x14ac:dyDescent="0.25">
      <c r="A13" t="s">
        <v>3</v>
      </c>
      <c r="B13" s="5">
        <v>8</v>
      </c>
      <c r="C13" s="5">
        <v>10</v>
      </c>
    </row>
    <row r="15" spans="1:7" x14ac:dyDescent="0.25">
      <c r="A15" t="s">
        <v>8</v>
      </c>
    </row>
    <row r="16" spans="1:7" x14ac:dyDescent="0.25">
      <c r="A16" t="s">
        <v>9</v>
      </c>
      <c r="B16" s="6">
        <v>0.4</v>
      </c>
    </row>
    <row r="17" spans="1:11" x14ac:dyDescent="0.25">
      <c r="A17" t="s">
        <v>10</v>
      </c>
      <c r="B17" s="6">
        <v>0.7</v>
      </c>
    </row>
    <row r="19" spans="1:11" x14ac:dyDescent="0.25">
      <c r="A19" t="s">
        <v>29</v>
      </c>
      <c r="E19" t="s">
        <v>11</v>
      </c>
      <c r="I19" t="s">
        <v>16</v>
      </c>
    </row>
    <row r="20" spans="1:11" x14ac:dyDescent="0.25">
      <c r="B20" s="2" t="s">
        <v>4</v>
      </c>
      <c r="C20" s="2" t="s">
        <v>5</v>
      </c>
      <c r="F20" s="2" t="s">
        <v>4</v>
      </c>
      <c r="G20" s="2" t="s">
        <v>5</v>
      </c>
      <c r="J20" s="2" t="s">
        <v>4</v>
      </c>
      <c r="K20" s="2" t="s">
        <v>5</v>
      </c>
    </row>
    <row r="21" spans="1:11" x14ac:dyDescent="0.25">
      <c r="A21" t="s">
        <v>23</v>
      </c>
      <c r="B21" s="10">
        <v>4469.2737430160369</v>
      </c>
      <c r="C21" s="10">
        <v>62457.296732428847</v>
      </c>
      <c r="E21" t="s">
        <v>2</v>
      </c>
      <c r="F21" s="13">
        <v>893.85474860320573</v>
      </c>
      <c r="G21" s="13">
        <v>10409.549455404809</v>
      </c>
      <c r="I21" t="s">
        <v>17</v>
      </c>
      <c r="J21" s="7">
        <f>SUMPRODUCT(B$7:B$8,B$21:B$22)+SUM(F$21:F$22)</f>
        <v>9999.9999999983647</v>
      </c>
      <c r="K21" s="7">
        <f>SUMPRODUCT(C$7:C$8,C$21:C$22)+SUM(G$21:G$22)</f>
        <v>82681.56424578678</v>
      </c>
    </row>
    <row r="22" spans="1:11" x14ac:dyDescent="0.25">
      <c r="A22" t="s">
        <v>24</v>
      </c>
      <c r="B22" s="10">
        <v>6703.9106145240348</v>
      </c>
      <c r="C22" s="10">
        <v>26767.412885326659</v>
      </c>
      <c r="E22" t="s">
        <v>3</v>
      </c>
      <c r="F22" s="13">
        <v>837.98882681550481</v>
      </c>
      <c r="G22" s="13">
        <v>2676.7412885326662</v>
      </c>
      <c r="J22" s="8" t="s">
        <v>15</v>
      </c>
      <c r="K22" s="8" t="s">
        <v>15</v>
      </c>
    </row>
    <row r="23" spans="1:11" x14ac:dyDescent="0.25">
      <c r="B23" s="2"/>
      <c r="C23" s="2"/>
      <c r="I23" t="s">
        <v>18</v>
      </c>
      <c r="J23" s="7">
        <f>B3</f>
        <v>10000</v>
      </c>
      <c r="K23" s="7">
        <f>J23-J21+SUMPRODUCT(F7:F8,B27:B28)</f>
        <v>82681.564245798116</v>
      </c>
    </row>
    <row r="24" spans="1:11" x14ac:dyDescent="0.25">
      <c r="A24" t="s">
        <v>25</v>
      </c>
      <c r="B24" s="11">
        <f t="shared" ref="B24:B25" si="0">B21</f>
        <v>4469.2737430160369</v>
      </c>
      <c r="C24" s="11">
        <f>B24-B27+C21</f>
        <v>62457.296732428855</v>
      </c>
      <c r="E24" t="s">
        <v>13</v>
      </c>
      <c r="J24" s="7"/>
      <c r="K24" s="7"/>
    </row>
    <row r="25" spans="1:11" x14ac:dyDescent="0.25">
      <c r="A25" t="s">
        <v>26</v>
      </c>
      <c r="B25" s="11">
        <f t="shared" si="0"/>
        <v>6703.9106145240348</v>
      </c>
      <c r="C25" s="11">
        <f>B25-B28+C22</f>
        <v>26767.412885326656</v>
      </c>
      <c r="F25" s="2" t="s">
        <v>4</v>
      </c>
      <c r="G25" s="2" t="s">
        <v>5</v>
      </c>
      <c r="I25" t="s">
        <v>19</v>
      </c>
      <c r="J25" s="9">
        <f>SUMPRODUCT(F7:G8,Bottles_sold)-SUMPRODUCT(B7:C8,Grapes_produced)-SUM(Advertising)-F12*(SUM(Bottles_available)-SUM(Bottles_sold))</f>
        <v>692644.58823983604</v>
      </c>
      <c r="K25" s="7"/>
    </row>
    <row r="26" spans="1:11" x14ac:dyDescent="0.25">
      <c r="B26" s="12" t="s">
        <v>20</v>
      </c>
      <c r="C26" s="12" t="s">
        <v>20</v>
      </c>
      <c r="E26" t="s">
        <v>9</v>
      </c>
      <c r="F26" s="11">
        <f>$B$16*SUM(B27:B28)</f>
        <v>4469.2737430160259</v>
      </c>
      <c r="G26" s="11">
        <f>$B$16*SUM(C27:C28)</f>
        <v>35689.883847102203</v>
      </c>
    </row>
    <row r="27" spans="1:11" x14ac:dyDescent="0.25">
      <c r="A27" t="s">
        <v>21</v>
      </c>
      <c r="B27" s="10">
        <v>4469.2737430160269</v>
      </c>
      <c r="C27" s="10">
        <v>62457.296732428847</v>
      </c>
      <c r="F27" s="12" t="s">
        <v>15</v>
      </c>
      <c r="G27" s="12" t="s">
        <v>15</v>
      </c>
    </row>
    <row r="28" spans="1:11" x14ac:dyDescent="0.25">
      <c r="A28" t="s">
        <v>22</v>
      </c>
      <c r="B28" s="10">
        <v>6703.9106145240385</v>
      </c>
      <c r="C28" s="10">
        <v>26767.412885326659</v>
      </c>
      <c r="E28" t="s">
        <v>14</v>
      </c>
      <c r="F28" s="11">
        <f>B27</f>
        <v>4469.2737430160269</v>
      </c>
      <c r="G28" s="11">
        <f>C27</f>
        <v>62457.296732428847</v>
      </c>
    </row>
    <row r="29" spans="1:11" x14ac:dyDescent="0.25">
      <c r="B29" s="2" t="s">
        <v>15</v>
      </c>
      <c r="C29" s="2" t="s">
        <v>15</v>
      </c>
      <c r="F29" s="12" t="s">
        <v>15</v>
      </c>
      <c r="G29" s="12" t="s">
        <v>15</v>
      </c>
    </row>
    <row r="30" spans="1:11" x14ac:dyDescent="0.25">
      <c r="A30" t="s">
        <v>27</v>
      </c>
      <c r="B30" s="11">
        <f t="shared" ref="B30:C31" si="1">B12*F21</f>
        <v>4469.2737430160287</v>
      </c>
      <c r="C30" s="11">
        <f t="shared" si="1"/>
        <v>62457.296732428855</v>
      </c>
      <c r="E30" t="s">
        <v>10</v>
      </c>
      <c r="F30" s="11">
        <f>$B$17*SUM(B27:B28)</f>
        <v>7821.2290502780452</v>
      </c>
      <c r="G30" s="11">
        <f>$B$17*SUM(C27:C28)</f>
        <v>62457.296732428847</v>
      </c>
    </row>
    <row r="31" spans="1:11" x14ac:dyDescent="0.25">
      <c r="A31" t="s">
        <v>28</v>
      </c>
      <c r="B31" s="11">
        <f t="shared" si="1"/>
        <v>6703.9106145240385</v>
      </c>
      <c r="C31" s="11">
        <f t="shared" si="1"/>
        <v>26767.412885326663</v>
      </c>
    </row>
  </sheetData>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zoomScaleNormal="100" workbookViewId="0">
      <selection activeCell="A2" sqref="A2"/>
    </sheetView>
  </sheetViews>
  <sheetFormatPr defaultRowHeight="15" x14ac:dyDescent="0.25"/>
  <cols>
    <col min="1" max="1" width="25.42578125" customWidth="1"/>
    <col min="2" max="2" width="10.140625" bestFit="1" customWidth="1"/>
    <col min="3" max="3" width="12" bestFit="1" customWidth="1"/>
    <col min="5" max="5" width="15.85546875" customWidth="1"/>
    <col min="9" max="9" width="19" customWidth="1"/>
    <col min="10" max="10" width="10.140625" bestFit="1" customWidth="1"/>
    <col min="11" max="11" width="11.140625" bestFit="1" customWidth="1"/>
  </cols>
  <sheetData>
    <row r="1" spans="1:11" x14ac:dyDescent="0.25">
      <c r="A1" s="1" t="s">
        <v>0</v>
      </c>
    </row>
    <row r="3" spans="1:11" x14ac:dyDescent="0.25">
      <c r="A3" t="s">
        <v>7</v>
      </c>
      <c r="B3" s="4">
        <v>10000</v>
      </c>
    </row>
    <row r="5" spans="1:11" x14ac:dyDescent="0.25">
      <c r="A5" t="s">
        <v>1</v>
      </c>
      <c r="E5" t="s">
        <v>6</v>
      </c>
      <c r="I5" t="s">
        <v>31</v>
      </c>
    </row>
    <row r="6" spans="1:11" x14ac:dyDescent="0.25">
      <c r="B6" s="2" t="s">
        <v>4</v>
      </c>
      <c r="C6" s="2" t="s">
        <v>5</v>
      </c>
      <c r="F6" s="2" t="s">
        <v>4</v>
      </c>
      <c r="G6" s="2" t="s">
        <v>5</v>
      </c>
      <c r="J6" s="2" t="s">
        <v>4</v>
      </c>
      <c r="K6" s="2" t="s">
        <v>5</v>
      </c>
    </row>
    <row r="7" spans="1:11" x14ac:dyDescent="0.25">
      <c r="A7" t="s">
        <v>2</v>
      </c>
      <c r="B7" s="16">
        <f t="shared" ref="B7:C8" si="0">J7*(1+$J$10)</f>
        <v>0.8</v>
      </c>
      <c r="C7" s="16">
        <f t="shared" si="0"/>
        <v>0.75</v>
      </c>
      <c r="E7" t="s">
        <v>2</v>
      </c>
      <c r="F7" s="3">
        <v>8</v>
      </c>
      <c r="G7" s="3">
        <v>8.25</v>
      </c>
      <c r="I7" t="s">
        <v>2</v>
      </c>
      <c r="J7" s="3">
        <v>0.8</v>
      </c>
      <c r="K7" s="3">
        <v>0.75</v>
      </c>
    </row>
    <row r="8" spans="1:11" x14ac:dyDescent="0.25">
      <c r="A8" t="s">
        <v>3</v>
      </c>
      <c r="B8" s="16">
        <f t="shared" si="0"/>
        <v>0.7</v>
      </c>
      <c r="C8" s="16">
        <f t="shared" si="0"/>
        <v>0.85</v>
      </c>
      <c r="E8" t="s">
        <v>3</v>
      </c>
      <c r="F8" s="3">
        <v>7</v>
      </c>
      <c r="G8" s="3">
        <v>7</v>
      </c>
      <c r="I8" t="s">
        <v>3</v>
      </c>
      <c r="J8" s="3">
        <v>0.7</v>
      </c>
      <c r="K8" s="3">
        <v>0.85</v>
      </c>
    </row>
    <row r="10" spans="1:11" x14ac:dyDescent="0.25">
      <c r="A10" t="s">
        <v>12</v>
      </c>
      <c r="I10" t="s">
        <v>32</v>
      </c>
      <c r="J10" s="6">
        <v>0</v>
      </c>
    </row>
    <row r="11" spans="1:11" x14ac:dyDescent="0.25">
      <c r="B11" s="2" t="s">
        <v>4</v>
      </c>
      <c r="C11" s="2" t="s">
        <v>5</v>
      </c>
    </row>
    <row r="12" spans="1:11" x14ac:dyDescent="0.25">
      <c r="A12" t="s">
        <v>2</v>
      </c>
      <c r="B12" s="5">
        <v>5</v>
      </c>
      <c r="C12" s="5">
        <v>6</v>
      </c>
    </row>
    <row r="13" spans="1:11" x14ac:dyDescent="0.25">
      <c r="A13" t="s">
        <v>3</v>
      </c>
      <c r="B13" s="5">
        <v>8</v>
      </c>
      <c r="C13" s="5">
        <v>10</v>
      </c>
    </row>
    <row r="15" spans="1:11" x14ac:dyDescent="0.25">
      <c r="A15" t="s">
        <v>8</v>
      </c>
    </row>
    <row r="16" spans="1:11" x14ac:dyDescent="0.25">
      <c r="A16" t="s">
        <v>9</v>
      </c>
      <c r="B16" s="6">
        <v>0.4</v>
      </c>
    </row>
    <row r="17" spans="1:11" x14ac:dyDescent="0.25">
      <c r="A17" t="s">
        <v>10</v>
      </c>
      <c r="B17" s="6">
        <v>0.7</v>
      </c>
    </row>
    <row r="19" spans="1:11" x14ac:dyDescent="0.25">
      <c r="A19" t="s">
        <v>29</v>
      </c>
      <c r="E19" t="s">
        <v>11</v>
      </c>
      <c r="I19" t="s">
        <v>16</v>
      </c>
    </row>
    <row r="20" spans="1:11" x14ac:dyDescent="0.25">
      <c r="B20" s="2" t="s">
        <v>4</v>
      </c>
      <c r="C20" s="2" t="s">
        <v>5</v>
      </c>
      <c r="F20" s="2" t="s">
        <v>4</v>
      </c>
      <c r="G20" s="2" t="s">
        <v>5</v>
      </c>
      <c r="J20" s="2" t="s">
        <v>4</v>
      </c>
      <c r="K20" s="2" t="s">
        <v>5</v>
      </c>
    </row>
    <row r="21" spans="1:11" x14ac:dyDescent="0.25">
      <c r="A21" t="s">
        <v>23</v>
      </c>
      <c r="B21" s="10">
        <v>4469.27392578125</v>
      </c>
      <c r="C21" s="10">
        <v>62457.296875</v>
      </c>
      <c r="E21" t="s">
        <v>2</v>
      </c>
      <c r="F21" s="13">
        <v>893.85467529296875</v>
      </c>
      <c r="G21" s="13">
        <v>10409.5498046875</v>
      </c>
      <c r="I21" t="s">
        <v>17</v>
      </c>
      <c r="J21" s="7">
        <f>SUMPRODUCT(B$7:B$8,B$21:B$22)+SUM(F$21:F$22)</f>
        <v>10000.000036621093</v>
      </c>
      <c r="K21" s="7">
        <f>SUMPRODUCT(C$7:C$8,C$21:C$22)+SUM(G$21:G$22)</f>
        <v>82681.56396484375</v>
      </c>
    </row>
    <row r="22" spans="1:11" x14ac:dyDescent="0.25">
      <c r="A22" t="s">
        <v>24</v>
      </c>
      <c r="B22" s="10">
        <v>6703.91064453125</v>
      </c>
      <c r="C22" s="10">
        <v>26767.412109375</v>
      </c>
      <c r="E22" t="s">
        <v>3</v>
      </c>
      <c r="F22" s="13">
        <v>837.98876953125</v>
      </c>
      <c r="G22" s="13">
        <v>2676.7412109375</v>
      </c>
      <c r="J22" s="8" t="s">
        <v>15</v>
      </c>
      <c r="K22" s="8" t="s">
        <v>15</v>
      </c>
    </row>
    <row r="23" spans="1:11" x14ac:dyDescent="0.25">
      <c r="B23" s="2"/>
      <c r="C23" s="2"/>
      <c r="I23" t="s">
        <v>18</v>
      </c>
      <c r="J23" s="7">
        <f>B3</f>
        <v>10000</v>
      </c>
      <c r="K23" s="7">
        <f>J23-J21+SUMPRODUCT(F7:F8,B27:B28)</f>
        <v>82681.565881347662</v>
      </c>
    </row>
    <row r="24" spans="1:11" x14ac:dyDescent="0.25">
      <c r="A24" t="s">
        <v>25</v>
      </c>
      <c r="B24" s="11">
        <f t="shared" ref="B24:B25" si="1">B21</f>
        <v>4469.27392578125</v>
      </c>
      <c r="C24" s="11">
        <f>B24-B27+C21</f>
        <v>62457.296875</v>
      </c>
      <c r="E24" t="s">
        <v>13</v>
      </c>
      <c r="J24" s="7"/>
      <c r="K24" s="7"/>
    </row>
    <row r="25" spans="1:11" x14ac:dyDescent="0.25">
      <c r="A25" t="s">
        <v>26</v>
      </c>
      <c r="B25" s="11">
        <f t="shared" si="1"/>
        <v>6703.91064453125</v>
      </c>
      <c r="C25" s="11">
        <f>B25-B28+C22</f>
        <v>26767.412109375</v>
      </c>
      <c r="F25" s="2" t="s">
        <v>4</v>
      </c>
      <c r="G25" s="2" t="s">
        <v>5</v>
      </c>
      <c r="I25" t="s">
        <v>19</v>
      </c>
      <c r="J25" s="9">
        <f>SUMPRODUCT(F7:G8,Bottles_sold)-SUMPRODUCT(B7:C8,Grapes_produced)-SUM(Advertising)</f>
        <v>692644.58590087888</v>
      </c>
      <c r="K25" s="7"/>
    </row>
    <row r="26" spans="1:11" x14ac:dyDescent="0.25">
      <c r="B26" s="12" t="s">
        <v>20</v>
      </c>
      <c r="C26" s="12" t="s">
        <v>20</v>
      </c>
      <c r="E26" t="s">
        <v>9</v>
      </c>
      <c r="F26" s="11">
        <f>$B$16*SUM(B27:B28)</f>
        <v>4469.2738281250004</v>
      </c>
      <c r="G26" s="11">
        <f>$B$16*SUM(C27:C28)</f>
        <v>35689.883593750004</v>
      </c>
    </row>
    <row r="27" spans="1:11" x14ac:dyDescent="0.25">
      <c r="A27" t="s">
        <v>21</v>
      </c>
      <c r="B27" s="10">
        <v>4469.27392578125</v>
      </c>
      <c r="C27" s="10">
        <v>62457.296875</v>
      </c>
      <c r="F27" s="12" t="s">
        <v>15</v>
      </c>
      <c r="G27" s="12" t="s">
        <v>15</v>
      </c>
    </row>
    <row r="28" spans="1:11" x14ac:dyDescent="0.25">
      <c r="A28" t="s">
        <v>22</v>
      </c>
      <c r="B28" s="10">
        <v>6703.91064453125</v>
      </c>
      <c r="C28" s="10">
        <v>26767.412109375</v>
      </c>
      <c r="E28" t="s">
        <v>14</v>
      </c>
      <c r="F28" s="11">
        <f>B27</f>
        <v>4469.27392578125</v>
      </c>
      <c r="G28" s="11">
        <f>C27</f>
        <v>62457.296875</v>
      </c>
    </row>
    <row r="29" spans="1:11" x14ac:dyDescent="0.25">
      <c r="B29" s="2" t="s">
        <v>15</v>
      </c>
      <c r="C29" s="2" t="s">
        <v>15</v>
      </c>
      <c r="F29" s="12" t="s">
        <v>15</v>
      </c>
      <c r="G29" s="12" t="s">
        <v>15</v>
      </c>
    </row>
    <row r="30" spans="1:11" x14ac:dyDescent="0.25">
      <c r="A30" t="s">
        <v>27</v>
      </c>
      <c r="B30" s="11">
        <f t="shared" ref="B30:C31" si="2">B12*F21</f>
        <v>4469.2733764648437</v>
      </c>
      <c r="C30" s="11">
        <f t="shared" si="2"/>
        <v>62457.298828125</v>
      </c>
      <c r="E30" t="s">
        <v>10</v>
      </c>
      <c r="F30" s="11">
        <f>$B$17*SUM(B27:B28)</f>
        <v>7821.2291992187493</v>
      </c>
      <c r="G30" s="11">
        <f>$B$17*SUM(C27:C28)</f>
        <v>62457.296289062499</v>
      </c>
    </row>
    <row r="31" spans="1:11" x14ac:dyDescent="0.25">
      <c r="A31" t="s">
        <v>28</v>
      </c>
      <c r="B31" s="11">
        <f t="shared" si="2"/>
        <v>6703.91015625</v>
      </c>
      <c r="C31" s="11">
        <f t="shared" si="2"/>
        <v>26767.412109375</v>
      </c>
    </row>
  </sheetData>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workbookViewId="0"/>
  </sheetViews>
  <sheetFormatPr defaultRowHeight="15" x14ac:dyDescent="0.25"/>
  <sheetData>
    <row r="1" spans="1:2" x14ac:dyDescent="0.25">
      <c r="A1">
        <v>1</v>
      </c>
    </row>
    <row r="2" spans="1:2" x14ac:dyDescent="0.25">
      <c r="A2" t="s">
        <v>33</v>
      </c>
    </row>
    <row r="3" spans="1:2" x14ac:dyDescent="0.25">
      <c r="A3">
        <v>1</v>
      </c>
    </row>
    <row r="4" spans="1:2" x14ac:dyDescent="0.25">
      <c r="A4">
        <v>0.5</v>
      </c>
    </row>
    <row r="5" spans="1:2" x14ac:dyDescent="0.25">
      <c r="A5">
        <v>1</v>
      </c>
    </row>
    <row r="6" spans="1:2" x14ac:dyDescent="0.25">
      <c r="A6">
        <v>0.1</v>
      </c>
    </row>
    <row r="8" spans="1:2" x14ac:dyDescent="0.25">
      <c r="A8" s="17"/>
      <c r="B8" s="17"/>
    </row>
    <row r="9" spans="1:2" x14ac:dyDescent="0.25">
      <c r="A9" t="s">
        <v>34</v>
      </c>
    </row>
    <row r="10" spans="1:2" x14ac:dyDescent="0.25">
      <c r="A10" t="s">
        <v>35</v>
      </c>
    </row>
    <row r="15" spans="1:2" x14ac:dyDescent="0.25">
      <c r="B15" s="17"/>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10"/>
  <sheetViews>
    <sheetView workbookViewId="0">
      <selection activeCell="P4" sqref="P4"/>
    </sheetView>
  </sheetViews>
  <sheetFormatPr defaultRowHeight="15" x14ac:dyDescent="0.25"/>
  <sheetData>
    <row r="1" spans="1:16" x14ac:dyDescent="0.25">
      <c r="A1" s="1" t="s">
        <v>36</v>
      </c>
      <c r="P1" s="20" t="str">
        <f>CONCATENATE("Sensitivity of ",$P$4," to ","Pct cost increase")</f>
        <v>Sensitivity of Profit to Pct cost increase</v>
      </c>
    </row>
    <row r="3" spans="1:16" x14ac:dyDescent="0.25">
      <c r="A3" t="s">
        <v>37</v>
      </c>
      <c r="P3" t="s">
        <v>50</v>
      </c>
    </row>
    <row r="4" spans="1:16" ht="98.25" x14ac:dyDescent="0.25">
      <c r="B4" s="18" t="s">
        <v>38</v>
      </c>
      <c r="C4" s="18" t="s">
        <v>39</v>
      </c>
      <c r="D4" s="18" t="s">
        <v>40</v>
      </c>
      <c r="E4" s="18" t="s">
        <v>41</v>
      </c>
      <c r="F4" s="18" t="s">
        <v>42</v>
      </c>
      <c r="G4" s="18" t="s">
        <v>43</v>
      </c>
      <c r="H4" s="18" t="s">
        <v>44</v>
      </c>
      <c r="I4" s="18" t="s">
        <v>45</v>
      </c>
      <c r="J4" s="18" t="s">
        <v>46</v>
      </c>
      <c r="K4" s="18" t="s">
        <v>47</v>
      </c>
      <c r="L4" s="18" t="s">
        <v>48</v>
      </c>
      <c r="M4" s="18" t="s">
        <v>49</v>
      </c>
      <c r="N4" s="18" t="s">
        <v>19</v>
      </c>
      <c r="O4" s="20">
        <f>MATCH($P$4,OutputAddresses,0)</f>
        <v>13</v>
      </c>
      <c r="P4" s="19" t="s">
        <v>19</v>
      </c>
    </row>
    <row r="5" spans="1:16" x14ac:dyDescent="0.25">
      <c r="A5" s="6">
        <v>0.5</v>
      </c>
      <c r="B5" s="21">
        <v>3162.0553359687419</v>
      </c>
      <c r="C5" s="22">
        <v>31100.215139847038</v>
      </c>
      <c r="D5" s="22">
        <v>4743.0830039531111</v>
      </c>
      <c r="E5" s="22">
        <v>13328.663631363022</v>
      </c>
      <c r="F5" s="23">
        <v>632.41</v>
      </c>
      <c r="G5" s="23">
        <v>5183.37</v>
      </c>
      <c r="H5" s="23">
        <v>592.89</v>
      </c>
      <c r="I5" s="23">
        <v>1332.87</v>
      </c>
      <c r="J5" s="22">
        <v>3162.0553359687428</v>
      </c>
      <c r="K5" s="22">
        <v>31100.215139847038</v>
      </c>
      <c r="L5" s="22">
        <v>4743.0830039531129</v>
      </c>
      <c r="M5" s="22">
        <v>13328.663631363022</v>
      </c>
      <c r="N5" s="24">
        <v>339877.42</v>
      </c>
      <c r="P5">
        <f>INDEX(OutputValues,1,$O$4)</f>
        <v>339877.42</v>
      </c>
    </row>
    <row r="6" spans="1:16" x14ac:dyDescent="0.25">
      <c r="A6" s="6">
        <v>0.60000002384185791</v>
      </c>
      <c r="B6" s="25">
        <v>2987.3039188160074</v>
      </c>
      <c r="C6" s="26">
        <v>27738.23032946423</v>
      </c>
      <c r="D6" s="26">
        <v>4480.9558782240047</v>
      </c>
      <c r="E6" s="26">
        <v>11887.812998341818</v>
      </c>
      <c r="F6" s="27">
        <v>597.46</v>
      </c>
      <c r="G6" s="27">
        <v>4623.04</v>
      </c>
      <c r="H6" s="27">
        <v>560.12</v>
      </c>
      <c r="I6" s="27">
        <v>1188.78</v>
      </c>
      <c r="J6" s="26">
        <v>2987.3039188160064</v>
      </c>
      <c r="K6" s="26">
        <v>27738.230329464226</v>
      </c>
      <c r="L6" s="26">
        <v>4480.9558782240074</v>
      </c>
      <c r="M6" s="26">
        <v>11887.81299834182</v>
      </c>
      <c r="N6" s="28">
        <v>302055.09000000003</v>
      </c>
      <c r="P6">
        <f>INDEX(OutputValues,2,$O$4)</f>
        <v>302055.09000000003</v>
      </c>
    </row>
    <row r="7" spans="1:16" x14ac:dyDescent="0.25">
      <c r="A7" s="6">
        <v>0.69999998807907104</v>
      </c>
      <c r="B7" s="25">
        <v>2830.8563517144858</v>
      </c>
      <c r="C7" s="26">
        <v>24893.338605362296</v>
      </c>
      <c r="D7" s="26">
        <v>4246.2845275717355</v>
      </c>
      <c r="E7" s="26">
        <v>10668.573688012417</v>
      </c>
      <c r="F7" s="27">
        <v>566.16999999999996</v>
      </c>
      <c r="G7" s="27">
        <v>4148.8900000000003</v>
      </c>
      <c r="H7" s="27">
        <v>530.79</v>
      </c>
      <c r="I7" s="27">
        <v>1066.8599999999999</v>
      </c>
      <c r="J7" s="26">
        <v>2830.8563517144903</v>
      </c>
      <c r="K7" s="26">
        <v>24893.338605362296</v>
      </c>
      <c r="L7" s="26">
        <v>4246.2845275717355</v>
      </c>
      <c r="M7" s="26">
        <v>10668.573688012417</v>
      </c>
      <c r="N7" s="28">
        <v>270050.06</v>
      </c>
      <c r="P7">
        <f>INDEX(OutputValues,3,$O$4)</f>
        <v>270050.06</v>
      </c>
    </row>
    <row r="8" spans="1:16" x14ac:dyDescent="0.25">
      <c r="A8" s="6">
        <v>0.80000001192092896</v>
      </c>
      <c r="B8" s="25">
        <v>2689.9798091935195</v>
      </c>
      <c r="C8" s="26">
        <v>22464.685073199445</v>
      </c>
      <c r="D8" s="26">
        <v>4034.9697137902795</v>
      </c>
      <c r="E8" s="26">
        <v>9627.72217422834</v>
      </c>
      <c r="F8" s="27">
        <v>538</v>
      </c>
      <c r="G8" s="27">
        <v>3744.11</v>
      </c>
      <c r="H8" s="27">
        <v>504.37</v>
      </c>
      <c r="I8" s="27">
        <v>962.77</v>
      </c>
      <c r="J8" s="26">
        <v>2689.9798091935195</v>
      </c>
      <c r="K8" s="26">
        <v>22464.685073199445</v>
      </c>
      <c r="L8" s="26">
        <v>4034.9697137902799</v>
      </c>
      <c r="M8" s="26">
        <v>9627.72217422834</v>
      </c>
      <c r="N8" s="28">
        <v>242727.71</v>
      </c>
      <c r="P8">
        <f>INDEX(OutputValues,4,$O$4)</f>
        <v>242727.71</v>
      </c>
    </row>
    <row r="9" spans="1:16" x14ac:dyDescent="0.25">
      <c r="A9" s="6">
        <v>0.89999997615814209</v>
      </c>
      <c r="B9" s="25">
        <v>2562.4599905249279</v>
      </c>
      <c r="C9" s="26">
        <v>20374.861188826428</v>
      </c>
      <c r="D9" s="26">
        <v>3843.6899857873918</v>
      </c>
      <c r="E9" s="26">
        <v>8732.0833666399012</v>
      </c>
      <c r="F9" s="27">
        <v>512.49</v>
      </c>
      <c r="G9" s="27">
        <v>3395.81</v>
      </c>
      <c r="H9" s="27">
        <v>480.46</v>
      </c>
      <c r="I9" s="27">
        <v>873.21</v>
      </c>
      <c r="J9" s="26">
        <v>2562.4599905249288</v>
      </c>
      <c r="K9" s="26">
        <v>20374.861188826428</v>
      </c>
      <c r="L9" s="26">
        <v>3843.6899857873914</v>
      </c>
      <c r="M9" s="26">
        <v>8732.0833666399012</v>
      </c>
      <c r="N9" s="28">
        <v>219217.19</v>
      </c>
      <c r="P9">
        <f>INDEX(OutputValues,5,$O$4)</f>
        <v>219217.19</v>
      </c>
    </row>
    <row r="10" spans="1:16" x14ac:dyDescent="0.25">
      <c r="A10" s="6">
        <v>1</v>
      </c>
      <c r="B10" s="29">
        <v>2446.483180428243</v>
      </c>
      <c r="C10" s="30">
        <v>18563.64678898927</v>
      </c>
      <c r="D10" s="30">
        <v>3669.7247706423636</v>
      </c>
      <c r="E10" s="30">
        <v>7955.8486238525447</v>
      </c>
      <c r="F10" s="31">
        <v>489.3</v>
      </c>
      <c r="G10" s="31">
        <v>3093.94</v>
      </c>
      <c r="H10" s="31">
        <v>458.72</v>
      </c>
      <c r="I10" s="31">
        <v>795.58</v>
      </c>
      <c r="J10" s="30">
        <v>2446.4831804282426</v>
      </c>
      <c r="K10" s="30">
        <v>18563.64678898927</v>
      </c>
      <c r="L10" s="30">
        <v>3669.7247706423632</v>
      </c>
      <c r="M10" s="30">
        <v>7955.8486238525447</v>
      </c>
      <c r="N10" s="32">
        <v>198841.03</v>
      </c>
      <c r="P10">
        <f>INDEX(OutputValues,6,$O$4)</f>
        <v>198841.03</v>
      </c>
    </row>
  </sheetData>
  <dataValidations count="1">
    <dataValidation type="list" allowBlank="1" showInputMessage="1" showErrorMessage="1" sqref="P4">
      <formula1>OutputAddresses</formula1>
    </dataValidation>
  </dataValidations>
  <pageMargins left="0.7" right="0.7" top="0.75" bottom="0.75" header="0.3" footer="0.3"/>
  <drawing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zoomScaleNormal="100" workbookViewId="0">
      <selection activeCell="A2" sqref="A2"/>
    </sheetView>
  </sheetViews>
  <sheetFormatPr defaultRowHeight="15" x14ac:dyDescent="0.25"/>
  <cols>
    <col min="1" max="1" width="25.42578125" customWidth="1"/>
    <col min="2" max="2" width="10.140625" bestFit="1" customWidth="1"/>
    <col min="3" max="3" width="12" bestFit="1" customWidth="1"/>
    <col min="5" max="5" width="15.85546875" customWidth="1"/>
    <col min="6" max="6" width="10.140625" customWidth="1"/>
    <col min="7" max="7" width="10.28515625" customWidth="1"/>
    <col min="10" max="10" width="10.140625" bestFit="1" customWidth="1"/>
    <col min="11" max="11" width="11.140625" bestFit="1" customWidth="1"/>
  </cols>
  <sheetData>
    <row r="1" spans="1:7" x14ac:dyDescent="0.25">
      <c r="A1" s="1" t="s">
        <v>0</v>
      </c>
    </row>
    <row r="3" spans="1:7" x14ac:dyDescent="0.25">
      <c r="A3" t="s">
        <v>7</v>
      </c>
      <c r="B3" s="4">
        <v>10000</v>
      </c>
    </row>
    <row r="5" spans="1:7" x14ac:dyDescent="0.25">
      <c r="A5" t="s">
        <v>1</v>
      </c>
      <c r="E5" t="s">
        <v>6</v>
      </c>
    </row>
    <row r="6" spans="1:7" x14ac:dyDescent="0.25">
      <c r="B6" s="2" t="s">
        <v>4</v>
      </c>
      <c r="C6" s="2" t="s">
        <v>5</v>
      </c>
      <c r="F6" s="2" t="s">
        <v>4</v>
      </c>
      <c r="G6" s="2" t="s">
        <v>5</v>
      </c>
    </row>
    <row r="7" spans="1:7" x14ac:dyDescent="0.25">
      <c r="A7" t="s">
        <v>2</v>
      </c>
      <c r="B7" s="3">
        <v>0.8</v>
      </c>
      <c r="C7" s="3">
        <v>0.75</v>
      </c>
      <c r="E7" t="s">
        <v>2</v>
      </c>
      <c r="F7" s="3">
        <v>8</v>
      </c>
      <c r="G7" s="3">
        <v>8.25</v>
      </c>
    </row>
    <row r="8" spans="1:7" x14ac:dyDescent="0.25">
      <c r="A8" t="s">
        <v>3</v>
      </c>
      <c r="B8" s="3">
        <v>0.7</v>
      </c>
      <c r="C8" s="3">
        <v>0.85</v>
      </c>
      <c r="E8" t="s">
        <v>3</v>
      </c>
      <c r="F8" s="3">
        <v>7</v>
      </c>
      <c r="G8" s="3">
        <v>7</v>
      </c>
    </row>
    <row r="10" spans="1:7" x14ac:dyDescent="0.25">
      <c r="A10" t="s">
        <v>12</v>
      </c>
    </row>
    <row r="11" spans="1:7" x14ac:dyDescent="0.25">
      <c r="B11" s="2" t="s">
        <v>4</v>
      </c>
      <c r="C11" s="2" t="s">
        <v>5</v>
      </c>
      <c r="E11" t="s">
        <v>51</v>
      </c>
      <c r="F11" s="33">
        <v>7.9999998211860657E-2</v>
      </c>
    </row>
    <row r="12" spans="1:7" x14ac:dyDescent="0.25">
      <c r="A12" t="s">
        <v>2</v>
      </c>
      <c r="B12" s="5">
        <v>5</v>
      </c>
      <c r="C12" s="5">
        <v>6</v>
      </c>
    </row>
    <row r="13" spans="1:7" x14ac:dyDescent="0.25">
      <c r="A13" t="s">
        <v>3</v>
      </c>
      <c r="B13" s="5">
        <v>8</v>
      </c>
      <c r="C13" s="5">
        <v>10</v>
      </c>
      <c r="F13" t="s">
        <v>56</v>
      </c>
      <c r="G13" t="s">
        <v>57</v>
      </c>
    </row>
    <row r="14" spans="1:7" x14ac:dyDescent="0.25">
      <c r="E14" t="s">
        <v>55</v>
      </c>
      <c r="F14" s="34">
        <f>1/(1+F11)</f>
        <v>0.92592592745896718</v>
      </c>
      <c r="G14" s="34">
        <f>(1/(1+F11))^2</f>
        <v>0.85733882314074861</v>
      </c>
    </row>
    <row r="15" spans="1:7" x14ac:dyDescent="0.25">
      <c r="A15" t="s">
        <v>8</v>
      </c>
    </row>
    <row r="16" spans="1:7" x14ac:dyDescent="0.25">
      <c r="A16" t="s">
        <v>9</v>
      </c>
      <c r="B16" s="6">
        <v>0.4</v>
      </c>
    </row>
    <row r="17" spans="1:11" x14ac:dyDescent="0.25">
      <c r="A17" t="s">
        <v>10</v>
      </c>
      <c r="B17" s="6">
        <v>0.7</v>
      </c>
    </row>
    <row r="19" spans="1:11" x14ac:dyDescent="0.25">
      <c r="A19" t="s">
        <v>29</v>
      </c>
      <c r="E19" t="s">
        <v>11</v>
      </c>
      <c r="I19" t="s">
        <v>16</v>
      </c>
    </row>
    <row r="20" spans="1:11" x14ac:dyDescent="0.25">
      <c r="B20" s="2" t="s">
        <v>4</v>
      </c>
      <c r="C20" s="2" t="s">
        <v>5</v>
      </c>
      <c r="F20" s="2" t="s">
        <v>4</v>
      </c>
      <c r="G20" s="2" t="s">
        <v>5</v>
      </c>
      <c r="J20" s="2" t="s">
        <v>4</v>
      </c>
      <c r="K20" s="2" t="s">
        <v>5</v>
      </c>
    </row>
    <row r="21" spans="1:11" x14ac:dyDescent="0.25">
      <c r="A21" t="s">
        <v>23</v>
      </c>
      <c r="B21" s="10">
        <v>4469.27392578125</v>
      </c>
      <c r="C21" s="10">
        <v>62457.296875</v>
      </c>
      <c r="E21" t="s">
        <v>2</v>
      </c>
      <c r="F21" s="13">
        <v>893.85467529296875</v>
      </c>
      <c r="G21" s="13">
        <v>10409.5498046875</v>
      </c>
      <c r="I21" t="s">
        <v>17</v>
      </c>
      <c r="J21" s="7">
        <f>SUMPRODUCT(B$7:B$8,B$21:B$22)+SUM(F$21:F$22)</f>
        <v>10000.000036621093</v>
      </c>
      <c r="K21" s="7">
        <f>SUMPRODUCT(C$7:C$8,C$21:C$22)+SUM(G$21:G$22)</f>
        <v>82681.56396484375</v>
      </c>
    </row>
    <row r="22" spans="1:11" x14ac:dyDescent="0.25">
      <c r="A22" t="s">
        <v>24</v>
      </c>
      <c r="B22" s="10">
        <v>6703.91064453125</v>
      </c>
      <c r="C22" s="10">
        <v>26767.412109375</v>
      </c>
      <c r="E22" t="s">
        <v>3</v>
      </c>
      <c r="F22" s="13">
        <v>837.98876953125</v>
      </c>
      <c r="G22" s="13">
        <v>2676.7412109375</v>
      </c>
      <c r="J22" s="8" t="s">
        <v>15</v>
      </c>
      <c r="K22" s="8" t="s">
        <v>15</v>
      </c>
    </row>
    <row r="23" spans="1:11" x14ac:dyDescent="0.25">
      <c r="B23" s="2"/>
      <c r="C23" s="2"/>
      <c r="I23" t="s">
        <v>18</v>
      </c>
      <c r="J23" s="7">
        <f>B3</f>
        <v>10000</v>
      </c>
      <c r="K23" s="7">
        <f>J23-J21+SUMPRODUCT(F7:F8,B27:B28)</f>
        <v>82681.565881347662</v>
      </c>
    </row>
    <row r="24" spans="1:11" x14ac:dyDescent="0.25">
      <c r="A24" t="s">
        <v>25</v>
      </c>
      <c r="B24" s="11">
        <f t="shared" ref="B24:B25" si="0">B21</f>
        <v>4469.27392578125</v>
      </c>
      <c r="C24" s="11">
        <f>B24-B27+C21</f>
        <v>62457.296875</v>
      </c>
      <c r="E24" t="s">
        <v>13</v>
      </c>
      <c r="J24" s="7"/>
      <c r="K24" s="7"/>
    </row>
    <row r="25" spans="1:11" x14ac:dyDescent="0.25">
      <c r="A25" t="s">
        <v>26</v>
      </c>
      <c r="B25" s="11">
        <f t="shared" si="0"/>
        <v>6703.91064453125</v>
      </c>
      <c r="C25" s="11">
        <f>B25-B28+C22</f>
        <v>26767.412109375</v>
      </c>
      <c r="F25" s="2" t="s">
        <v>4</v>
      </c>
      <c r="G25" s="2" t="s">
        <v>5</v>
      </c>
      <c r="I25" t="s">
        <v>19</v>
      </c>
      <c r="J25" s="9">
        <f>F14*SUMPRODUCT(F7:F8,B27:B28)-SUMPRODUCT(B7:B8,B21:B22)-SUM(F21:F22)+G14*SUMPRODUCT(G7:G8,C27:C28)-F14*SUMPRODUCT(C7:C8,C21:C22)-F14*SUM(G21:G22)</f>
        <v>592404.48249121301</v>
      </c>
      <c r="K25" s="7"/>
    </row>
    <row r="26" spans="1:11" x14ac:dyDescent="0.25">
      <c r="B26" s="12" t="s">
        <v>20</v>
      </c>
      <c r="C26" s="12" t="s">
        <v>20</v>
      </c>
      <c r="E26" t="s">
        <v>9</v>
      </c>
      <c r="F26" s="11">
        <f>$B$16*SUM(B27:B28)</f>
        <v>4469.2738281250004</v>
      </c>
      <c r="G26" s="11">
        <f>$B$16*SUM(C27:C28)</f>
        <v>35689.883593750004</v>
      </c>
    </row>
    <row r="27" spans="1:11" x14ac:dyDescent="0.25">
      <c r="A27" t="s">
        <v>21</v>
      </c>
      <c r="B27" s="10">
        <v>4469.27392578125</v>
      </c>
      <c r="C27" s="10">
        <v>62457.296875</v>
      </c>
      <c r="F27" s="12" t="s">
        <v>15</v>
      </c>
      <c r="G27" s="12" t="s">
        <v>15</v>
      </c>
    </row>
    <row r="28" spans="1:11" x14ac:dyDescent="0.25">
      <c r="A28" t="s">
        <v>22</v>
      </c>
      <c r="B28" s="10">
        <v>6703.91064453125</v>
      </c>
      <c r="C28" s="10">
        <v>26767.412109375</v>
      </c>
      <c r="E28" t="s">
        <v>14</v>
      </c>
      <c r="F28" s="11">
        <f>B27</f>
        <v>4469.27392578125</v>
      </c>
      <c r="G28" s="11">
        <f>C27</f>
        <v>62457.296875</v>
      </c>
    </row>
    <row r="29" spans="1:11" x14ac:dyDescent="0.25">
      <c r="B29" s="2" t="s">
        <v>15</v>
      </c>
      <c r="C29" s="2" t="s">
        <v>15</v>
      </c>
      <c r="F29" s="12" t="s">
        <v>15</v>
      </c>
      <c r="G29" s="12" t="s">
        <v>15</v>
      </c>
    </row>
    <row r="30" spans="1:11" x14ac:dyDescent="0.25">
      <c r="A30" t="s">
        <v>27</v>
      </c>
      <c r="B30" s="11">
        <f t="shared" ref="B30:C31" si="1">B12*F21</f>
        <v>4469.2733764648437</v>
      </c>
      <c r="C30" s="11">
        <f t="shared" si="1"/>
        <v>62457.298828125</v>
      </c>
      <c r="E30" t="s">
        <v>10</v>
      </c>
      <c r="F30" s="11">
        <f>$B$17*SUM(B27:B28)</f>
        <v>7821.2291992187493</v>
      </c>
      <c r="G30" s="11">
        <f>$B$17*SUM(C27:C28)</f>
        <v>62457.296289062499</v>
      </c>
    </row>
    <row r="31" spans="1:11" x14ac:dyDescent="0.25">
      <c r="A31" t="s">
        <v>28</v>
      </c>
      <c r="B31" s="11">
        <f t="shared" si="1"/>
        <v>6703.91015625</v>
      </c>
      <c r="C31" s="11">
        <f t="shared" si="1"/>
        <v>26767.412109375</v>
      </c>
    </row>
  </sheetData>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workbookViewId="0"/>
  </sheetViews>
  <sheetFormatPr defaultRowHeight="15" x14ac:dyDescent="0.25"/>
  <sheetData>
    <row r="1" spans="1:2" x14ac:dyDescent="0.25">
      <c r="A1">
        <v>1</v>
      </c>
    </row>
    <row r="2" spans="1:2" x14ac:dyDescent="0.25">
      <c r="A2" t="s">
        <v>52</v>
      </c>
    </row>
    <row r="3" spans="1:2" x14ac:dyDescent="0.25">
      <c r="A3">
        <v>1</v>
      </c>
    </row>
    <row r="4" spans="1:2" x14ac:dyDescent="0.25">
      <c r="A4">
        <v>0.06</v>
      </c>
    </row>
    <row r="5" spans="1:2" x14ac:dyDescent="0.25">
      <c r="A5">
        <v>0.1</v>
      </c>
    </row>
    <row r="6" spans="1:2" x14ac:dyDescent="0.25">
      <c r="A6">
        <v>0.01</v>
      </c>
    </row>
    <row r="8" spans="1:2" x14ac:dyDescent="0.25">
      <c r="A8" s="17"/>
      <c r="B8" s="17"/>
    </row>
    <row r="9" spans="1:2" x14ac:dyDescent="0.25">
      <c r="A9" t="s">
        <v>34</v>
      </c>
    </row>
    <row r="10" spans="1:2" x14ac:dyDescent="0.25">
      <c r="A10" t="s">
        <v>51</v>
      </c>
    </row>
    <row r="15" spans="1:2" x14ac:dyDescent="0.25">
      <c r="B15" s="17"/>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9"/>
  <sheetViews>
    <sheetView workbookViewId="0">
      <selection activeCell="A2" sqref="A2"/>
    </sheetView>
  </sheetViews>
  <sheetFormatPr defaultRowHeight="15" x14ac:dyDescent="0.25"/>
  <sheetData>
    <row r="1" spans="1:16" x14ac:dyDescent="0.25">
      <c r="A1" s="1" t="s">
        <v>53</v>
      </c>
      <c r="P1" s="20" t="str">
        <f>CONCATENATE("Sensitivity of ",$P$4," to ","Discount rate")</f>
        <v>Sensitivity of Profit to Discount rate</v>
      </c>
    </row>
    <row r="3" spans="1:16" x14ac:dyDescent="0.25">
      <c r="A3" t="s">
        <v>54</v>
      </c>
      <c r="P3" t="s">
        <v>50</v>
      </c>
    </row>
    <row r="4" spans="1:16" ht="98.25" x14ac:dyDescent="0.25">
      <c r="B4" s="18" t="s">
        <v>38</v>
      </c>
      <c r="C4" s="18" t="s">
        <v>39</v>
      </c>
      <c r="D4" s="18" t="s">
        <v>40</v>
      </c>
      <c r="E4" s="18" t="s">
        <v>41</v>
      </c>
      <c r="F4" s="18" t="s">
        <v>42</v>
      </c>
      <c r="G4" s="18" t="s">
        <v>43</v>
      </c>
      <c r="H4" s="18" t="s">
        <v>44</v>
      </c>
      <c r="I4" s="18" t="s">
        <v>45</v>
      </c>
      <c r="J4" s="18" t="s">
        <v>46</v>
      </c>
      <c r="K4" s="18" t="s">
        <v>47</v>
      </c>
      <c r="L4" s="18" t="s">
        <v>48</v>
      </c>
      <c r="M4" s="18" t="s">
        <v>49</v>
      </c>
      <c r="N4" s="18" t="s">
        <v>19</v>
      </c>
      <c r="O4" s="20">
        <f>MATCH($P$4,OutputAddresses,0)</f>
        <v>13</v>
      </c>
      <c r="P4" s="19" t="s">
        <v>19</v>
      </c>
    </row>
    <row r="5" spans="1:16" x14ac:dyDescent="0.25">
      <c r="A5" s="6">
        <v>5.9999998658895493E-2</v>
      </c>
      <c r="B5" s="21">
        <v>4469.2737430160214</v>
      </c>
      <c r="C5" s="22">
        <v>62457.29673242884</v>
      </c>
      <c r="D5" s="22">
        <v>6703.9106145240376</v>
      </c>
      <c r="E5" s="22">
        <v>26767.412885326652</v>
      </c>
      <c r="F5" s="23">
        <v>893.85</v>
      </c>
      <c r="G5" s="23">
        <v>10409.549999999999</v>
      </c>
      <c r="H5" s="23">
        <v>837.99</v>
      </c>
      <c r="I5" s="23">
        <v>2676.74</v>
      </c>
      <c r="J5" s="22">
        <v>4469.2737430160214</v>
      </c>
      <c r="K5" s="22">
        <v>62457.29673242884</v>
      </c>
      <c r="L5" s="22">
        <v>6703.9106145240376</v>
      </c>
      <c r="M5" s="22">
        <v>26767.412885326652</v>
      </c>
      <c r="N5" s="24">
        <v>615351.18000000005</v>
      </c>
      <c r="P5">
        <f>INDEX(OutputValues,1,$O$4)</f>
        <v>615351.18000000005</v>
      </c>
    </row>
    <row r="6" spans="1:16" x14ac:dyDescent="0.25">
      <c r="A6" s="6">
        <v>7.0000000298023224E-2</v>
      </c>
      <c r="B6" s="25">
        <v>4469.2737430160214</v>
      </c>
      <c r="C6" s="26">
        <v>62457.29673242884</v>
      </c>
      <c r="D6" s="26">
        <v>6703.9106145240376</v>
      </c>
      <c r="E6" s="26">
        <v>26767.412885326652</v>
      </c>
      <c r="F6" s="27">
        <v>893.85</v>
      </c>
      <c r="G6" s="27">
        <v>10409.549999999999</v>
      </c>
      <c r="H6" s="27">
        <v>837.99</v>
      </c>
      <c r="I6" s="27">
        <v>2676.74</v>
      </c>
      <c r="J6" s="26">
        <v>4469.2737430160214</v>
      </c>
      <c r="K6" s="26">
        <v>62457.29673242884</v>
      </c>
      <c r="L6" s="26">
        <v>6703.9106145240376</v>
      </c>
      <c r="M6" s="26">
        <v>26767.412885326652</v>
      </c>
      <c r="N6" s="28">
        <v>603717</v>
      </c>
      <c r="P6">
        <f>INDEX(OutputValues,2,$O$4)</f>
        <v>603717</v>
      </c>
    </row>
    <row r="7" spans="1:16" x14ac:dyDescent="0.25">
      <c r="A7" s="6">
        <v>7.9999998211860657E-2</v>
      </c>
      <c r="B7" s="25">
        <v>4469.2737430160214</v>
      </c>
      <c r="C7" s="26">
        <v>62457.29673242884</v>
      </c>
      <c r="D7" s="26">
        <v>6703.9106145240376</v>
      </c>
      <c r="E7" s="26">
        <v>26767.412885326652</v>
      </c>
      <c r="F7" s="27">
        <v>893.85</v>
      </c>
      <c r="G7" s="27">
        <v>10409.549999999999</v>
      </c>
      <c r="H7" s="27">
        <v>837.99</v>
      </c>
      <c r="I7" s="27">
        <v>2676.74</v>
      </c>
      <c r="J7" s="26">
        <v>4469.2737430160214</v>
      </c>
      <c r="K7" s="26">
        <v>62457.29673242884</v>
      </c>
      <c r="L7" s="26">
        <v>6703.9106145240376</v>
      </c>
      <c r="M7" s="26">
        <v>26767.412885326652</v>
      </c>
      <c r="N7" s="28">
        <v>592404.47999999998</v>
      </c>
      <c r="P7">
        <f>INDEX(OutputValues,3,$O$4)</f>
        <v>592404.47999999998</v>
      </c>
    </row>
    <row r="8" spans="1:16" x14ac:dyDescent="0.25">
      <c r="A8" s="6">
        <v>8.999999612569809E-2</v>
      </c>
      <c r="B8" s="25">
        <v>4469.2737430160214</v>
      </c>
      <c r="C8" s="26">
        <v>62457.29673242884</v>
      </c>
      <c r="D8" s="26">
        <v>6703.9106145240376</v>
      </c>
      <c r="E8" s="26">
        <v>26767.412885326652</v>
      </c>
      <c r="F8" s="27">
        <v>893.85</v>
      </c>
      <c r="G8" s="27">
        <v>10409.549999999999</v>
      </c>
      <c r="H8" s="27">
        <v>837.99</v>
      </c>
      <c r="I8" s="27">
        <v>2676.74</v>
      </c>
      <c r="J8" s="26">
        <v>4469.2737430160214</v>
      </c>
      <c r="K8" s="26">
        <v>62457.29673242884</v>
      </c>
      <c r="L8" s="26">
        <v>6703.9106145240376</v>
      </c>
      <c r="M8" s="26">
        <v>26767.412885326652</v>
      </c>
      <c r="N8" s="28">
        <v>581401.9</v>
      </c>
      <c r="P8">
        <f>INDEX(OutputValues,4,$O$4)</f>
        <v>581401.9</v>
      </c>
    </row>
    <row r="9" spans="1:16" x14ac:dyDescent="0.25">
      <c r="A9" s="6">
        <v>9.9999994039535522E-2</v>
      </c>
      <c r="B9" s="29">
        <v>4469.2737430160214</v>
      </c>
      <c r="C9" s="30">
        <v>62457.29673242884</v>
      </c>
      <c r="D9" s="30">
        <v>6703.9106145240376</v>
      </c>
      <c r="E9" s="30">
        <v>26767.412885326652</v>
      </c>
      <c r="F9" s="31">
        <v>893.85</v>
      </c>
      <c r="G9" s="31">
        <v>10409.549999999999</v>
      </c>
      <c r="H9" s="31">
        <v>837.99</v>
      </c>
      <c r="I9" s="31">
        <v>2676.74</v>
      </c>
      <c r="J9" s="30">
        <v>4469.2737430160214</v>
      </c>
      <c r="K9" s="30">
        <v>62457.29673242884</v>
      </c>
      <c r="L9" s="30">
        <v>6703.9106145240376</v>
      </c>
      <c r="M9" s="30">
        <v>26767.412885326652</v>
      </c>
      <c r="N9" s="32">
        <v>570698.01</v>
      </c>
      <c r="P9">
        <f>INDEX(OutputValues,5,$O$4)</f>
        <v>570698.01</v>
      </c>
    </row>
  </sheetData>
  <dataValidations count="1">
    <dataValidation type="list" allowBlank="1" showInputMessage="1" showErrorMessage="1" sqref="P4">
      <formula1>OutputAddresses</formula1>
    </dataValidation>
  </dataValidation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98</vt:i4>
      </vt:variant>
    </vt:vector>
  </HeadingPairs>
  <TitlesOfParts>
    <vt:vector size="108" baseType="lpstr">
      <vt:lpstr>Q1, Q2</vt:lpstr>
      <vt:lpstr>Q3</vt:lpstr>
      <vt:lpstr>Q4</vt:lpstr>
      <vt:lpstr>Q5</vt:lpstr>
      <vt:lpstr>STS_1</vt:lpstr>
      <vt:lpstr>Q6</vt:lpstr>
      <vt:lpstr>STS_2</vt:lpstr>
      <vt:lpstr>Q7</vt:lpstr>
      <vt:lpstr>Q8</vt:lpstr>
      <vt:lpstr>Q9</vt:lpstr>
      <vt:lpstr>'Q3'!Actual_Petite</vt:lpstr>
      <vt:lpstr>'Q4'!Actual_Petite</vt:lpstr>
      <vt:lpstr>'Q5'!Actual_Petite</vt:lpstr>
      <vt:lpstr>'Q6'!Actual_Petite</vt:lpstr>
      <vt:lpstr>'Q7'!Actual_Petite</vt:lpstr>
      <vt:lpstr>'Q8'!Actual_Petite</vt:lpstr>
      <vt:lpstr>'Q9'!Actual_Petite</vt:lpstr>
      <vt:lpstr>Actual_Petite</vt:lpstr>
      <vt:lpstr>'Q3'!Advertising</vt:lpstr>
      <vt:lpstr>'Q4'!Advertising</vt:lpstr>
      <vt:lpstr>'Q5'!Advertising</vt:lpstr>
      <vt:lpstr>'Q6'!Advertising</vt:lpstr>
      <vt:lpstr>'Q7'!Advertising</vt:lpstr>
      <vt:lpstr>'Q8'!Advertising</vt:lpstr>
      <vt:lpstr>'Q9'!Advertising</vt:lpstr>
      <vt:lpstr>Advertising</vt:lpstr>
      <vt:lpstr>'Q3'!Available</vt:lpstr>
      <vt:lpstr>'Q4'!Available</vt:lpstr>
      <vt:lpstr>'Q5'!Available</vt:lpstr>
      <vt:lpstr>'Q6'!Available</vt:lpstr>
      <vt:lpstr>'Q7'!Available</vt:lpstr>
      <vt:lpstr>'Q8'!Available</vt:lpstr>
      <vt:lpstr>'Q9'!Available</vt:lpstr>
      <vt:lpstr>Available</vt:lpstr>
      <vt:lpstr>'Q3'!Bottles_available</vt:lpstr>
      <vt:lpstr>'Q4'!Bottles_available</vt:lpstr>
      <vt:lpstr>'Q5'!Bottles_available</vt:lpstr>
      <vt:lpstr>'Q6'!Bottles_available</vt:lpstr>
      <vt:lpstr>'Q7'!Bottles_available</vt:lpstr>
      <vt:lpstr>'Q8'!Bottles_available</vt:lpstr>
      <vt:lpstr>'Q9'!Bottles_available</vt:lpstr>
      <vt:lpstr>Bottles_available</vt:lpstr>
      <vt:lpstr>'Q3'!Bottles_sold</vt:lpstr>
      <vt:lpstr>'Q4'!Bottles_sold</vt:lpstr>
      <vt:lpstr>'Q5'!Bottles_sold</vt:lpstr>
      <vt:lpstr>'Q6'!Bottles_sold</vt:lpstr>
      <vt:lpstr>'Q7'!Bottles_sold</vt:lpstr>
      <vt:lpstr>'Q8'!Bottles_sold</vt:lpstr>
      <vt:lpstr>'Q9'!Bottles_sold</vt:lpstr>
      <vt:lpstr>Bottles_sold</vt:lpstr>
      <vt:lpstr>STS_1!ChartData</vt:lpstr>
      <vt:lpstr>STS_2!ChartData</vt:lpstr>
      <vt:lpstr>'Q3'!Demand</vt:lpstr>
      <vt:lpstr>'Q4'!Demand</vt:lpstr>
      <vt:lpstr>'Q5'!Demand</vt:lpstr>
      <vt:lpstr>'Q6'!Demand</vt:lpstr>
      <vt:lpstr>'Q7'!Demand</vt:lpstr>
      <vt:lpstr>'Q8'!Demand</vt:lpstr>
      <vt:lpstr>'Q9'!Demand</vt:lpstr>
      <vt:lpstr>Demand</vt:lpstr>
      <vt:lpstr>'Q3'!Grapes_produced</vt:lpstr>
      <vt:lpstr>'Q4'!Grapes_produced</vt:lpstr>
      <vt:lpstr>'Q5'!Grapes_produced</vt:lpstr>
      <vt:lpstr>'Q6'!Grapes_produced</vt:lpstr>
      <vt:lpstr>'Q7'!Grapes_produced</vt:lpstr>
      <vt:lpstr>'Q8'!Grapes_produced</vt:lpstr>
      <vt:lpstr>'Q9'!Grapes_produced</vt:lpstr>
      <vt:lpstr>Grapes_produced</vt:lpstr>
      <vt:lpstr>STS_1!InputValues</vt:lpstr>
      <vt:lpstr>STS_2!InputValues</vt:lpstr>
      <vt:lpstr>Loan_amount</vt:lpstr>
      <vt:lpstr>Loan_payoff</vt:lpstr>
      <vt:lpstr>'Q3'!Max_Petite</vt:lpstr>
      <vt:lpstr>'Q4'!Max_Petite</vt:lpstr>
      <vt:lpstr>'Q5'!Max_Petite</vt:lpstr>
      <vt:lpstr>'Q6'!Max_Petite</vt:lpstr>
      <vt:lpstr>'Q7'!Max_Petite</vt:lpstr>
      <vt:lpstr>'Q8'!Max_Petite</vt:lpstr>
      <vt:lpstr>'Q9'!Max_Petite</vt:lpstr>
      <vt:lpstr>Max_Petite</vt:lpstr>
      <vt:lpstr>'Q3'!Min_Petite</vt:lpstr>
      <vt:lpstr>'Q4'!Min_Petite</vt:lpstr>
      <vt:lpstr>'Q5'!Min_Petite</vt:lpstr>
      <vt:lpstr>'Q6'!Min_Petite</vt:lpstr>
      <vt:lpstr>'Q7'!Min_Petite</vt:lpstr>
      <vt:lpstr>'Q8'!Min_Petite</vt:lpstr>
      <vt:lpstr>'Q9'!Min_Petite</vt:lpstr>
      <vt:lpstr>Min_Petite</vt:lpstr>
      <vt:lpstr>STS_1!OutputAddresses</vt:lpstr>
      <vt:lpstr>STS_2!OutputAddresses</vt:lpstr>
      <vt:lpstr>STS_1!OutputValues</vt:lpstr>
      <vt:lpstr>STS_2!OutputValues</vt:lpstr>
      <vt:lpstr>'Q3'!Profit</vt:lpstr>
      <vt:lpstr>'Q4'!Profit</vt:lpstr>
      <vt:lpstr>'Q5'!Profit</vt:lpstr>
      <vt:lpstr>'Q6'!Profit</vt:lpstr>
      <vt:lpstr>'Q7'!Profit</vt:lpstr>
      <vt:lpstr>'Q8'!Profit</vt:lpstr>
      <vt:lpstr>'Q9'!Profit</vt:lpstr>
      <vt:lpstr>Profit</vt:lpstr>
      <vt:lpstr>'Q3'!Spent</vt:lpstr>
      <vt:lpstr>'Q4'!Spent</vt:lpstr>
      <vt:lpstr>'Q5'!Spent</vt:lpstr>
      <vt:lpstr>'Q6'!Spent</vt:lpstr>
      <vt:lpstr>'Q7'!Spent</vt:lpstr>
      <vt:lpstr>'Q8'!Spent</vt:lpstr>
      <vt:lpstr>'Q9'!Spent</vt:lpstr>
      <vt:lpstr>Spent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2010-08-21T13:16:31Z</dcterms:created>
  <dcterms:modified xsi:type="dcterms:W3CDTF">2010-08-21T14:58:30Z</dcterms:modified>
</cp:coreProperties>
</file>