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EBA_1e_DataMiningPatch\6ExcelSolutions\NewExcelSolutions\"/>
    </mc:Choice>
  </mc:AlternateContent>
  <bookViews>
    <workbookView xWindow="0" yWindow="0" windowWidth="25200" windowHeight="11985" tabRatio="876" firstSheet="4" activeTab="8"/>
  </bookViews>
  <sheets>
    <sheet name="NewDataToPredict" sheetId="2" r:id="rId1"/>
    <sheet name="Data" sheetId="1" r:id="rId2"/>
    <sheet name="Data_Partition" sheetId="3" r:id="rId3"/>
    <sheet name="LR_Output1" sheetId="20" r:id="rId4"/>
    <sheet name="LR_TrainingScore1" sheetId="19" r:id="rId5"/>
    <sheet name="LR_ValidationScore1" sheetId="18" r:id="rId6"/>
    <sheet name="LR_TrainingLiftChart1" sheetId="17" r:id="rId7"/>
    <sheet name="LR_ValidationLiftChart1" sheetId="16" r:id="rId8"/>
    <sheet name="LR_NewScore1" sheetId="15" r:id="rId9"/>
    <sheet name="LR_Stored1" sheetId="14" r:id="rId10"/>
    <sheet name="LR_Output" sheetId="7" r:id="rId11"/>
    <sheet name="LR_TrainingLiftChart" sheetId="6" r:id="rId12"/>
    <sheet name="LR_ValidationLiftChart" sheetId="5" r:id="rId13"/>
    <sheet name="LR_Stored" sheetId="4" r:id="rId14"/>
  </sheets>
  <definedNames>
    <definedName name="xlm_603_1" localSheetId="2">"'{""wkbk"":""9.9Solution.xlsx"",""wksheet"":""Data_Partition"",""data_range"":"""",""has_header"":true,""cat_cols"":[],""firstRow"":-1,""rows"":171,""train_rows"":105,""validation_rows"":66,""test_rows"":0,""trainingDataRange"":""$B$21:$G$125"",""validationDataRange"":""$B$126:$G$191"",""a"</definedName>
    <definedName name="xlm_603_2" localSheetId="2">"'llDataRange"":""$B$20:$G$191"",""isPartitionSheet"":true,""numOutputClasses"":2,""useSuccessClass"":true,""successClass"":""1"",""successCutoffProb"":0.5,""partitionData"":false,""newDataDatabase"":false,""newDataWorksheet"":true,""newDataWorksheetParams"":{""newDataWorkbook"":"""</definedName>
    <definedName name="xlm_603_3" localSheetId="2">"'9.9Solution.xlsx"",""newDataWorksheet"":""NewDataToPredict"",""newDataRange"":""$C$1:$E$9"",""newDataNumRowsWS"":8,""newDataNumCols"":3,""newHasHeader"":true},""varSelectionOnly"":false,""forceConstTermToZero"":false,""setOddsConfidenceLevel"":false,""maxNumIterations"":50,""in"</definedName>
    <definedName name="xlm_603_4" localSheetId="2">"'itialMarquardtFactor"":1,""performCollinearityDiags"":false,""perfBestSubsetSel"":false,""outputTrainDataCovarMatrixOfCoeffs"":false,""outputTrainDataResiduals"":false,""trainDetailRpt"":true,""trainSummaryRpt"":true,""trainLiftChart"":true,""trainROCCurve"":true,""valida"</definedName>
    <definedName name="xlm_603_5" localSheetId="2">"'tionDetailRpt"":true,""validationSummaryRpt"":true,""validationLiftChart"":true,""validROCCurve"":true,""testDetailRpt"":false,""testSummaryRpt"":false,""testLiftChart"":false,""testROCCurve"":false}"</definedName>
    <definedName name="xlm_90_1" localSheetId="1">"'{""wkbk"":""9.9Solution.xlsx"",""wksheet"":""Data"",""data_range"":""$A$1:$G$172"",""has_header"":true,""input_cols"":[{""varName"":""Year""},{""varName"":""Title""},{""varName"":""OscarNominations""},{""varName"":""GoldenGlobeWins""},{""varName"":""Comedy""},{""varName"":""Winner""}],""cat_col"</definedName>
    <definedName name="xlm_90_2" localSheetId="1">"'s"":[],""firstRow"":1,""rows"":171,""isPartitionSheet"":false,""usePartitionVar"":true,""partitionVar"":{""varId"":6,""varName"":""ChronoPartition""},""useRandomRows"":false,""setSeed"":false,""seedValue"":12345,""trainPct"":60,""validationPct"":40,""testPct"":0}"</definedName>
    <definedName name="xlm_clnc_1" localSheetId="2">"'{""input_cols"":[{""varName"":""OscarNominations""},{""varName"":""GoldenGlobeWins""}],""output_var"":{""varName"":""Winner""}}"</definedName>
    <definedName name="XLMFullModelDefinition" localSheetId="13" hidden="1">"A2:H12"</definedName>
    <definedName name="XLMFullModelDefinition" localSheetId="9" hidden="1">"A2:G12"</definedName>
    <definedName name="XLMModelDefinition" localSheetId="13" hidden="1">"A2:B12"</definedName>
    <definedName name="XLMModelDefinition" localSheetId="9" hidden="1">"A2:B12"</definedName>
    <definedName name="XLMModelInputVars" localSheetId="13" hidden="1">"E5:G5"</definedName>
    <definedName name="XLMModelInputVars" localSheetId="9" hidden="1">"E5:F5"</definedName>
    <definedName name="XLMModelInputVarsRole" localSheetId="13" hidden="1">"E7:H7"</definedName>
    <definedName name="XLMModelInputVarsRole" localSheetId="9" hidden="1">"E7:G7"</definedName>
    <definedName name="XLMModelInputVarsType" localSheetId="13" hidden="1">"E8:H8"</definedName>
    <definedName name="XLMModelInputVarsType" localSheetId="9" hidden="1">"E8:G8"</definedName>
    <definedName name="XLMModelTypeId" localSheetId="13" hidden="1">9</definedName>
    <definedName name="XLMModelTypeId" localSheetId="9" hidden="1">9</definedName>
    <definedName name="XLMPartitionAllData" localSheetId="2" hidden="1">"$B$20:$G$191"</definedName>
    <definedName name="XLMPartitionTrainingData" localSheetId="2" hidden="1">"$B$21:$G$125"</definedName>
    <definedName name="XLMPartitionType" localSheetId="2" hidden="1">0</definedName>
    <definedName name="XLMPartitionValidationData" localSheetId="2" hidden="1">"$B$126:$G$191"</definedName>
    <definedName name="XLMPartitionVariableNames" localSheetId="2" hidden="1">"$E$11:$J$11"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105" i="20" l="1"/>
  <c r="BB104" i="20"/>
  <c r="BB103" i="20"/>
  <c r="BB102" i="20"/>
  <c r="BB101" i="20"/>
  <c r="BB100" i="20"/>
  <c r="BB99" i="20"/>
  <c r="BB98" i="20"/>
  <c r="BB97" i="20"/>
  <c r="BB96" i="20"/>
  <c r="BB95" i="20"/>
  <c r="BB94" i="20"/>
  <c r="BB93" i="20"/>
  <c r="BB92" i="20"/>
  <c r="BB91" i="20"/>
  <c r="BB90" i="20"/>
  <c r="BB89" i="20"/>
  <c r="BB88" i="20"/>
  <c r="BB87" i="20"/>
  <c r="BB86" i="20"/>
  <c r="BB85" i="20"/>
  <c r="BB84" i="20"/>
  <c r="BB83" i="20"/>
  <c r="BB82" i="20"/>
  <c r="BB81" i="20"/>
  <c r="BB80" i="20"/>
  <c r="BB79" i="20"/>
  <c r="BC79" i="20" s="1"/>
  <c r="BB78" i="20"/>
  <c r="BB77" i="20"/>
  <c r="BB76" i="20"/>
  <c r="BB75" i="20"/>
  <c r="BC75" i="20" s="1"/>
  <c r="BB74" i="20"/>
  <c r="BB73" i="20"/>
  <c r="BB72" i="20"/>
  <c r="BB71" i="20"/>
  <c r="BC71" i="20" s="1"/>
  <c r="BB70" i="20"/>
  <c r="BB69" i="20"/>
  <c r="BB68" i="20"/>
  <c r="BB67" i="20"/>
  <c r="BC67" i="20" s="1"/>
  <c r="BG66" i="20"/>
  <c r="BB66" i="20"/>
  <c r="BG65" i="20"/>
  <c r="BB65" i="20"/>
  <c r="BC65" i="20" s="1"/>
  <c r="BG64" i="20"/>
  <c r="BB64" i="20"/>
  <c r="BG63" i="20"/>
  <c r="BB63" i="20"/>
  <c r="BC63" i="20" s="1"/>
  <c r="BG62" i="20"/>
  <c r="BB62" i="20"/>
  <c r="BG61" i="20"/>
  <c r="BB61" i="20"/>
  <c r="BC61" i="20" s="1"/>
  <c r="BG60" i="20"/>
  <c r="BB60" i="20"/>
  <c r="BG59" i="20"/>
  <c r="BB59" i="20"/>
  <c r="BC59" i="20" s="1"/>
  <c r="BG58" i="20"/>
  <c r="BB58" i="20"/>
  <c r="BG57" i="20"/>
  <c r="BB57" i="20"/>
  <c r="BC57" i="20" s="1"/>
  <c r="BG56" i="20"/>
  <c r="BB56" i="20"/>
  <c r="BG55" i="20"/>
  <c r="BB55" i="20"/>
  <c r="BC55" i="20" s="1"/>
  <c r="BG54" i="20"/>
  <c r="BB54" i="20"/>
  <c r="BG53" i="20"/>
  <c r="BB53" i="20"/>
  <c r="BC53" i="20" s="1"/>
  <c r="BG52" i="20"/>
  <c r="BB52" i="20"/>
  <c r="BG51" i="20"/>
  <c r="BB51" i="20"/>
  <c r="BC51" i="20" s="1"/>
  <c r="BG50" i="20"/>
  <c r="BB50" i="20"/>
  <c r="BG49" i="20"/>
  <c r="BB49" i="20"/>
  <c r="BC49" i="20" s="1"/>
  <c r="BG48" i="20"/>
  <c r="BB48" i="20"/>
  <c r="BG47" i="20"/>
  <c r="BB47" i="20"/>
  <c r="BC47" i="20" s="1"/>
  <c r="BG46" i="20"/>
  <c r="BB46" i="20"/>
  <c r="BG45" i="20"/>
  <c r="BB45" i="20"/>
  <c r="BC45" i="20" s="1"/>
  <c r="BG44" i="20"/>
  <c r="BB44" i="20"/>
  <c r="BG43" i="20"/>
  <c r="BB43" i="20"/>
  <c r="BC43" i="20" s="1"/>
  <c r="BG42" i="20"/>
  <c r="BB42" i="20"/>
  <c r="BG41" i="20"/>
  <c r="BB41" i="20"/>
  <c r="BC41" i="20" s="1"/>
  <c r="BG40" i="20"/>
  <c r="BB40" i="20"/>
  <c r="BG39" i="20"/>
  <c r="BB39" i="20"/>
  <c r="BC39" i="20" s="1"/>
  <c r="BG38" i="20"/>
  <c r="BB38" i="20"/>
  <c r="BG37" i="20"/>
  <c r="BB37" i="20"/>
  <c r="BC37" i="20" s="1"/>
  <c r="BG36" i="20"/>
  <c r="BB36" i="20"/>
  <c r="BG35" i="20"/>
  <c r="BB35" i="20"/>
  <c r="BC35" i="20" s="1"/>
  <c r="BG34" i="20"/>
  <c r="BB34" i="20"/>
  <c r="BG33" i="20"/>
  <c r="BB33" i="20"/>
  <c r="BC33" i="20" s="1"/>
  <c r="BG32" i="20"/>
  <c r="BB32" i="20"/>
  <c r="BG31" i="20"/>
  <c r="BB31" i="20"/>
  <c r="BC31" i="20" s="1"/>
  <c r="BG30" i="20"/>
  <c r="BB30" i="20"/>
  <c r="BG29" i="20"/>
  <c r="BB29" i="20"/>
  <c r="BC29" i="20" s="1"/>
  <c r="BG28" i="20"/>
  <c r="BB28" i="20"/>
  <c r="BG27" i="20"/>
  <c r="BB27" i="20"/>
  <c r="BC27" i="20" s="1"/>
  <c r="BG26" i="20"/>
  <c r="BB26" i="20"/>
  <c r="BG25" i="20"/>
  <c r="BB25" i="20"/>
  <c r="BC25" i="20" s="1"/>
  <c r="BG24" i="20"/>
  <c r="BB24" i="20"/>
  <c r="BG23" i="20"/>
  <c r="BB23" i="20"/>
  <c r="BC23" i="20" s="1"/>
  <c r="BG22" i="20"/>
  <c r="BB22" i="20"/>
  <c r="BG21" i="20"/>
  <c r="BB21" i="20"/>
  <c r="BC21" i="20" s="1"/>
  <c r="BG20" i="20"/>
  <c r="BB20" i="20"/>
  <c r="BG19" i="20"/>
  <c r="BB19" i="20"/>
  <c r="BC19" i="20" s="1"/>
  <c r="BG18" i="20"/>
  <c r="BB18" i="20"/>
  <c r="BG17" i="20"/>
  <c r="BB17" i="20"/>
  <c r="BC17" i="20" s="1"/>
  <c r="BG16" i="20"/>
  <c r="BB16" i="20"/>
  <c r="BG15" i="20"/>
  <c r="BB15" i="20"/>
  <c r="BC15" i="20" s="1"/>
  <c r="BG14" i="20"/>
  <c r="BB14" i="20"/>
  <c r="BG13" i="20"/>
  <c r="BB13" i="20"/>
  <c r="BC13" i="20" s="1"/>
  <c r="BG12" i="20"/>
  <c r="BB12" i="20"/>
  <c r="BG11" i="20"/>
  <c r="BB11" i="20"/>
  <c r="BC11" i="20" s="1"/>
  <c r="BG10" i="20"/>
  <c r="BB10" i="20"/>
  <c r="BG9" i="20"/>
  <c r="BB9" i="20"/>
  <c r="BC9" i="20" s="1"/>
  <c r="BG8" i="20"/>
  <c r="BB8" i="20"/>
  <c r="BG7" i="20"/>
  <c r="BB7" i="20"/>
  <c r="BC7" i="20" s="1"/>
  <c r="BG6" i="20"/>
  <c r="BB6" i="20"/>
  <c r="BG5" i="20"/>
  <c r="BB5" i="20"/>
  <c r="BC5" i="20" s="1"/>
  <c r="BG4" i="20"/>
  <c r="BB4" i="20"/>
  <c r="BG3" i="20"/>
  <c r="BB3" i="20"/>
  <c r="BC3" i="20" s="1"/>
  <c r="BG2" i="20"/>
  <c r="BB2" i="20"/>
  <c r="BG1" i="20"/>
  <c r="BB1" i="20"/>
  <c r="BC1" i="20" s="1"/>
  <c r="BA97" i="20"/>
  <c r="BC97" i="20" s="1"/>
  <c r="BA98" i="20"/>
  <c r="BA99" i="20"/>
  <c r="BA100" i="20"/>
  <c r="BA101" i="20"/>
  <c r="BA102" i="20"/>
  <c r="BA103" i="20"/>
  <c r="BC103" i="20" s="1"/>
  <c r="BA104" i="20"/>
  <c r="BC104" i="20" s="1"/>
  <c r="BA105" i="20"/>
  <c r="BC105" i="20" s="1"/>
  <c r="BA65" i="20"/>
  <c r="BF65" i="20"/>
  <c r="BA66" i="20"/>
  <c r="BC66" i="20" s="1"/>
  <c r="BF66" i="20"/>
  <c r="BA67" i="20"/>
  <c r="BA68" i="20"/>
  <c r="BA69" i="20"/>
  <c r="BA70" i="20"/>
  <c r="BA71" i="20"/>
  <c r="BA72" i="20"/>
  <c r="BA73" i="20"/>
  <c r="BC73" i="20" s="1"/>
  <c r="BA74" i="20"/>
  <c r="BA75" i="20"/>
  <c r="BA76" i="20"/>
  <c r="BA77" i="20"/>
  <c r="BA78" i="20"/>
  <c r="BC78" i="20" s="1"/>
  <c r="BA79" i="20"/>
  <c r="BA80" i="20"/>
  <c r="BA81" i="20"/>
  <c r="BC81" i="20" s="1"/>
  <c r="BA82" i="20"/>
  <c r="BA83" i="20"/>
  <c r="BA84" i="20"/>
  <c r="BA85" i="20"/>
  <c r="BA86" i="20"/>
  <c r="BC86" i="20" s="1"/>
  <c r="BA87" i="20"/>
  <c r="BC87" i="20" s="1"/>
  <c r="BA88" i="20"/>
  <c r="BC88" i="20" s="1"/>
  <c r="BA89" i="20"/>
  <c r="BC89" i="20" s="1"/>
  <c r="BA90" i="20"/>
  <c r="BA91" i="20"/>
  <c r="BA92" i="20"/>
  <c r="BA93" i="20"/>
  <c r="BA94" i="20"/>
  <c r="BC94" i="20" s="1"/>
  <c r="BA95" i="20"/>
  <c r="BC95" i="20" s="1"/>
  <c r="BA96" i="20"/>
  <c r="BC96" i="20" s="1"/>
  <c r="BA33" i="20"/>
  <c r="BF33" i="20"/>
  <c r="BA34" i="20"/>
  <c r="BF34" i="20"/>
  <c r="BA35" i="20"/>
  <c r="BF35" i="20"/>
  <c r="BA36" i="20"/>
  <c r="BF36" i="20"/>
  <c r="BA37" i="20"/>
  <c r="BF37" i="20"/>
  <c r="BA38" i="20"/>
  <c r="BF38" i="20"/>
  <c r="BA39" i="20"/>
  <c r="BF39" i="20"/>
  <c r="BA40" i="20"/>
  <c r="BF40" i="20"/>
  <c r="BA41" i="20"/>
  <c r="BF41" i="20"/>
  <c r="BA42" i="20"/>
  <c r="BC42" i="20" s="1"/>
  <c r="BF42" i="20"/>
  <c r="BA43" i="20"/>
  <c r="BF43" i="20"/>
  <c r="BA44" i="20"/>
  <c r="BF44" i="20"/>
  <c r="BA45" i="20"/>
  <c r="BF45" i="20"/>
  <c r="BA46" i="20"/>
  <c r="BF46" i="20"/>
  <c r="BA47" i="20"/>
  <c r="BF47" i="20"/>
  <c r="BA48" i="20"/>
  <c r="BF48" i="20"/>
  <c r="BA49" i="20"/>
  <c r="BF49" i="20"/>
  <c r="BA50" i="20"/>
  <c r="BC50" i="20" s="1"/>
  <c r="BF50" i="20"/>
  <c r="BA51" i="20"/>
  <c r="BF51" i="20"/>
  <c r="BA52" i="20"/>
  <c r="BF52" i="20"/>
  <c r="BA53" i="20"/>
  <c r="BF53" i="20"/>
  <c r="BH53" i="20" s="1"/>
  <c r="BA54" i="20"/>
  <c r="BC54" i="20" s="1"/>
  <c r="BF54" i="20"/>
  <c r="BA55" i="20"/>
  <c r="BF55" i="20"/>
  <c r="BA56" i="20"/>
  <c r="BF56" i="20"/>
  <c r="BA57" i="20"/>
  <c r="BF57" i="20"/>
  <c r="BH57" i="20" s="1"/>
  <c r="BA58" i="20"/>
  <c r="BC58" i="20" s="1"/>
  <c r="BF58" i="20"/>
  <c r="BA59" i="20"/>
  <c r="BF59" i="20"/>
  <c r="BA60" i="20"/>
  <c r="BF60" i="20"/>
  <c r="BA61" i="20"/>
  <c r="BF61" i="20"/>
  <c r="BH61" i="20" s="1"/>
  <c r="BA62" i="20"/>
  <c r="BF62" i="20"/>
  <c r="BA63" i="20"/>
  <c r="BF63" i="20"/>
  <c r="BA64" i="20"/>
  <c r="BF64" i="20"/>
  <c r="BA1" i="20"/>
  <c r="BF1" i="20"/>
  <c r="BA2" i="20"/>
  <c r="BC2" i="20" s="1"/>
  <c r="BF2" i="20"/>
  <c r="BA3" i="20"/>
  <c r="BF3" i="20"/>
  <c r="BA4" i="20"/>
  <c r="BC4" i="20" s="1"/>
  <c r="BF4" i="20"/>
  <c r="BA5" i="20"/>
  <c r="BF5" i="20"/>
  <c r="BA6" i="20"/>
  <c r="BC6" i="20" s="1"/>
  <c r="BF6" i="20"/>
  <c r="BA7" i="20"/>
  <c r="BF7" i="20"/>
  <c r="BA8" i="20"/>
  <c r="BF8" i="20"/>
  <c r="BA9" i="20"/>
  <c r="BF9" i="20"/>
  <c r="BA10" i="20"/>
  <c r="BC10" i="20" s="1"/>
  <c r="BF10" i="20"/>
  <c r="BA11" i="20"/>
  <c r="BF11" i="20"/>
  <c r="BA12" i="20"/>
  <c r="BC12" i="20" s="1"/>
  <c r="BF12" i="20"/>
  <c r="BA13" i="20"/>
  <c r="BF13" i="20"/>
  <c r="BA14" i="20"/>
  <c r="BF14" i="20"/>
  <c r="BA15" i="20"/>
  <c r="BF15" i="20"/>
  <c r="BA16" i="20"/>
  <c r="BC16" i="20" s="1"/>
  <c r="BF16" i="20"/>
  <c r="BA17" i="20"/>
  <c r="BF17" i="20"/>
  <c r="BA18" i="20"/>
  <c r="BC18" i="20" s="1"/>
  <c r="BF18" i="20"/>
  <c r="BA19" i="20"/>
  <c r="BF19" i="20"/>
  <c r="BA20" i="20"/>
  <c r="BF20" i="20"/>
  <c r="BA21" i="20"/>
  <c r="BF21" i="20"/>
  <c r="BH21" i="20" s="1"/>
  <c r="BA22" i="20"/>
  <c r="BC22" i="20" s="1"/>
  <c r="BF22" i="20"/>
  <c r="BA23" i="20"/>
  <c r="BF23" i="20"/>
  <c r="BA24" i="20"/>
  <c r="BF24" i="20"/>
  <c r="BA25" i="20"/>
  <c r="BF25" i="20"/>
  <c r="BH25" i="20" s="1"/>
  <c r="BA26" i="20"/>
  <c r="BF26" i="20"/>
  <c r="BA27" i="20"/>
  <c r="BF27" i="20"/>
  <c r="BA28" i="20"/>
  <c r="BF28" i="20"/>
  <c r="BA29" i="20"/>
  <c r="BF29" i="20"/>
  <c r="BH29" i="20" s="1"/>
  <c r="BA30" i="20"/>
  <c r="BF30" i="20"/>
  <c r="BA31" i="20"/>
  <c r="BF31" i="20"/>
  <c r="BA32" i="20"/>
  <c r="BF32" i="20"/>
  <c r="BC105" i="7"/>
  <c r="BC104" i="7"/>
  <c r="BC103" i="7"/>
  <c r="BC102" i="7"/>
  <c r="BC101" i="7"/>
  <c r="BC100" i="7"/>
  <c r="BC99" i="7"/>
  <c r="BC98" i="7"/>
  <c r="BC97" i="7"/>
  <c r="BD97" i="7" s="1"/>
  <c r="BC96" i="7"/>
  <c r="BC95" i="7"/>
  <c r="BD95" i="7" s="1"/>
  <c r="BC94" i="7"/>
  <c r="BC93" i="7"/>
  <c r="BD93" i="7" s="1"/>
  <c r="BC92" i="7"/>
  <c r="BC91" i="7"/>
  <c r="BD91" i="7" s="1"/>
  <c r="BC90" i="7"/>
  <c r="BC89" i="7"/>
  <c r="BD89" i="7" s="1"/>
  <c r="BC88" i="7"/>
  <c r="BC87" i="7"/>
  <c r="BD87" i="7" s="1"/>
  <c r="BC86" i="7"/>
  <c r="BC85" i="7"/>
  <c r="BD85" i="7" s="1"/>
  <c r="BC84" i="7"/>
  <c r="BC83" i="7"/>
  <c r="BD83" i="7" s="1"/>
  <c r="BC82" i="7"/>
  <c r="BC81" i="7"/>
  <c r="BD81" i="7" s="1"/>
  <c r="BC80" i="7"/>
  <c r="BC79" i="7"/>
  <c r="BD79" i="7" s="1"/>
  <c r="BC78" i="7"/>
  <c r="BC77" i="7"/>
  <c r="BD77" i="7" s="1"/>
  <c r="BC76" i="7"/>
  <c r="BC75" i="7"/>
  <c r="BD75" i="7" s="1"/>
  <c r="BC74" i="7"/>
  <c r="BC73" i="7"/>
  <c r="BD73" i="7" s="1"/>
  <c r="BC72" i="7"/>
  <c r="BC71" i="7"/>
  <c r="BD71" i="7" s="1"/>
  <c r="BC70" i="7"/>
  <c r="BC69" i="7"/>
  <c r="BD69" i="7" s="1"/>
  <c r="BC68" i="7"/>
  <c r="BC67" i="7"/>
  <c r="BD67" i="7" s="1"/>
  <c r="BH66" i="7"/>
  <c r="BC66" i="7"/>
  <c r="BD66" i="7" s="1"/>
  <c r="BH65" i="7"/>
  <c r="BC65" i="7"/>
  <c r="BD65" i="7" s="1"/>
  <c r="BH64" i="7"/>
  <c r="BC64" i="7"/>
  <c r="BD64" i="7" s="1"/>
  <c r="BH63" i="7"/>
  <c r="BC63" i="7"/>
  <c r="BD63" i="7" s="1"/>
  <c r="BH62" i="7"/>
  <c r="BC62" i="7"/>
  <c r="BD62" i="7" s="1"/>
  <c r="BH61" i="7"/>
  <c r="BC61" i="7"/>
  <c r="BD61" i="7" s="1"/>
  <c r="BH60" i="7"/>
  <c r="BC60" i="7"/>
  <c r="BD60" i="7" s="1"/>
  <c r="BH59" i="7"/>
  <c r="BC59" i="7"/>
  <c r="BD59" i="7" s="1"/>
  <c r="BH58" i="7"/>
  <c r="BC58" i="7"/>
  <c r="BD58" i="7" s="1"/>
  <c r="BH57" i="7"/>
  <c r="BC57" i="7"/>
  <c r="BD57" i="7" s="1"/>
  <c r="BH56" i="7"/>
  <c r="BC56" i="7"/>
  <c r="BD56" i="7" s="1"/>
  <c r="BH55" i="7"/>
  <c r="BC55" i="7"/>
  <c r="BD55" i="7" s="1"/>
  <c r="BH54" i="7"/>
  <c r="BC54" i="7"/>
  <c r="BD54" i="7" s="1"/>
  <c r="BH53" i="7"/>
  <c r="BC53" i="7"/>
  <c r="BD53" i="7" s="1"/>
  <c r="BH52" i="7"/>
  <c r="BC52" i="7"/>
  <c r="BD52" i="7" s="1"/>
  <c r="BH51" i="7"/>
  <c r="BC51" i="7"/>
  <c r="BD51" i="7" s="1"/>
  <c r="BH50" i="7"/>
  <c r="BC50" i="7"/>
  <c r="BD50" i="7" s="1"/>
  <c r="BH49" i="7"/>
  <c r="BC49" i="7"/>
  <c r="BD49" i="7" s="1"/>
  <c r="BH48" i="7"/>
  <c r="BC48" i="7"/>
  <c r="BD48" i="7" s="1"/>
  <c r="BH47" i="7"/>
  <c r="BC47" i="7"/>
  <c r="BD47" i="7" s="1"/>
  <c r="BH46" i="7"/>
  <c r="BC46" i="7"/>
  <c r="BD46" i="7" s="1"/>
  <c r="BH45" i="7"/>
  <c r="BC45" i="7"/>
  <c r="BD45" i="7" s="1"/>
  <c r="BH44" i="7"/>
  <c r="BC44" i="7"/>
  <c r="BD44" i="7" s="1"/>
  <c r="BH43" i="7"/>
  <c r="BC43" i="7"/>
  <c r="BD43" i="7" s="1"/>
  <c r="BH42" i="7"/>
  <c r="BC42" i="7"/>
  <c r="BD42" i="7" s="1"/>
  <c r="BH41" i="7"/>
  <c r="BC41" i="7"/>
  <c r="BD41" i="7" s="1"/>
  <c r="BH40" i="7"/>
  <c r="BC40" i="7"/>
  <c r="BD40" i="7" s="1"/>
  <c r="BH39" i="7"/>
  <c r="BC39" i="7"/>
  <c r="BD39" i="7" s="1"/>
  <c r="BH38" i="7"/>
  <c r="BC38" i="7"/>
  <c r="BD38" i="7" s="1"/>
  <c r="BH37" i="7"/>
  <c r="BC37" i="7"/>
  <c r="BD37" i="7" s="1"/>
  <c r="BH36" i="7"/>
  <c r="BC36" i="7"/>
  <c r="BD36" i="7" s="1"/>
  <c r="BH35" i="7"/>
  <c r="BC35" i="7"/>
  <c r="BD35" i="7" s="1"/>
  <c r="BH34" i="7"/>
  <c r="BC34" i="7"/>
  <c r="BD34" i="7" s="1"/>
  <c r="BH33" i="7"/>
  <c r="BC33" i="7"/>
  <c r="BD33" i="7" s="1"/>
  <c r="BH32" i="7"/>
  <c r="BC32" i="7"/>
  <c r="BD32" i="7" s="1"/>
  <c r="BH31" i="7"/>
  <c r="BC31" i="7"/>
  <c r="BD31" i="7" s="1"/>
  <c r="BH30" i="7"/>
  <c r="BC30" i="7"/>
  <c r="BD30" i="7" s="1"/>
  <c r="BH29" i="7"/>
  <c r="BC29" i="7"/>
  <c r="BD29" i="7" s="1"/>
  <c r="BH28" i="7"/>
  <c r="BC28" i="7"/>
  <c r="BD28" i="7" s="1"/>
  <c r="BH27" i="7"/>
  <c r="BC27" i="7"/>
  <c r="BD27" i="7" s="1"/>
  <c r="BH26" i="7"/>
  <c r="BC26" i="7"/>
  <c r="BD26" i="7" s="1"/>
  <c r="BH25" i="7"/>
  <c r="BC25" i="7"/>
  <c r="BD25" i="7" s="1"/>
  <c r="BH24" i="7"/>
  <c r="BC24" i="7"/>
  <c r="BD24" i="7" s="1"/>
  <c r="BH23" i="7"/>
  <c r="BC23" i="7"/>
  <c r="BD23" i="7" s="1"/>
  <c r="BH22" i="7"/>
  <c r="BC22" i="7"/>
  <c r="BD22" i="7" s="1"/>
  <c r="BH21" i="7"/>
  <c r="BC21" i="7"/>
  <c r="BD21" i="7" s="1"/>
  <c r="BH20" i="7"/>
  <c r="BC20" i="7"/>
  <c r="BD20" i="7" s="1"/>
  <c r="BH19" i="7"/>
  <c r="BC19" i="7"/>
  <c r="BD19" i="7" s="1"/>
  <c r="BH18" i="7"/>
  <c r="BC18" i="7"/>
  <c r="BD18" i="7" s="1"/>
  <c r="BH17" i="7"/>
  <c r="BC17" i="7"/>
  <c r="BD17" i="7" s="1"/>
  <c r="BH16" i="7"/>
  <c r="BC16" i="7"/>
  <c r="BD16" i="7" s="1"/>
  <c r="BH15" i="7"/>
  <c r="BC15" i="7"/>
  <c r="BD15" i="7" s="1"/>
  <c r="BH14" i="7"/>
  <c r="BC14" i="7"/>
  <c r="BD14" i="7" s="1"/>
  <c r="BH13" i="7"/>
  <c r="BC13" i="7"/>
  <c r="BD13" i="7" s="1"/>
  <c r="BH12" i="7"/>
  <c r="BC12" i="7"/>
  <c r="BD12" i="7" s="1"/>
  <c r="BH11" i="7"/>
  <c r="BC11" i="7"/>
  <c r="BD11" i="7" s="1"/>
  <c r="BH10" i="7"/>
  <c r="BC10" i="7"/>
  <c r="BD10" i="7" s="1"/>
  <c r="BH9" i="7"/>
  <c r="BC9" i="7"/>
  <c r="BD9" i="7" s="1"/>
  <c r="BH8" i="7"/>
  <c r="BC8" i="7"/>
  <c r="BD8" i="7" s="1"/>
  <c r="BH7" i="7"/>
  <c r="BC7" i="7"/>
  <c r="BD7" i="7" s="1"/>
  <c r="BH6" i="7"/>
  <c r="BC6" i="7"/>
  <c r="BD6" i="7" s="1"/>
  <c r="BH5" i="7"/>
  <c r="BC5" i="7"/>
  <c r="BD5" i="7" s="1"/>
  <c r="BH4" i="7"/>
  <c r="BC4" i="7"/>
  <c r="BD4" i="7" s="1"/>
  <c r="BH3" i="7"/>
  <c r="BC3" i="7"/>
  <c r="BD3" i="7" s="1"/>
  <c r="BH2" i="7"/>
  <c r="BC2" i="7"/>
  <c r="BD2" i="7" s="1"/>
  <c r="BH1" i="7"/>
  <c r="BC1" i="7"/>
  <c r="BD1" i="7" s="1"/>
  <c r="BB97" i="7"/>
  <c r="BB98" i="7"/>
  <c r="BB99" i="7"/>
  <c r="BB100" i="7"/>
  <c r="BB101" i="7"/>
  <c r="BB102" i="7"/>
  <c r="BB103" i="7"/>
  <c r="BB104" i="7"/>
  <c r="BB105" i="7"/>
  <c r="BB65" i="7"/>
  <c r="BG65" i="7"/>
  <c r="BB66" i="7"/>
  <c r="BG66" i="7"/>
  <c r="BI66" i="7" s="1"/>
  <c r="BB67" i="7"/>
  <c r="BB68" i="7"/>
  <c r="BB69" i="7"/>
  <c r="BB70" i="7"/>
  <c r="BD70" i="7" s="1"/>
  <c r="BB71" i="7"/>
  <c r="BB72" i="7"/>
  <c r="BB73" i="7"/>
  <c r="BB74" i="7"/>
  <c r="BD74" i="7" s="1"/>
  <c r="BB75" i="7"/>
  <c r="BB76" i="7"/>
  <c r="BB77" i="7"/>
  <c r="BB78" i="7"/>
  <c r="BB79" i="7"/>
  <c r="BB80" i="7"/>
  <c r="BB81" i="7"/>
  <c r="BB82" i="7"/>
  <c r="BD82" i="7" s="1"/>
  <c r="BB83" i="7"/>
  <c r="BB84" i="7"/>
  <c r="BB85" i="7"/>
  <c r="BB86" i="7"/>
  <c r="BB87" i="7"/>
  <c r="BB88" i="7"/>
  <c r="BB89" i="7"/>
  <c r="BB90" i="7"/>
  <c r="BD90" i="7" s="1"/>
  <c r="BB91" i="7"/>
  <c r="BB92" i="7"/>
  <c r="BB93" i="7"/>
  <c r="BB94" i="7"/>
  <c r="BB95" i="7"/>
  <c r="BB96" i="7"/>
  <c r="BB33" i="7"/>
  <c r="BG33" i="7"/>
  <c r="BB34" i="7"/>
  <c r="BG34" i="7"/>
  <c r="BB35" i="7"/>
  <c r="BG35" i="7"/>
  <c r="BB36" i="7"/>
  <c r="BG36" i="7"/>
  <c r="BB37" i="7"/>
  <c r="BG37" i="7"/>
  <c r="BB38" i="7"/>
  <c r="BG38" i="7"/>
  <c r="BB39" i="7"/>
  <c r="BG39" i="7"/>
  <c r="BB40" i="7"/>
  <c r="BG40" i="7"/>
  <c r="BB41" i="7"/>
  <c r="BG41" i="7"/>
  <c r="BB42" i="7"/>
  <c r="BG42" i="7"/>
  <c r="BB43" i="7"/>
  <c r="BG43" i="7"/>
  <c r="BB44" i="7"/>
  <c r="BG44" i="7"/>
  <c r="BB45" i="7"/>
  <c r="BG45" i="7"/>
  <c r="BB46" i="7"/>
  <c r="BG46" i="7"/>
  <c r="BB47" i="7"/>
  <c r="BG47" i="7"/>
  <c r="BB48" i="7"/>
  <c r="BG48" i="7"/>
  <c r="BB49" i="7"/>
  <c r="BG49" i="7"/>
  <c r="BB50" i="7"/>
  <c r="BG50" i="7"/>
  <c r="BB51" i="7"/>
  <c r="BG51" i="7"/>
  <c r="BB52" i="7"/>
  <c r="BG52" i="7"/>
  <c r="BB53" i="7"/>
  <c r="BG53" i="7"/>
  <c r="BB54" i="7"/>
  <c r="BG54" i="7"/>
  <c r="BB55" i="7"/>
  <c r="BG55" i="7"/>
  <c r="BB56" i="7"/>
  <c r="BG56" i="7"/>
  <c r="BB57" i="7"/>
  <c r="BG57" i="7"/>
  <c r="BB58" i="7"/>
  <c r="BG58" i="7"/>
  <c r="BB59" i="7"/>
  <c r="BG59" i="7"/>
  <c r="BB60" i="7"/>
  <c r="BG60" i="7"/>
  <c r="BB61" i="7"/>
  <c r="BG61" i="7"/>
  <c r="BB62" i="7"/>
  <c r="BG62" i="7"/>
  <c r="BB63" i="7"/>
  <c r="BG63" i="7"/>
  <c r="BB64" i="7"/>
  <c r="BG64" i="7"/>
  <c r="BB1" i="7"/>
  <c r="BG1" i="7"/>
  <c r="BB2" i="7"/>
  <c r="BG2" i="7"/>
  <c r="BB3" i="7"/>
  <c r="BG3" i="7"/>
  <c r="BB4" i="7"/>
  <c r="BG4" i="7"/>
  <c r="BB5" i="7"/>
  <c r="BG5" i="7"/>
  <c r="BB6" i="7"/>
  <c r="BG6" i="7"/>
  <c r="BB7" i="7"/>
  <c r="BG7" i="7"/>
  <c r="BB8" i="7"/>
  <c r="BG8" i="7"/>
  <c r="BB9" i="7"/>
  <c r="BG9" i="7"/>
  <c r="BB10" i="7"/>
  <c r="BG10" i="7"/>
  <c r="BB11" i="7"/>
  <c r="BG11" i="7"/>
  <c r="BB12" i="7"/>
  <c r="BG12" i="7"/>
  <c r="BB13" i="7"/>
  <c r="BG13" i="7"/>
  <c r="BB14" i="7"/>
  <c r="BG14" i="7"/>
  <c r="BB15" i="7"/>
  <c r="BG15" i="7"/>
  <c r="BB16" i="7"/>
  <c r="BG16" i="7"/>
  <c r="BB17" i="7"/>
  <c r="BG17" i="7"/>
  <c r="BB18" i="7"/>
  <c r="BG18" i="7"/>
  <c r="BB19" i="7"/>
  <c r="BG19" i="7"/>
  <c r="BB20" i="7"/>
  <c r="BG20" i="7"/>
  <c r="BB21" i="7"/>
  <c r="BG21" i="7"/>
  <c r="BB22" i="7"/>
  <c r="BG22" i="7"/>
  <c r="BB23" i="7"/>
  <c r="BG23" i="7"/>
  <c r="BB24" i="7"/>
  <c r="BG24" i="7"/>
  <c r="BB25" i="7"/>
  <c r="BG25" i="7"/>
  <c r="BB26" i="7"/>
  <c r="BG26" i="7"/>
  <c r="BB27" i="7"/>
  <c r="BG27" i="7"/>
  <c r="BB28" i="7"/>
  <c r="BG28" i="7"/>
  <c r="BB29" i="7"/>
  <c r="BG29" i="7"/>
  <c r="BB30" i="7"/>
  <c r="BG30" i="7"/>
  <c r="BB31" i="7"/>
  <c r="BG31" i="7"/>
  <c r="BB32" i="7"/>
  <c r="BG32" i="7"/>
  <c r="BC80" i="20" l="1"/>
  <c r="BC72" i="20"/>
  <c r="BC93" i="20"/>
  <c r="BC102" i="20"/>
  <c r="BC85" i="20"/>
  <c r="BH14" i="20"/>
  <c r="BH10" i="20"/>
  <c r="BH6" i="20"/>
  <c r="BH62" i="20"/>
  <c r="BH58" i="20"/>
  <c r="BH54" i="20"/>
  <c r="BH50" i="20"/>
  <c r="BH46" i="20"/>
  <c r="BH42" i="20"/>
  <c r="BH38" i="20"/>
  <c r="BH34" i="20"/>
  <c r="BH48" i="20"/>
  <c r="BH44" i="20"/>
  <c r="BH2" i="20"/>
  <c r="BC101" i="20"/>
  <c r="BC98" i="20"/>
  <c r="BH31" i="20"/>
  <c r="BH27" i="20"/>
  <c r="BH19" i="20"/>
  <c r="BH15" i="20"/>
  <c r="BH11" i="20"/>
  <c r="BH35" i="20"/>
  <c r="BC90" i="20"/>
  <c r="BC82" i="20"/>
  <c r="BC74" i="20"/>
  <c r="BH66" i="20"/>
  <c r="BH24" i="20"/>
  <c r="BH16" i="20"/>
  <c r="BH12" i="20"/>
  <c r="BH8" i="20"/>
  <c r="BC32" i="20"/>
  <c r="BC28" i="20"/>
  <c r="BC20" i="20"/>
  <c r="BH13" i="20"/>
  <c r="BH9" i="20"/>
  <c r="BH5" i="20"/>
  <c r="BH32" i="20"/>
  <c r="BH28" i="20"/>
  <c r="BH40" i="20"/>
  <c r="BC64" i="20"/>
  <c r="BC60" i="20"/>
  <c r="BC52" i="20"/>
  <c r="BC48" i="20"/>
  <c r="BC44" i="20"/>
  <c r="BC36" i="20"/>
  <c r="BH63" i="20"/>
  <c r="BH59" i="20"/>
  <c r="BH51" i="20"/>
  <c r="BH47" i="20"/>
  <c r="BH43" i="20"/>
  <c r="BH64" i="20"/>
  <c r="BH60" i="20"/>
  <c r="BH56" i="20"/>
  <c r="BH3" i="20"/>
  <c r="BC69" i="20"/>
  <c r="BH30" i="20"/>
  <c r="BH26" i="20"/>
  <c r="BH22" i="20"/>
  <c r="BH18" i="20"/>
  <c r="BC92" i="20"/>
  <c r="BC84" i="20"/>
  <c r="BC76" i="20"/>
  <c r="BC68" i="20"/>
  <c r="BC26" i="20"/>
  <c r="BC38" i="20"/>
  <c r="BC34" i="20"/>
  <c r="BH45" i="20"/>
  <c r="BH41" i="20"/>
  <c r="BH37" i="20"/>
  <c r="BC77" i="20"/>
  <c r="BC91" i="20"/>
  <c r="BC83" i="20"/>
  <c r="BH17" i="20"/>
  <c r="BH1" i="20"/>
  <c r="BH49" i="20"/>
  <c r="BH33" i="20"/>
  <c r="BC14" i="20"/>
  <c r="BC62" i="20"/>
  <c r="BC100" i="20"/>
  <c r="BH20" i="20"/>
  <c r="BH4" i="20"/>
  <c r="BH52" i="20"/>
  <c r="BH36" i="20"/>
  <c r="BH65" i="20"/>
  <c r="BC99" i="20"/>
  <c r="BC30" i="20"/>
  <c r="BC46" i="20"/>
  <c r="BC24" i="20"/>
  <c r="BC8" i="20"/>
  <c r="BC56" i="20"/>
  <c r="BC40" i="20"/>
  <c r="BH23" i="20"/>
  <c r="BH7" i="20"/>
  <c r="BH55" i="20"/>
  <c r="BH39" i="20"/>
  <c r="BC70" i="20"/>
  <c r="BI64" i="7"/>
  <c r="BI60" i="7"/>
  <c r="BI4" i="7"/>
  <c r="BI56" i="7"/>
  <c r="BI52" i="7"/>
  <c r="BI48" i="7"/>
  <c r="BI44" i="7"/>
  <c r="BD105" i="7"/>
  <c r="BD98" i="7"/>
  <c r="BI40" i="7"/>
  <c r="BI30" i="7"/>
  <c r="BI26" i="7"/>
  <c r="BI22" i="7"/>
  <c r="BI10" i="7"/>
  <c r="BI6" i="7"/>
  <c r="BI2" i="7"/>
  <c r="BI62" i="7"/>
  <c r="BI58" i="7"/>
  <c r="BI54" i="7"/>
  <c r="BI50" i="7"/>
  <c r="BI46" i="7"/>
  <c r="BI42" i="7"/>
  <c r="BI38" i="7"/>
  <c r="BI34" i="7"/>
  <c r="BD101" i="7"/>
  <c r="BD96" i="7"/>
  <c r="BD80" i="7"/>
  <c r="BD104" i="7"/>
  <c r="BI31" i="7"/>
  <c r="BI27" i="7"/>
  <c r="BI23" i="7"/>
  <c r="BI63" i="7"/>
  <c r="BI59" i="7"/>
  <c r="BD92" i="7"/>
  <c r="BD84" i="7"/>
  <c r="BD76" i="7"/>
  <c r="BD100" i="7"/>
  <c r="BD102" i="7"/>
  <c r="BI19" i="7"/>
  <c r="BI15" i="7"/>
  <c r="BI11" i="7"/>
  <c r="BI7" i="7"/>
  <c r="BI55" i="7"/>
  <c r="BI51" i="7"/>
  <c r="BI47" i="7"/>
  <c r="BI43" i="7"/>
  <c r="BI39" i="7"/>
  <c r="BI35" i="7"/>
  <c r="BD103" i="7"/>
  <c r="BI17" i="7"/>
  <c r="BI49" i="7"/>
  <c r="BI65" i="7"/>
  <c r="BD94" i="7"/>
  <c r="BD78" i="7"/>
  <c r="BD86" i="7"/>
  <c r="BI28" i="7"/>
  <c r="BI20" i="7"/>
  <c r="BI32" i="7"/>
  <c r="BI24" i="7"/>
  <c r="BI16" i="7"/>
  <c r="BI12" i="7"/>
  <c r="BI8" i="7"/>
  <c r="BI1" i="7"/>
  <c r="BI36" i="7"/>
  <c r="BI18" i="7"/>
  <c r="BI3" i="7"/>
  <c r="BI14" i="7"/>
  <c r="BD68" i="7"/>
  <c r="BI33" i="7"/>
  <c r="BI9" i="7"/>
  <c r="BI41" i="7"/>
  <c r="BI25" i="7"/>
  <c r="BI57" i="7"/>
  <c r="BD88" i="7"/>
  <c r="BD72" i="7"/>
  <c r="BD99" i="7"/>
  <c r="BI29" i="7"/>
  <c r="BI21" i="7"/>
  <c r="BI5" i="7"/>
  <c r="BI45" i="7"/>
  <c r="BI37" i="7"/>
  <c r="BI13" i="7"/>
  <c r="BI61" i="7"/>
  <c r="BI53" i="7"/>
  <c r="E103" i="20" l="1"/>
  <c r="D103" i="20"/>
  <c r="D79" i="20"/>
  <c r="E102" i="20"/>
  <c r="D102" i="20"/>
  <c r="E79" i="20"/>
  <c r="D78" i="20"/>
  <c r="E78" i="20"/>
  <c r="E94" i="7"/>
  <c r="D118" i="7"/>
  <c r="E93" i="7"/>
  <c r="D94" i="7"/>
  <c r="D93" i="7"/>
  <c r="E118" i="7"/>
  <c r="E117" i="7"/>
  <c r="D117" i="7"/>
  <c r="D99" i="7" l="1"/>
  <c r="E108" i="20"/>
  <c r="E114" i="20"/>
  <c r="D84" i="20"/>
  <c r="D107" i="20"/>
  <c r="E107" i="20"/>
  <c r="E83" i="20"/>
  <c r="E115" i="20"/>
  <c r="D83" i="20"/>
  <c r="E113" i="20"/>
  <c r="E91" i="20"/>
  <c r="E89" i="20"/>
  <c r="D108" i="20"/>
  <c r="E84" i="20"/>
  <c r="E90" i="20"/>
  <c r="E98" i="7"/>
  <c r="E130" i="7"/>
  <c r="E128" i="7"/>
  <c r="D122" i="7"/>
  <c r="E123" i="7"/>
  <c r="D123" i="7"/>
  <c r="D98" i="7"/>
  <c r="D100" i="7" s="1"/>
  <c r="E99" i="7"/>
  <c r="E105" i="7"/>
  <c r="E104" i="7"/>
  <c r="E106" i="7"/>
  <c r="E122" i="7"/>
  <c r="E129" i="7"/>
  <c r="E109" i="20" l="1"/>
  <c r="E116" i="20"/>
  <c r="F108" i="20"/>
  <c r="D109" i="20"/>
  <c r="D85" i="20"/>
  <c r="F107" i="20"/>
  <c r="F84" i="20"/>
  <c r="F83" i="20"/>
  <c r="E85" i="20"/>
  <c r="E92" i="20"/>
  <c r="E100" i="7"/>
  <c r="F100" i="7" s="1"/>
  <c r="F98" i="7"/>
  <c r="D124" i="7"/>
  <c r="E131" i="7"/>
  <c r="F122" i="7"/>
  <c r="E107" i="7"/>
  <c r="F123" i="7"/>
  <c r="F99" i="7"/>
  <c r="E124" i="7"/>
  <c r="F109" i="20" l="1"/>
  <c r="F85" i="20"/>
  <c r="F124" i="7"/>
</calcChain>
</file>

<file path=xl/sharedStrings.xml><?xml version="1.0" encoding="utf-8"?>
<sst xmlns="http://schemas.openxmlformats.org/spreadsheetml/2006/main" count="1155" uniqueCount="377">
  <si>
    <t>Year</t>
  </si>
  <si>
    <t>Title</t>
  </si>
  <si>
    <t>OscarNominations</t>
  </si>
  <si>
    <t>GoldenGlobeWins</t>
  </si>
  <si>
    <t>Comedy</t>
  </si>
  <si>
    <t>Winner</t>
  </si>
  <si>
    <t>ChronoPartition</t>
  </si>
  <si>
    <t>A Soldier's Story</t>
  </si>
  <si>
    <t>t</t>
  </si>
  <si>
    <t>Places in the Heart</t>
  </si>
  <si>
    <t>The Killing Fields</t>
  </si>
  <si>
    <t>A Passage to India</t>
  </si>
  <si>
    <t>Amadeus</t>
  </si>
  <si>
    <t>Prizzi's Honor</t>
  </si>
  <si>
    <t>Kiss of the Spider Woman</t>
  </si>
  <si>
    <t>Witness</t>
  </si>
  <si>
    <t>The Color Purple</t>
  </si>
  <si>
    <t>Out of Africa</t>
  </si>
  <si>
    <t>Hannah and Her Sisters</t>
  </si>
  <si>
    <t>Children of a Lesser God</t>
  </si>
  <si>
    <t>A Room with a View</t>
  </si>
  <si>
    <t>The Mission</t>
  </si>
  <si>
    <t>Platoon</t>
  </si>
  <si>
    <t>Hope and Glory</t>
  </si>
  <si>
    <t>Broadcast News</t>
  </si>
  <si>
    <t>Fatal Attraction</t>
  </si>
  <si>
    <t>Moonstruck</t>
  </si>
  <si>
    <t>The Last Emperor</t>
  </si>
  <si>
    <t>Working Girl</t>
  </si>
  <si>
    <t>The Accidental Tourist</t>
  </si>
  <si>
    <t>Mississippi Burning</t>
  </si>
  <si>
    <t>Dangerous Liaisons</t>
  </si>
  <si>
    <t>Rain Man</t>
  </si>
  <si>
    <t>Field of Dreams</t>
  </si>
  <si>
    <t>Dead Poets Society</t>
  </si>
  <si>
    <t>My Left Foot</t>
  </si>
  <si>
    <t>Driving Miss Daisy</t>
  </si>
  <si>
    <t>Born on the Fourth of July</t>
  </si>
  <si>
    <t>Awakenings</t>
  </si>
  <si>
    <t>Goodfellas</t>
  </si>
  <si>
    <t>The Godfather Part III</t>
  </si>
  <si>
    <t>Ghost</t>
  </si>
  <si>
    <t>Dances With Wolves</t>
  </si>
  <si>
    <t>The Silence of the Lambs</t>
  </si>
  <si>
    <t>The Prince of Tides</t>
  </si>
  <si>
    <t>JFK</t>
  </si>
  <si>
    <t>Bugsy</t>
  </si>
  <si>
    <t>Beauty and the Beast</t>
  </si>
  <si>
    <t>A Few Good Men</t>
  </si>
  <si>
    <t>The Crying Game</t>
  </si>
  <si>
    <t>Scent of a Woman</t>
  </si>
  <si>
    <t>Howards End</t>
  </si>
  <si>
    <t>Unforgiven</t>
  </si>
  <si>
    <t>In the Name of the Father</t>
  </si>
  <si>
    <t>The Remains of the Day</t>
  </si>
  <si>
    <t>The Fugitive</t>
  </si>
  <si>
    <t>The Piano</t>
  </si>
  <si>
    <t>Schindler's List</t>
  </si>
  <si>
    <t>Quiz Show</t>
  </si>
  <si>
    <t>Four Weddings and a Funeral</t>
  </si>
  <si>
    <t>The Shawshank Redemption</t>
  </si>
  <si>
    <t>Pulp Fiction</t>
  </si>
  <si>
    <t>Forrest Gump</t>
  </si>
  <si>
    <t>Babe</t>
  </si>
  <si>
    <t>The Postman (Il Postino)</t>
  </si>
  <si>
    <t>Apollo 13</t>
  </si>
  <si>
    <t>Sense and Sensibility</t>
  </si>
  <si>
    <t>Braveheart</t>
  </si>
  <si>
    <t>Fargo</t>
  </si>
  <si>
    <t>Jerry Maguire</t>
  </si>
  <si>
    <t>Secrets &amp; Lies</t>
  </si>
  <si>
    <t>Shine</t>
  </si>
  <si>
    <t>The English Patient</t>
  </si>
  <si>
    <t>The Full Monty</t>
  </si>
  <si>
    <t>As Good as it Gets</t>
  </si>
  <si>
    <t>L.A. Confidential</t>
  </si>
  <si>
    <t>Good Will Hunting</t>
  </si>
  <si>
    <t>Titanic</t>
  </si>
  <si>
    <t>Life is Beautiful</t>
  </si>
  <si>
    <t>The Thin Red Line</t>
  </si>
  <si>
    <t>Elizabeth</t>
  </si>
  <si>
    <t>Saving Private Ryan</t>
  </si>
  <si>
    <t>Shakespeare in Love</t>
  </si>
  <si>
    <t>The Green Mile</t>
  </si>
  <si>
    <t>The Sixth Sense</t>
  </si>
  <si>
    <t>The Cider House Rules</t>
  </si>
  <si>
    <t>The Insider</t>
  </si>
  <si>
    <t>American Beauty</t>
  </si>
  <si>
    <t>Chocolat</t>
  </si>
  <si>
    <t>Erin Brockovich</t>
  </si>
  <si>
    <t>Traffic</t>
  </si>
  <si>
    <t>Crouching Tiger, Hidden Dragon</t>
  </si>
  <si>
    <t>Gladiator</t>
  </si>
  <si>
    <t>In the Bedroom</t>
  </si>
  <si>
    <t>Gosford Park</t>
  </si>
  <si>
    <t>The Lord of the Rings: The Fellowship of the Ring</t>
  </si>
  <si>
    <t>Moulin Rouge</t>
  </si>
  <si>
    <t>A Beautiful Mind</t>
  </si>
  <si>
    <t>The Lord of the Rings: The Two Towers</t>
  </si>
  <si>
    <t>The Pianist</t>
  </si>
  <si>
    <t>The Hours</t>
  </si>
  <si>
    <t>Gangs of New York</t>
  </si>
  <si>
    <t>Chicago</t>
  </si>
  <si>
    <t>Seabiscuit</t>
  </si>
  <si>
    <t>Master and Commander: The Far Side of the World</t>
  </si>
  <si>
    <t>Mystic River</t>
  </si>
  <si>
    <t>Lost in Translation</t>
  </si>
  <si>
    <t>The Lord of the Rings: The Return of the King</t>
  </si>
  <si>
    <t>Sideways</t>
  </si>
  <si>
    <t>Finding Neverland</t>
  </si>
  <si>
    <t>Ray</t>
  </si>
  <si>
    <t>Million Dollar Baby</t>
  </si>
  <si>
    <t>The Aviator</t>
  </si>
  <si>
    <t>Crash</t>
  </si>
  <si>
    <t>v</t>
  </si>
  <si>
    <t>Brokeback Mountain</t>
  </si>
  <si>
    <t>Capote</t>
  </si>
  <si>
    <t>Good Night, and Good Luck</t>
  </si>
  <si>
    <t>Munich</t>
  </si>
  <si>
    <t>Babel</t>
  </si>
  <si>
    <t>The Departed</t>
  </si>
  <si>
    <t>Letters from Iwo Jima</t>
  </si>
  <si>
    <t>Little Miss Sunshine</t>
  </si>
  <si>
    <t>The Queen</t>
  </si>
  <si>
    <t>Atonement</t>
  </si>
  <si>
    <t>Juno</t>
  </si>
  <si>
    <t>Michael Clayton</t>
  </si>
  <si>
    <t>There Will Be Blood</t>
  </si>
  <si>
    <t>No Country For Old Mean</t>
  </si>
  <si>
    <t>The Curious Case of Benjamin Button</t>
  </si>
  <si>
    <t>Frost / Nixon</t>
  </si>
  <si>
    <t>Milk</t>
  </si>
  <si>
    <t>The Reader</t>
  </si>
  <si>
    <t>Slumdog Millionaire</t>
  </si>
  <si>
    <t>The Hurt Locker</t>
  </si>
  <si>
    <t>Avatar</t>
  </si>
  <si>
    <t>The Blind Side</t>
  </si>
  <si>
    <t>District 9</t>
  </si>
  <si>
    <t>An Education</t>
  </si>
  <si>
    <t>Inglourious Bastards</t>
  </si>
  <si>
    <t>Precious</t>
  </si>
  <si>
    <t>A Serious Man</t>
  </si>
  <si>
    <t>Up</t>
  </si>
  <si>
    <t>Up in the Air</t>
  </si>
  <si>
    <t>The King's Speech</t>
  </si>
  <si>
    <t>Black Swan</t>
  </si>
  <si>
    <t>The Fighter</t>
  </si>
  <si>
    <t>Inception</t>
  </si>
  <si>
    <t>The Kids Are All Right</t>
  </si>
  <si>
    <t>127 Hours</t>
  </si>
  <si>
    <t>The Social Network</t>
  </si>
  <si>
    <t>Toy Story 3</t>
  </si>
  <si>
    <t>True Grit</t>
  </si>
  <si>
    <t>Winter's Bone</t>
  </si>
  <si>
    <t>The Artist</t>
  </si>
  <si>
    <t>The Descendants</t>
  </si>
  <si>
    <t>Extremely Loud and Incredibly Close</t>
  </si>
  <si>
    <t>The Help</t>
  </si>
  <si>
    <t>Midnight in Paris</t>
  </si>
  <si>
    <t>Moneyball</t>
  </si>
  <si>
    <t>The Tree of Life</t>
  </si>
  <si>
    <t>War Horse</t>
  </si>
  <si>
    <t>Argo</t>
  </si>
  <si>
    <t>Amour</t>
  </si>
  <si>
    <t>Beasts of the Southern Wild</t>
  </si>
  <si>
    <t>Django Unchained</t>
  </si>
  <si>
    <t>Les Miserables</t>
  </si>
  <si>
    <t>Life of Pi</t>
  </si>
  <si>
    <t>Lincoln</t>
  </si>
  <si>
    <t>Silver Linings Playbook</t>
  </si>
  <si>
    <t>Zero Dark Thirty</t>
  </si>
  <si>
    <t>12 Years a Slave</t>
  </si>
  <si>
    <t>American Hustle</t>
  </si>
  <si>
    <t>Captain Phillips</t>
  </si>
  <si>
    <t>Dallas Buyers Club</t>
  </si>
  <si>
    <t>Gravity</t>
  </si>
  <si>
    <t>Her</t>
  </si>
  <si>
    <t>Nebraska</t>
  </si>
  <si>
    <t>Philomena</t>
  </si>
  <si>
    <t>The Wolf of Wall Street</t>
  </si>
  <si>
    <t>Birdman</t>
  </si>
  <si>
    <t>American Sniper</t>
  </si>
  <si>
    <t>Boyhood</t>
  </si>
  <si>
    <t>The Grand Budapest Hotel</t>
  </si>
  <si>
    <t>The Imitation Game</t>
  </si>
  <si>
    <t>Selma</t>
  </si>
  <si>
    <t>The Theory of Everything</t>
  </si>
  <si>
    <t>Whiplash</t>
  </si>
  <si>
    <t>XLMiner: Data Partition Sheet</t>
  </si>
  <si>
    <t>Date: 29-Aug-2015 08:53:12</t>
  </si>
  <si>
    <t>Output Navigator</t>
  </si>
  <si>
    <t>Elapsed Times in Milliseconds</t>
  </si>
  <si>
    <t>Partitioning Time</t>
  </si>
  <si>
    <t>Report Time</t>
  </si>
  <si>
    <t>Total</t>
  </si>
  <si>
    <t>Data</t>
  </si>
  <si>
    <t>Data Source</t>
  </si>
  <si>
    <t>$A$1:$G$172</t>
  </si>
  <si>
    <t>Selected Variables</t>
  </si>
  <si>
    <t>Partitioning Method</t>
  </si>
  <si>
    <t>Partitioning Variable used</t>
  </si>
  <si>
    <t>Random Seed</t>
  </si>
  <si>
    <t>Not Used</t>
  </si>
  <si>
    <t># Variables</t>
  </si>
  <si>
    <t># Training Rows</t>
  </si>
  <si>
    <t># Validation Rows</t>
  </si>
  <si>
    <t># Test Rows</t>
  </si>
  <si>
    <t>Training Data</t>
  </si>
  <si>
    <t>Validation Data</t>
  </si>
  <si>
    <t>All Data</t>
  </si>
  <si>
    <t>Date: 29-Aug-2015 08:59:23</t>
  </si>
  <si>
    <t>Model</t>
  </si>
  <si>
    <t>Logistic Regression</t>
  </si>
  <si>
    <t>Constant term present</t>
  </si>
  <si>
    <t># Selected Variables</t>
  </si>
  <si>
    <t>E5:H5</t>
  </si>
  <si>
    <t>Variables Offsets</t>
  </si>
  <si>
    <t>E6:H6</t>
  </si>
  <si>
    <t>Variable Role</t>
  </si>
  <si>
    <t>E7:H7</t>
  </si>
  <si>
    <t>Input</t>
  </si>
  <si>
    <t>Output</t>
  </si>
  <si>
    <t>Variable Type</t>
  </si>
  <si>
    <t>E8:H8</t>
  </si>
  <si>
    <t>Scale</t>
  </si>
  <si>
    <t>Estimated Coefficients</t>
  </si>
  <si>
    <t>D10:G10</t>
  </si>
  <si>
    <t>Class Labels</t>
  </si>
  <si>
    <t>E11:F11</t>
  </si>
  <si>
    <t>Success Class Index</t>
  </si>
  <si>
    <t>Success Probability Threshold</t>
  </si>
  <si>
    <t>XLMiner: Logistic Regression Classification - Validation Data Lift Chart</t>
  </si>
  <si>
    <t>Data Read Time</t>
  </si>
  <si>
    <t>LR Time</t>
  </si>
  <si>
    <t>Serial no.</t>
  </si>
  <si>
    <t>Predicted Winner</t>
  </si>
  <si>
    <t>Actual Winner</t>
  </si>
  <si>
    <t>Cumulative Winner when sorted using predicted values</t>
  </si>
  <si>
    <t>Cumulative Winner using average</t>
  </si>
  <si>
    <t>Deciles</t>
  </si>
  <si>
    <t>Decile mean / Global mean</t>
  </si>
  <si>
    <t>X</t>
  </si>
  <si>
    <t>Y0</t>
  </si>
  <si>
    <t>Y1</t>
  </si>
  <si>
    <t>Decile</t>
  </si>
  <si>
    <t>Mean</t>
  </si>
  <si>
    <t>Std.Dev.</t>
  </si>
  <si>
    <t>Min.</t>
  </si>
  <si>
    <t>Max.</t>
  </si>
  <si>
    <t>Inputs</t>
  </si>
  <si>
    <t>Prior Class Prob.</t>
  </si>
  <si>
    <t>Predictors</t>
  </si>
  <si>
    <t>Regress. Model</t>
  </si>
  <si>
    <t>Variable Selection</t>
  </si>
  <si>
    <t>Train. Score Summary</t>
  </si>
  <si>
    <t>Valid. Score Summary</t>
  </si>
  <si>
    <t>Training Lift Chart</t>
  </si>
  <si>
    <t>Validation Lift Chart</t>
  </si>
  <si>
    <t>XLMiner: Logistic Regression Classification - Training Data Lift Chart</t>
  </si>
  <si>
    <t>XLMiner : Logistic Regression</t>
  </si>
  <si>
    <t>Workbook</t>
  </si>
  <si>
    <t>9.9Solution.xlsx</t>
  </si>
  <si>
    <t>Worksheet</t>
  </si>
  <si>
    <t>Data_Partition</t>
  </si>
  <si>
    <t>Training data used for building the model</t>
  </si>
  <si>
    <t>$B$21:$G$125</t>
  </si>
  <si>
    <t># Records in the training data</t>
  </si>
  <si>
    <t>Validation data</t>
  </si>
  <si>
    <t>$B$126:$G$191</t>
  </si>
  <si>
    <t># Records in the validation data</t>
  </si>
  <si>
    <t>Variables</t>
  </si>
  <si>
    <t># Input Variables</t>
  </si>
  <si>
    <t>Input variables</t>
  </si>
  <si>
    <t>Output variable</t>
  </si>
  <si>
    <t>Parameters/Options</t>
  </si>
  <si>
    <t>Force constant term to zero</t>
  </si>
  <si>
    <t>No</t>
  </si>
  <si>
    <t>Confidence level for odds</t>
  </si>
  <si>
    <t>Maximum Iterations</t>
  </si>
  <si>
    <t>Perform Variable Selection</t>
  </si>
  <si>
    <t>Yes</t>
  </si>
  <si>
    <t>Maximum Size of Subset</t>
  </si>
  <si>
    <t>Number of Best Subsets</t>
  </si>
  <si>
    <t>Variable Selection Procedure</t>
  </si>
  <si>
    <t>Best Subsets</t>
  </si>
  <si>
    <t>Show covariance matrix of coefficients</t>
  </si>
  <si>
    <t>Show Residuals</t>
  </si>
  <si>
    <t>Output Options Chosen</t>
  </si>
  <si>
    <t>Summary report of scoring on training data</t>
  </si>
  <si>
    <t>Lift charts on training data</t>
  </si>
  <si>
    <t>Summary report of scoring on validation data</t>
  </si>
  <si>
    <t>Lift charts on validation data</t>
  </si>
  <si>
    <t>Prior Class Probabilities</t>
  </si>
  <si>
    <t>According to relative occurrences in training data</t>
  </si>
  <si>
    <t>Class</t>
  </si>
  <si>
    <t>Prob.</t>
  </si>
  <si>
    <t>Model Predictors</t>
  </si>
  <si>
    <t>Tolerance for Entering the Model</t>
  </si>
  <si>
    <t>Included</t>
  </si>
  <si>
    <t>Excluded</t>
  </si>
  <si>
    <t>Predictor</t>
  </si>
  <si>
    <t>Criteria</t>
  </si>
  <si>
    <t>Intercept</t>
  </si>
  <si>
    <t>Regression Model</t>
  </si>
  <si>
    <t>Input
Variables</t>
  </si>
  <si>
    <t>Coefficient</t>
  </si>
  <si>
    <t>Std. Error</t>
  </si>
  <si>
    <t>Chi2-Statistic</t>
  </si>
  <si>
    <t>P-Value</t>
  </si>
  <si>
    <t>Odds</t>
  </si>
  <si>
    <t>CI Lower</t>
  </si>
  <si>
    <t>CI Upper</t>
  </si>
  <si>
    <t>Residual DF</t>
  </si>
  <si>
    <t>Residual Dev.</t>
  </si>
  <si>
    <t># Iterations Used</t>
  </si>
  <si>
    <t>Multiple R²</t>
  </si>
  <si>
    <t>Inf</t>
  </si>
  <si>
    <t>Subset Link</t>
  </si>
  <si>
    <t>#Coeffs</t>
  </si>
  <si>
    <t>RSS</t>
  </si>
  <si>
    <t>Cp</t>
  </si>
  <si>
    <t>Probability</t>
  </si>
  <si>
    <t>{"allDataRange":"$B$20:$G$191","cat_cols":[],"data_range":"","firstRow":-1,"forceConstTermToZero":false,"has_header":true,"isPartitionSheet":true,"maxNumIterations":50,"numBestSubsets":2,"numOutputClasses":2,"output_var":{"varId":5,"varName":"Winner"},"partitionData":false,"rows":171,"successClass":"1","successCutoffProb":0.50,"test_rows":0,"train_rows":105,"trainingDataRange":"$B$21:$G$125","useSuccessClass":true,"validationDataRange":"$B$126:$G$191","validation_rows":66,"weight_var":null,"wkbk":"9.9Solution.xlsx","wksheet":"Data_Partition"}</t>
  </si>
  <si>
    <t>{"allDataRange":"$B$20:$G$191","cat_cols":[],"data_range":"","firstRow":-1,"forceConstTermToZero":false,"has_header":true,"input_cols":[{"varId":2,"varName":"OscarNominations"}],"isPartitionSheet":true,"maxNumIterations":50,"numBestSubsets":2,"numOutputClasses":2,"output_var":{"varId":5,"varName":"Winner"},"partitionData":false,"rows":171,"successClass":"1","successCutoffProb":0.50,"test_rows":0,"train_rows":105,"trainingDataRange":"$B$21:$G$125","useSuccessClass":true,"validationDataRange":"$B$126:$G$191","validation_rows":66,"weight_var":null,"wkbk":"9.9Solution.xlsx","wksheet":"Data_Partition"}</t>
  </si>
  <si>
    <t>{"allDataRange":"$B$20:$G$191","cat_cols":[],"data_range":"","firstRow":-1,"forceConstTermToZero":false,"has_header":true,"input_cols":[{"varId":3,"varName":"GoldenGlobeWins"}],"isPartitionSheet":true,"maxNumIterations":50,"numBestSubsets":2,"numOutputClasses":2,"output_var":{"varId":5,"varName":"Winner"},"partitionData":false,"rows":171,"successClass":"1","successCutoffProb":0.50,"test_rows":0,"train_rows":105,"trainingDataRange":"$B$21:$G$125","useSuccessClass":true,"validationDataRange":"$B$126:$G$191","validation_rows":66,"weight_var":null,"wkbk":"9.9Solution.xlsx","wksheet":"Data_Partition"}</t>
  </si>
  <si>
    <t>{"allDataRange":"$B$20:$G$191","cat_cols":[],"data_range":"","firstRow":-1,"forceConstTermToZero":false,"has_header":true,"input_cols":[{"varId":3,"varName":"GoldenGlobeWins"},{"varId":4,"varName":"Comedy"}],"isPartitionSheet":true,"maxNumIterations":50,"numBestSubsets":2,"numOutputClasses":2,"output_var":{"varId":5,"varName":"Winner"},"partitionData":false,"rows":171,"successClass":"1","successCutoffProb":0.50,"test_rows":0,"train_rows":105,"trainingDataRange":"$B$21:$G$125","useSuccessClass":true,"validationDataRange":"$B$126:$G$191","validation_rows":66,"weight_var":null,"wkbk":"9.9Solution.xlsx","wksheet":"Data_Partition"}</t>
  </si>
  <si>
    <t>{"allDataRange":"$B$20:$G$191","cat_cols":[],"data_range":"","firstRow":-1,"forceConstTermToZero":false,"has_header":true,"input_cols":[{"varId":2,"varName":"OscarNominations"},{"varId":3,"varName":"GoldenGlobeWins"}],"isPartitionSheet":true,"maxNumIterations":50,"numBestSubsets":2,"numOutputClasses":2,"output_var":{"varId":5,"varName":"Winner"},"partitionData":false,"rows":171,"successClass":"1","successCutoffProb":0.50,"test_rows":0,"train_rows":105,"trainingDataRange":"$B$21:$G$125","useSuccessClass":true,"validationDataRange":"$B$126:$G$191","validation_rows":66,"weight_var":null,"wkbk":"9.9Solution.xlsx","wksheet":"Data_Partition"}</t>
  </si>
  <si>
    <t>{"allDataRange":"$B$20:$G$191","cat_cols":[],"data_range":"","firstRow":-1,"forceConstTermToZero":false,"has_header":true,"input_cols":[{"varId":2,"varName":"OscarNominations"},{"varId":3,"varName":"GoldenGlobeWins"},{"varId":4,"varName":"Comedy"}],"isPartitionSheet":true,"maxNumIterations":50,"numBestSubsets":2,"numOutputClasses":2,"output_var":{"varId":5,"varName":"Winner"},"partitionData":false,"rows":171,"successClass":"1","successCutoffProb":0.50,"test_rows":0,"train_rows":105,"trainingDataRange":"$B$21:$G$125","useSuccessClass":true,"validationDataRange":"$B$126:$G$191","validation_rows":66,"weight_var":null,"wkbk":"9.9Solution.xlsx","wksheet":"Data_Partition"}</t>
  </si>
  <si>
    <t>Training Data Scoring - Summary Report</t>
  </si>
  <si>
    <t>Cutoff probability value for success (UPDATABLE)</t>
  </si>
  <si>
    <t>Updating the value here will NOT update value in detailed report</t>
  </si>
  <si>
    <t>Confusion Matrix</t>
  </si>
  <si>
    <t>Predicted Class</t>
  </si>
  <si>
    <t>Actual Class</t>
  </si>
  <si>
    <t>Error Report</t>
  </si>
  <si>
    <t># Cases</t>
  </si>
  <si>
    <t># Errors</t>
  </si>
  <si>
    <t>% Error</t>
  </si>
  <si>
    <t>Overall</t>
  </si>
  <si>
    <t>Performance</t>
  </si>
  <si>
    <t>Success Class</t>
  </si>
  <si>
    <t>Precision</t>
  </si>
  <si>
    <t>Recall (Sensitivity)</t>
  </si>
  <si>
    <t>Specificity</t>
  </si>
  <si>
    <t>F1-Score</t>
  </si>
  <si>
    <t>Validation Data Scoring - Summary Report</t>
  </si>
  <si>
    <t>Choose Subset</t>
  </si>
  <si>
    <t>1</t>
  </si>
  <si>
    <t>2</t>
  </si>
  <si>
    <t>3</t>
  </si>
  <si>
    <t>4</t>
  </si>
  <si>
    <t>E5:G5</t>
  </si>
  <si>
    <t>E6:G6</t>
  </si>
  <si>
    <t>E7:G7</t>
  </si>
  <si>
    <t>E8:G8</t>
  </si>
  <si>
    <t>D10:F10</t>
  </si>
  <si>
    <t>Train. Score - Detailed Rep.</t>
  </si>
  <si>
    <t>Valid. Score - Detailed Rep.</t>
  </si>
  <si>
    <t>XLMiner : Logistic Regression - Classification of Validation Data</t>
  </si>
  <si>
    <t>Range</t>
  </si>
  <si>
    <t>$B$20:$G$191</t>
  </si>
  <si>
    <t>Predicted
Class</t>
  </si>
  <si>
    <t>Actual
Class</t>
  </si>
  <si>
    <t>Success
Probability</t>
  </si>
  <si>
    <t>Log Odds</t>
  </si>
  <si>
    <t>XLMiner : Logistic Regression - Classification of Training Data</t>
  </si>
  <si>
    <t>Detailed report of scoring on training data</t>
  </si>
  <si>
    <t>Detailed report of scoring on validation data</t>
  </si>
  <si>
    <t>Max Probability Pick</t>
  </si>
  <si>
    <t>Date: 29-Aug-2015 09:17:10</t>
  </si>
  <si>
    <t>XLMiner : Logistic Regression - Classification of New Data</t>
  </si>
  <si>
    <t>NewDataToPredict</t>
  </si>
  <si>
    <t>$C$1:$E$9</t>
  </si>
  <si>
    <t>Prob. for 0</t>
  </si>
  <si>
    <t>Prob. for 1</t>
  </si>
  <si>
    <t>New Data Detail Rpt.</t>
  </si>
  <si>
    <t>New worksheet data scores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</si>
</sst>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;;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4169E1"/>
      <name val="Calibri"/>
      <family val="2"/>
      <scheme val="minor"/>
    </font>
    <font>
      <b/>
      <sz val="14"/>
      <color rgb="FF4169E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FFFF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EBEBFA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rgb="FF00FFFF"/>
        <bgColor indexed="64"/>
      </patternFill>
    </fill>
  </fills>
  <borders count="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/>
    </xf>
    <xf numFmtId="0" fontId="0" fillId="0" borderId="1" xfId="0" applyFont="1" applyFill="1" applyBorder="1"/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0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6" fillId="0" borderId="2" xfId="1" applyFill="1" applyBorder="1"/>
    <xf numFmtId="0" fontId="0" fillId="3" borderId="0" xfId="0" applyFill="1"/>
    <xf numFmtId="0" fontId="0" fillId="2" borderId="0" xfId="0" applyFill="1"/>
    <xf numFmtId="0" fontId="7" fillId="0" borderId="0" xfId="0" applyFont="1" applyAlignment="1">
      <alignment horizontal="left"/>
    </xf>
    <xf numFmtId="0" fontId="0" fillId="0" borderId="1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164" fontId="0" fillId="0" borderId="0" xfId="0" applyNumberFormat="1"/>
    <xf numFmtId="0" fontId="0" fillId="0" borderId="2" xfId="0" quotePrefix="1" applyFont="1" applyFill="1" applyBorder="1" applyAlignment="1">
      <alignment horizontal="left"/>
    </xf>
    <xf numFmtId="0" fontId="0" fillId="0" borderId="3" xfId="0" quotePrefix="1" applyFont="1" applyFill="1" applyBorder="1" applyAlignment="1">
      <alignment horizontal="left"/>
    </xf>
    <xf numFmtId="0" fontId="0" fillId="0" borderId="4" xfId="0" quotePrefix="1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6" fillId="0" borderId="0" xfId="1"/>
    <xf numFmtId="0" fontId="0" fillId="5" borderId="1" xfId="0" applyFont="1" applyFill="1" applyBorder="1"/>
    <xf numFmtId="0" fontId="4" fillId="3" borderId="5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0" fillId="0" borderId="2" xfId="0" applyFont="1" applyFill="1" applyBorder="1"/>
    <xf numFmtId="0" fontId="0" fillId="0" borderId="4" xfId="0" applyFont="1" applyFill="1" applyBorder="1"/>
    <xf numFmtId="0" fontId="4" fillId="3" borderId="7" xfId="0" applyFont="1" applyFill="1" applyBorder="1" applyAlignment="1">
      <alignment horizontal="center"/>
    </xf>
    <xf numFmtId="0" fontId="0" fillId="0" borderId="8" xfId="0" applyFont="1" applyFill="1" applyBorder="1"/>
    <xf numFmtId="0" fontId="2" fillId="0" borderId="6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Lift chart (training dataset)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Cumulative Winner when sorted using predicted values</c:v>
          </c:tx>
          <c:spPr>
            <a:ln w="6350"/>
          </c:spPr>
          <c:marker>
            <c:symbol val="none"/>
          </c:marker>
          <c:xVal>
            <c:numRef>
              <c:f>LR_TrainingLiftChart1!$AZ$4:$AZ$108</c:f>
              <c:numCache>
                <c:formatCode>General</c:formatCode>
                <c:ptCount val="1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</c:numCache>
            </c:numRef>
          </c:xVal>
          <c:yVal>
            <c:numRef>
              <c:f>LR_TrainingLiftChart1!$BC$4:$BC$108</c:f>
              <c:numCache>
                <c:formatCode>General</c:formatCode>
                <c:ptCount val="1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12</c:v>
                </c:pt>
                <c:pt idx="15">
                  <c:v>13</c:v>
                </c:pt>
                <c:pt idx="16">
                  <c:v>13</c:v>
                </c:pt>
                <c:pt idx="17">
                  <c:v>13</c:v>
                </c:pt>
                <c:pt idx="18">
                  <c:v>14</c:v>
                </c:pt>
                <c:pt idx="19">
                  <c:v>14</c:v>
                </c:pt>
                <c:pt idx="20">
                  <c:v>14</c:v>
                </c:pt>
                <c:pt idx="21">
                  <c:v>15</c:v>
                </c:pt>
                <c:pt idx="22">
                  <c:v>15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17</c:v>
                </c:pt>
                <c:pt idx="28">
                  <c:v>17</c:v>
                </c:pt>
                <c:pt idx="29">
                  <c:v>17</c:v>
                </c:pt>
                <c:pt idx="30">
                  <c:v>17</c:v>
                </c:pt>
                <c:pt idx="31">
                  <c:v>18</c:v>
                </c:pt>
                <c:pt idx="32">
                  <c:v>19</c:v>
                </c:pt>
                <c:pt idx="33">
                  <c:v>19</c:v>
                </c:pt>
                <c:pt idx="34">
                  <c:v>19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19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21</c:v>
                </c:pt>
                <c:pt idx="54">
                  <c:v>21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21</c:v>
                </c:pt>
                <c:pt idx="59">
                  <c:v>21</c:v>
                </c:pt>
                <c:pt idx="60">
                  <c:v>21</c:v>
                </c:pt>
                <c:pt idx="61">
                  <c:v>21</c:v>
                </c:pt>
                <c:pt idx="62">
                  <c:v>21</c:v>
                </c:pt>
                <c:pt idx="63">
                  <c:v>21</c:v>
                </c:pt>
                <c:pt idx="64">
                  <c:v>21</c:v>
                </c:pt>
                <c:pt idx="65">
                  <c:v>21</c:v>
                </c:pt>
                <c:pt idx="66">
                  <c:v>21</c:v>
                </c:pt>
                <c:pt idx="67">
                  <c:v>21</c:v>
                </c:pt>
                <c:pt idx="68">
                  <c:v>21</c:v>
                </c:pt>
                <c:pt idx="69">
                  <c:v>21</c:v>
                </c:pt>
                <c:pt idx="70">
                  <c:v>21</c:v>
                </c:pt>
                <c:pt idx="71">
                  <c:v>21</c:v>
                </c:pt>
                <c:pt idx="72">
                  <c:v>21</c:v>
                </c:pt>
                <c:pt idx="73">
                  <c:v>21</c:v>
                </c:pt>
                <c:pt idx="74">
                  <c:v>21</c:v>
                </c:pt>
                <c:pt idx="75">
                  <c:v>21</c:v>
                </c:pt>
                <c:pt idx="76">
                  <c:v>21</c:v>
                </c:pt>
                <c:pt idx="77">
                  <c:v>21</c:v>
                </c:pt>
                <c:pt idx="78">
                  <c:v>21</c:v>
                </c:pt>
                <c:pt idx="79">
                  <c:v>21</c:v>
                </c:pt>
                <c:pt idx="80">
                  <c:v>21</c:v>
                </c:pt>
                <c:pt idx="81">
                  <c:v>21</c:v>
                </c:pt>
                <c:pt idx="82">
                  <c:v>21</c:v>
                </c:pt>
                <c:pt idx="83">
                  <c:v>21</c:v>
                </c:pt>
                <c:pt idx="84">
                  <c:v>21</c:v>
                </c:pt>
                <c:pt idx="85">
                  <c:v>21</c:v>
                </c:pt>
                <c:pt idx="86">
                  <c:v>21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21</c:v>
                </c:pt>
                <c:pt idx="94">
                  <c:v>21</c:v>
                </c:pt>
                <c:pt idx="95">
                  <c:v>21</c:v>
                </c:pt>
                <c:pt idx="96">
                  <c:v>21</c:v>
                </c:pt>
                <c:pt idx="97">
                  <c:v>21</c:v>
                </c:pt>
                <c:pt idx="98">
                  <c:v>21</c:v>
                </c:pt>
                <c:pt idx="99">
                  <c:v>21</c:v>
                </c:pt>
                <c:pt idx="100">
                  <c:v>21</c:v>
                </c:pt>
                <c:pt idx="101">
                  <c:v>21</c:v>
                </c:pt>
                <c:pt idx="102">
                  <c:v>21</c:v>
                </c:pt>
                <c:pt idx="103">
                  <c:v>21</c:v>
                </c:pt>
                <c:pt idx="104">
                  <c:v>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BA-4849-8E42-BDC564922D50}"/>
            </c:ext>
          </c:extLst>
        </c:ser>
        <c:ser>
          <c:idx val="1"/>
          <c:order val="1"/>
          <c:tx>
            <c:v>Cumulative Winner using average</c:v>
          </c:tx>
          <c:spPr>
            <a:ln w="6350"/>
          </c:spPr>
          <c:marker>
            <c:symbol val="none"/>
          </c:marker>
          <c:xVal>
            <c:numRef>
              <c:f>LR_TrainingLiftChart1!$AZ$4:$AZ$108</c:f>
              <c:numCache>
                <c:formatCode>General</c:formatCode>
                <c:ptCount val="1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</c:numCache>
            </c:numRef>
          </c:xVal>
          <c:yVal>
            <c:numRef>
              <c:f>LR_TrainingLiftChart1!$BD$4:$BD$108</c:f>
              <c:numCache>
                <c:formatCode>General</c:formatCode>
                <c:ptCount val="105"/>
                <c:pt idx="0">
                  <c:v>0.2</c:v>
                </c:pt>
                <c:pt idx="1">
                  <c:v>0.4</c:v>
                </c:pt>
                <c:pt idx="2">
                  <c:v>0.60000000000000009</c:v>
                </c:pt>
                <c:pt idx="3">
                  <c:v>0.8</c:v>
                </c:pt>
                <c:pt idx="4">
                  <c:v>1</c:v>
                </c:pt>
                <c:pt idx="5">
                  <c:v>1.2000000000000002</c:v>
                </c:pt>
                <c:pt idx="6">
                  <c:v>1.4000000000000001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  <c:pt idx="10">
                  <c:v>2.2000000000000002</c:v>
                </c:pt>
                <c:pt idx="11">
                  <c:v>2.4000000000000004</c:v>
                </c:pt>
                <c:pt idx="12">
                  <c:v>2.6</c:v>
                </c:pt>
                <c:pt idx="13">
                  <c:v>2.8000000000000003</c:v>
                </c:pt>
                <c:pt idx="14">
                  <c:v>3</c:v>
                </c:pt>
                <c:pt idx="15">
                  <c:v>3.2</c:v>
                </c:pt>
                <c:pt idx="16">
                  <c:v>3.4000000000000004</c:v>
                </c:pt>
                <c:pt idx="17">
                  <c:v>3.6</c:v>
                </c:pt>
                <c:pt idx="18">
                  <c:v>3.8000000000000003</c:v>
                </c:pt>
                <c:pt idx="19">
                  <c:v>4</c:v>
                </c:pt>
                <c:pt idx="20">
                  <c:v>4.2</c:v>
                </c:pt>
                <c:pt idx="21">
                  <c:v>4.4000000000000004</c:v>
                </c:pt>
                <c:pt idx="22">
                  <c:v>4.6000000000000005</c:v>
                </c:pt>
                <c:pt idx="23">
                  <c:v>4.8000000000000007</c:v>
                </c:pt>
                <c:pt idx="24">
                  <c:v>5</c:v>
                </c:pt>
                <c:pt idx="25">
                  <c:v>5.2</c:v>
                </c:pt>
                <c:pt idx="26">
                  <c:v>5.4</c:v>
                </c:pt>
                <c:pt idx="27">
                  <c:v>5.6000000000000005</c:v>
                </c:pt>
                <c:pt idx="28">
                  <c:v>5.8000000000000007</c:v>
                </c:pt>
                <c:pt idx="29">
                  <c:v>6</c:v>
                </c:pt>
                <c:pt idx="30">
                  <c:v>6.2</c:v>
                </c:pt>
                <c:pt idx="31">
                  <c:v>6.4</c:v>
                </c:pt>
                <c:pt idx="32">
                  <c:v>6.6000000000000005</c:v>
                </c:pt>
                <c:pt idx="33">
                  <c:v>6.8000000000000007</c:v>
                </c:pt>
                <c:pt idx="34">
                  <c:v>7</c:v>
                </c:pt>
                <c:pt idx="35">
                  <c:v>7.2</c:v>
                </c:pt>
                <c:pt idx="36">
                  <c:v>7.4</c:v>
                </c:pt>
                <c:pt idx="37">
                  <c:v>7.6000000000000005</c:v>
                </c:pt>
                <c:pt idx="38">
                  <c:v>7.8000000000000007</c:v>
                </c:pt>
                <c:pt idx="39">
                  <c:v>8</c:v>
                </c:pt>
                <c:pt idx="40">
                  <c:v>8.2000000000000011</c:v>
                </c:pt>
                <c:pt idx="41">
                  <c:v>8.4</c:v>
                </c:pt>
                <c:pt idx="42">
                  <c:v>8.6</c:v>
                </c:pt>
                <c:pt idx="43">
                  <c:v>8.8000000000000007</c:v>
                </c:pt>
                <c:pt idx="44">
                  <c:v>9</c:v>
                </c:pt>
                <c:pt idx="45">
                  <c:v>9.2000000000000011</c:v>
                </c:pt>
                <c:pt idx="46">
                  <c:v>9.4</c:v>
                </c:pt>
                <c:pt idx="47">
                  <c:v>9.6000000000000014</c:v>
                </c:pt>
                <c:pt idx="48">
                  <c:v>9.8000000000000007</c:v>
                </c:pt>
                <c:pt idx="49">
                  <c:v>10</c:v>
                </c:pt>
                <c:pt idx="50">
                  <c:v>10.200000000000001</c:v>
                </c:pt>
                <c:pt idx="51">
                  <c:v>10.4</c:v>
                </c:pt>
                <c:pt idx="52">
                  <c:v>10.600000000000001</c:v>
                </c:pt>
                <c:pt idx="53">
                  <c:v>10.8</c:v>
                </c:pt>
                <c:pt idx="54">
                  <c:v>11</c:v>
                </c:pt>
                <c:pt idx="55">
                  <c:v>11.200000000000001</c:v>
                </c:pt>
                <c:pt idx="56">
                  <c:v>11.4</c:v>
                </c:pt>
                <c:pt idx="57">
                  <c:v>11.600000000000001</c:v>
                </c:pt>
                <c:pt idx="58">
                  <c:v>11.8</c:v>
                </c:pt>
                <c:pt idx="59">
                  <c:v>12</c:v>
                </c:pt>
                <c:pt idx="60">
                  <c:v>12.200000000000001</c:v>
                </c:pt>
                <c:pt idx="61">
                  <c:v>12.4</c:v>
                </c:pt>
                <c:pt idx="62">
                  <c:v>12.600000000000001</c:v>
                </c:pt>
                <c:pt idx="63">
                  <c:v>12.8</c:v>
                </c:pt>
                <c:pt idx="64">
                  <c:v>13</c:v>
                </c:pt>
                <c:pt idx="65">
                  <c:v>13.200000000000001</c:v>
                </c:pt>
                <c:pt idx="66">
                  <c:v>13.4</c:v>
                </c:pt>
                <c:pt idx="67">
                  <c:v>13.600000000000001</c:v>
                </c:pt>
                <c:pt idx="68">
                  <c:v>13.8</c:v>
                </c:pt>
                <c:pt idx="69">
                  <c:v>14</c:v>
                </c:pt>
                <c:pt idx="70">
                  <c:v>14.200000000000001</c:v>
                </c:pt>
                <c:pt idx="71">
                  <c:v>14.4</c:v>
                </c:pt>
                <c:pt idx="72">
                  <c:v>14.600000000000001</c:v>
                </c:pt>
                <c:pt idx="73">
                  <c:v>14.8</c:v>
                </c:pt>
                <c:pt idx="74">
                  <c:v>15</c:v>
                </c:pt>
                <c:pt idx="75">
                  <c:v>15.200000000000001</c:v>
                </c:pt>
                <c:pt idx="76">
                  <c:v>15.4</c:v>
                </c:pt>
                <c:pt idx="77">
                  <c:v>15.600000000000001</c:v>
                </c:pt>
                <c:pt idx="78">
                  <c:v>15.8</c:v>
                </c:pt>
                <c:pt idx="79">
                  <c:v>16</c:v>
                </c:pt>
                <c:pt idx="80">
                  <c:v>16.2</c:v>
                </c:pt>
                <c:pt idx="81">
                  <c:v>16.400000000000002</c:v>
                </c:pt>
                <c:pt idx="82">
                  <c:v>16.600000000000001</c:v>
                </c:pt>
                <c:pt idx="83">
                  <c:v>16.8</c:v>
                </c:pt>
                <c:pt idx="84">
                  <c:v>17</c:v>
                </c:pt>
                <c:pt idx="85">
                  <c:v>17.2</c:v>
                </c:pt>
                <c:pt idx="86">
                  <c:v>17.400000000000002</c:v>
                </c:pt>
                <c:pt idx="87">
                  <c:v>17.600000000000001</c:v>
                </c:pt>
                <c:pt idx="88">
                  <c:v>17.8</c:v>
                </c:pt>
                <c:pt idx="89">
                  <c:v>18</c:v>
                </c:pt>
                <c:pt idx="90">
                  <c:v>18.2</c:v>
                </c:pt>
                <c:pt idx="91">
                  <c:v>18.400000000000002</c:v>
                </c:pt>
                <c:pt idx="92">
                  <c:v>18.600000000000001</c:v>
                </c:pt>
                <c:pt idx="93">
                  <c:v>18.8</c:v>
                </c:pt>
                <c:pt idx="94">
                  <c:v>19</c:v>
                </c:pt>
                <c:pt idx="95">
                  <c:v>19.200000000000003</c:v>
                </c:pt>
                <c:pt idx="96">
                  <c:v>19.400000000000002</c:v>
                </c:pt>
                <c:pt idx="97">
                  <c:v>19.600000000000001</c:v>
                </c:pt>
                <c:pt idx="98">
                  <c:v>19.8</c:v>
                </c:pt>
                <c:pt idx="99">
                  <c:v>20</c:v>
                </c:pt>
                <c:pt idx="100">
                  <c:v>20.200000000000003</c:v>
                </c:pt>
                <c:pt idx="101">
                  <c:v>20.400000000000002</c:v>
                </c:pt>
                <c:pt idx="102">
                  <c:v>20.6</c:v>
                </c:pt>
                <c:pt idx="103">
                  <c:v>20.8</c:v>
                </c:pt>
                <c:pt idx="104">
                  <c:v>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BA-4849-8E42-BDC564922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507455"/>
        <c:axId val="374494143"/>
      </c:scatterChart>
      <c:valAx>
        <c:axId val="37450745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Cases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494143"/>
        <c:crosses val="autoZero"/>
        <c:crossBetween val="midCat"/>
      </c:valAx>
      <c:valAx>
        <c:axId val="374494143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507455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Lift chart (validation dataset)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Cumulative Winner when sorted using predicted values</c:v>
          </c:tx>
          <c:spPr>
            <a:ln w="6350"/>
          </c:spPr>
          <c:marker>
            <c:symbol val="none"/>
          </c:marker>
          <c:xVal>
            <c:numRef>
              <c:f>LR_ValidationLiftChart!$AZ$4:$AZ$69</c:f>
              <c:numCache>
                <c:formatCode>General</c:formatCode>
                <c:ptCount val="6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</c:numCache>
            </c:numRef>
          </c:xVal>
          <c:yVal>
            <c:numRef>
              <c:f>LR_ValidationLiftChart!$BC$4:$BC$69</c:f>
              <c:numCache>
                <c:formatCode>General</c:formatCode>
                <c:ptCount val="6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B45-4F07-BDB1-80C295890A47}"/>
            </c:ext>
          </c:extLst>
        </c:ser>
        <c:ser>
          <c:idx val="1"/>
          <c:order val="1"/>
          <c:tx>
            <c:v>Cumulative Winner using average</c:v>
          </c:tx>
          <c:spPr>
            <a:ln w="6350"/>
          </c:spPr>
          <c:marker>
            <c:symbol val="none"/>
          </c:marker>
          <c:xVal>
            <c:numRef>
              <c:f>LR_ValidationLiftChart!$AZ$4:$AZ$69</c:f>
              <c:numCache>
                <c:formatCode>General</c:formatCode>
                <c:ptCount val="6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</c:numCache>
            </c:numRef>
          </c:xVal>
          <c:yVal>
            <c:numRef>
              <c:f>LR_ValidationLiftChart!$BD$4:$BD$69</c:f>
              <c:numCache>
                <c:formatCode>General</c:formatCode>
                <c:ptCount val="66"/>
                <c:pt idx="0">
                  <c:v>0.13636363636363635</c:v>
                </c:pt>
                <c:pt idx="1">
                  <c:v>0.27272727272727271</c:v>
                </c:pt>
                <c:pt idx="2">
                  <c:v>0.40909090909090906</c:v>
                </c:pt>
                <c:pt idx="3">
                  <c:v>0.54545454545454541</c:v>
                </c:pt>
                <c:pt idx="4">
                  <c:v>0.68181818181818177</c:v>
                </c:pt>
                <c:pt idx="5">
                  <c:v>0.81818181818181812</c:v>
                </c:pt>
                <c:pt idx="6">
                  <c:v>0.95454545454545447</c:v>
                </c:pt>
                <c:pt idx="7">
                  <c:v>1.0909090909090908</c:v>
                </c:pt>
                <c:pt idx="8">
                  <c:v>1.2272727272727271</c:v>
                </c:pt>
                <c:pt idx="9">
                  <c:v>1.3636363636363635</c:v>
                </c:pt>
                <c:pt idx="10">
                  <c:v>1.5</c:v>
                </c:pt>
                <c:pt idx="11">
                  <c:v>1.6363636363636362</c:v>
                </c:pt>
                <c:pt idx="12">
                  <c:v>1.7727272727272725</c:v>
                </c:pt>
                <c:pt idx="13">
                  <c:v>1.9090909090909089</c:v>
                </c:pt>
                <c:pt idx="14">
                  <c:v>2.0454545454545454</c:v>
                </c:pt>
                <c:pt idx="15">
                  <c:v>2.1818181818181817</c:v>
                </c:pt>
                <c:pt idx="16">
                  <c:v>2.3181818181818179</c:v>
                </c:pt>
                <c:pt idx="17">
                  <c:v>2.4545454545454541</c:v>
                </c:pt>
                <c:pt idx="18">
                  <c:v>2.5909090909090908</c:v>
                </c:pt>
                <c:pt idx="19">
                  <c:v>2.7272727272727271</c:v>
                </c:pt>
                <c:pt idx="20">
                  <c:v>2.8636363636363633</c:v>
                </c:pt>
                <c:pt idx="21">
                  <c:v>3</c:v>
                </c:pt>
                <c:pt idx="22">
                  <c:v>3.1363636363636362</c:v>
                </c:pt>
                <c:pt idx="23">
                  <c:v>3.2727272727272725</c:v>
                </c:pt>
                <c:pt idx="24">
                  <c:v>3.4090909090909087</c:v>
                </c:pt>
                <c:pt idx="25">
                  <c:v>3.545454545454545</c:v>
                </c:pt>
                <c:pt idx="26">
                  <c:v>3.6818181818181817</c:v>
                </c:pt>
                <c:pt idx="27">
                  <c:v>3.8181818181818179</c:v>
                </c:pt>
                <c:pt idx="28">
                  <c:v>3.9545454545454541</c:v>
                </c:pt>
                <c:pt idx="29">
                  <c:v>4.0909090909090908</c:v>
                </c:pt>
                <c:pt idx="30">
                  <c:v>4.2272727272727266</c:v>
                </c:pt>
                <c:pt idx="31">
                  <c:v>4.3636363636363633</c:v>
                </c:pt>
                <c:pt idx="32">
                  <c:v>4.5</c:v>
                </c:pt>
                <c:pt idx="33">
                  <c:v>4.6363636363636358</c:v>
                </c:pt>
                <c:pt idx="34">
                  <c:v>4.7727272727272725</c:v>
                </c:pt>
                <c:pt idx="35">
                  <c:v>4.9090909090909083</c:v>
                </c:pt>
                <c:pt idx="36">
                  <c:v>5.045454545454545</c:v>
                </c:pt>
                <c:pt idx="37">
                  <c:v>5.1818181818181817</c:v>
                </c:pt>
                <c:pt idx="38">
                  <c:v>5.3181818181818175</c:v>
                </c:pt>
                <c:pt idx="39">
                  <c:v>5.4545454545454541</c:v>
                </c:pt>
                <c:pt idx="40">
                  <c:v>5.5909090909090908</c:v>
                </c:pt>
                <c:pt idx="41">
                  <c:v>5.7272727272727266</c:v>
                </c:pt>
                <c:pt idx="42">
                  <c:v>5.8636363636363633</c:v>
                </c:pt>
                <c:pt idx="43">
                  <c:v>6</c:v>
                </c:pt>
                <c:pt idx="44">
                  <c:v>6.1363636363636358</c:v>
                </c:pt>
                <c:pt idx="45">
                  <c:v>6.2727272727272725</c:v>
                </c:pt>
                <c:pt idx="46">
                  <c:v>6.4090909090909083</c:v>
                </c:pt>
                <c:pt idx="47">
                  <c:v>6.545454545454545</c:v>
                </c:pt>
                <c:pt idx="48">
                  <c:v>6.6818181818181817</c:v>
                </c:pt>
                <c:pt idx="49">
                  <c:v>6.8181818181818175</c:v>
                </c:pt>
                <c:pt idx="50">
                  <c:v>6.9545454545454541</c:v>
                </c:pt>
                <c:pt idx="51">
                  <c:v>7.0909090909090899</c:v>
                </c:pt>
                <c:pt idx="52">
                  <c:v>7.2272727272727266</c:v>
                </c:pt>
                <c:pt idx="53">
                  <c:v>7.3636363636363633</c:v>
                </c:pt>
                <c:pt idx="54">
                  <c:v>7.4999999999999991</c:v>
                </c:pt>
                <c:pt idx="55">
                  <c:v>7.6363636363636358</c:v>
                </c:pt>
                <c:pt idx="56">
                  <c:v>7.7727272727272725</c:v>
                </c:pt>
                <c:pt idx="57">
                  <c:v>7.9090909090909083</c:v>
                </c:pt>
                <c:pt idx="58">
                  <c:v>8.045454545454545</c:v>
                </c:pt>
                <c:pt idx="59">
                  <c:v>8.1818181818181817</c:v>
                </c:pt>
                <c:pt idx="60">
                  <c:v>8.3181818181818183</c:v>
                </c:pt>
                <c:pt idx="61">
                  <c:v>8.4545454545454533</c:v>
                </c:pt>
                <c:pt idx="62">
                  <c:v>8.5909090909090899</c:v>
                </c:pt>
                <c:pt idx="63">
                  <c:v>8.7272727272727266</c:v>
                </c:pt>
                <c:pt idx="64">
                  <c:v>8.8636363636363633</c:v>
                </c:pt>
                <c:pt idx="65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B45-4F07-BDB1-80C295890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677551"/>
        <c:axId val="385678383"/>
      </c:scatterChart>
      <c:valAx>
        <c:axId val="3856775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Cases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5678383"/>
        <c:crosses val="autoZero"/>
        <c:crossBetween val="midCat"/>
      </c:valAx>
      <c:valAx>
        <c:axId val="385678383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85677551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Decile-wise lift chart (validation dataset)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LR_ValidationLiftChart!$BE$4:$BE$13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LR_ValidationLiftChart!$BF$4:$BF$13</c:f>
              <c:numCache>
                <c:formatCode>General</c:formatCode>
                <c:ptCount val="10"/>
                <c:pt idx="0">
                  <c:v>3.666666666666667</c:v>
                </c:pt>
                <c:pt idx="1">
                  <c:v>1.2222222222222223</c:v>
                </c:pt>
                <c:pt idx="2">
                  <c:v>0</c:v>
                </c:pt>
                <c:pt idx="3">
                  <c:v>2.4444444444444446</c:v>
                </c:pt>
                <c:pt idx="4">
                  <c:v>2.4444444444444446</c:v>
                </c:pt>
                <c:pt idx="5">
                  <c:v>0</c:v>
                </c:pt>
                <c:pt idx="6">
                  <c:v>1.2222222222222223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2D-470A-AA19-C260FC44F6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3259647"/>
        <c:axId val="973261311"/>
      </c:barChart>
      <c:catAx>
        <c:axId val="97325964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73261311"/>
        <c:crosses val="autoZero"/>
        <c:auto val="1"/>
        <c:lblAlgn val="ctr"/>
        <c:lblOffset val="100"/>
        <c:noMultiLvlLbl val="0"/>
      </c:catAx>
      <c:valAx>
        <c:axId val="97326131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 mean / Global mean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73259647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ROC Curve, AUC = 0.761209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LogReg Classifier</c:v>
          </c:tx>
          <c:spPr>
            <a:ln w="6350"/>
          </c:spPr>
          <c:marker>
            <c:symbol val="none"/>
          </c:marker>
          <c:xVal>
            <c:numRef>
              <c:f>LR_ValidationLiftChart!$BZ$2:$BZ$39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3.5087719298245612E-2</c:v>
                </c:pt>
                <c:pt idx="3">
                  <c:v>3.5087719298245612E-2</c:v>
                </c:pt>
                <c:pt idx="4">
                  <c:v>5.2631578947368418E-2</c:v>
                </c:pt>
                <c:pt idx="5">
                  <c:v>7.0175438596491224E-2</c:v>
                </c:pt>
                <c:pt idx="6">
                  <c:v>8.771929824561403E-2</c:v>
                </c:pt>
                <c:pt idx="7">
                  <c:v>0.10526315789473684</c:v>
                </c:pt>
                <c:pt idx="8">
                  <c:v>0.10526315789473684</c:v>
                </c:pt>
                <c:pt idx="9">
                  <c:v>0.12280701754385964</c:v>
                </c:pt>
                <c:pt idx="10">
                  <c:v>0.14035087719298245</c:v>
                </c:pt>
                <c:pt idx="11">
                  <c:v>0.17543859649122806</c:v>
                </c:pt>
                <c:pt idx="12">
                  <c:v>0.21052631578947367</c:v>
                </c:pt>
                <c:pt idx="13">
                  <c:v>0.24561403508771928</c:v>
                </c:pt>
                <c:pt idx="14">
                  <c:v>0.2807017543859649</c:v>
                </c:pt>
                <c:pt idx="15">
                  <c:v>0.2982456140350877</c:v>
                </c:pt>
                <c:pt idx="16">
                  <c:v>0.31578947368421051</c:v>
                </c:pt>
                <c:pt idx="17">
                  <c:v>0.31578947368421051</c:v>
                </c:pt>
                <c:pt idx="18">
                  <c:v>0.33333333333333331</c:v>
                </c:pt>
                <c:pt idx="19">
                  <c:v>0.36842105263157893</c:v>
                </c:pt>
                <c:pt idx="20">
                  <c:v>0.47368421052631576</c:v>
                </c:pt>
                <c:pt idx="21">
                  <c:v>0.49122807017543857</c:v>
                </c:pt>
                <c:pt idx="22">
                  <c:v>0.52631578947368418</c:v>
                </c:pt>
                <c:pt idx="23">
                  <c:v>0.63157894736842102</c:v>
                </c:pt>
                <c:pt idx="24">
                  <c:v>0.66666666666666663</c:v>
                </c:pt>
                <c:pt idx="25">
                  <c:v>0.68421052631578949</c:v>
                </c:pt>
                <c:pt idx="26">
                  <c:v>0.75438596491228072</c:v>
                </c:pt>
                <c:pt idx="27">
                  <c:v>0.78947368421052633</c:v>
                </c:pt>
                <c:pt idx="28">
                  <c:v>0.80701754385964908</c:v>
                </c:pt>
                <c:pt idx="29">
                  <c:v>0.82456140350877194</c:v>
                </c:pt>
                <c:pt idx="30">
                  <c:v>0.84210526315789469</c:v>
                </c:pt>
                <c:pt idx="31">
                  <c:v>0.85964912280701755</c:v>
                </c:pt>
                <c:pt idx="32">
                  <c:v>0.8771929824561403</c:v>
                </c:pt>
                <c:pt idx="33">
                  <c:v>0.91228070175438591</c:v>
                </c:pt>
                <c:pt idx="34">
                  <c:v>0.92982456140350878</c:v>
                </c:pt>
                <c:pt idx="35">
                  <c:v>0.94736842105263153</c:v>
                </c:pt>
                <c:pt idx="36">
                  <c:v>0.98245614035087714</c:v>
                </c:pt>
                <c:pt idx="37">
                  <c:v>1</c:v>
                </c:pt>
              </c:numCache>
            </c:numRef>
          </c:xVal>
          <c:yVal>
            <c:numRef>
              <c:f>LR_ValidationLiftChart!$CA$2:$CA$39</c:f>
              <c:numCache>
                <c:formatCode>General</c:formatCode>
                <c:ptCount val="38"/>
                <c:pt idx="0">
                  <c:v>0</c:v>
                </c:pt>
                <c:pt idx="1">
                  <c:v>0.1111111111111111</c:v>
                </c:pt>
                <c:pt idx="2">
                  <c:v>0.1111111111111111</c:v>
                </c:pt>
                <c:pt idx="3">
                  <c:v>0.22222222222222221</c:v>
                </c:pt>
                <c:pt idx="4">
                  <c:v>0.22222222222222221</c:v>
                </c:pt>
                <c:pt idx="5">
                  <c:v>0.33333333333333331</c:v>
                </c:pt>
                <c:pt idx="6">
                  <c:v>0.33333333333333331</c:v>
                </c:pt>
                <c:pt idx="7">
                  <c:v>0.33333333333333331</c:v>
                </c:pt>
                <c:pt idx="8">
                  <c:v>0.44444444444444442</c:v>
                </c:pt>
                <c:pt idx="9">
                  <c:v>0.44444444444444442</c:v>
                </c:pt>
                <c:pt idx="10">
                  <c:v>0.44444444444444442</c:v>
                </c:pt>
                <c:pt idx="11">
                  <c:v>0.44444444444444442</c:v>
                </c:pt>
                <c:pt idx="12">
                  <c:v>0.44444444444444442</c:v>
                </c:pt>
                <c:pt idx="13">
                  <c:v>0.44444444444444442</c:v>
                </c:pt>
                <c:pt idx="14">
                  <c:v>0.44444444444444442</c:v>
                </c:pt>
                <c:pt idx="15">
                  <c:v>0.44444444444444442</c:v>
                </c:pt>
                <c:pt idx="16">
                  <c:v>0.55555555555555558</c:v>
                </c:pt>
                <c:pt idx="17">
                  <c:v>0.66666666666666663</c:v>
                </c:pt>
                <c:pt idx="18">
                  <c:v>0.77777777777777779</c:v>
                </c:pt>
                <c:pt idx="19">
                  <c:v>0.77777777777777779</c:v>
                </c:pt>
                <c:pt idx="20">
                  <c:v>0.88888888888888884</c:v>
                </c:pt>
                <c:pt idx="21">
                  <c:v>0.88888888888888884</c:v>
                </c:pt>
                <c:pt idx="22">
                  <c:v>0.88888888888888884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47-4654-AB89-794CA8454F5E}"/>
            </c:ext>
          </c:extLst>
        </c:ser>
        <c:ser>
          <c:idx val="1"/>
          <c:order val="1"/>
          <c:tx>
            <c:v>Random Classifier</c:v>
          </c:tx>
          <c:spPr>
            <a:ln w="6350"/>
          </c:spPr>
          <c:marker>
            <c:symbol val="none"/>
          </c:marker>
          <c:xVal>
            <c:numRef>
              <c:f>LR_ValidationLiftChart!$BZ$2:$BZ$39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3.5087719298245612E-2</c:v>
                </c:pt>
                <c:pt idx="3">
                  <c:v>3.5087719298245612E-2</c:v>
                </c:pt>
                <c:pt idx="4">
                  <c:v>5.2631578947368418E-2</c:v>
                </c:pt>
                <c:pt idx="5">
                  <c:v>7.0175438596491224E-2</c:v>
                </c:pt>
                <c:pt idx="6">
                  <c:v>8.771929824561403E-2</c:v>
                </c:pt>
                <c:pt idx="7">
                  <c:v>0.10526315789473684</c:v>
                </c:pt>
                <c:pt idx="8">
                  <c:v>0.10526315789473684</c:v>
                </c:pt>
                <c:pt idx="9">
                  <c:v>0.12280701754385964</c:v>
                </c:pt>
                <c:pt idx="10">
                  <c:v>0.14035087719298245</c:v>
                </c:pt>
                <c:pt idx="11">
                  <c:v>0.17543859649122806</c:v>
                </c:pt>
                <c:pt idx="12">
                  <c:v>0.21052631578947367</c:v>
                </c:pt>
                <c:pt idx="13">
                  <c:v>0.24561403508771928</c:v>
                </c:pt>
                <c:pt idx="14">
                  <c:v>0.2807017543859649</c:v>
                </c:pt>
                <c:pt idx="15">
                  <c:v>0.2982456140350877</c:v>
                </c:pt>
                <c:pt idx="16">
                  <c:v>0.31578947368421051</c:v>
                </c:pt>
                <c:pt idx="17">
                  <c:v>0.31578947368421051</c:v>
                </c:pt>
                <c:pt idx="18">
                  <c:v>0.33333333333333331</c:v>
                </c:pt>
                <c:pt idx="19">
                  <c:v>0.36842105263157893</c:v>
                </c:pt>
                <c:pt idx="20">
                  <c:v>0.47368421052631576</c:v>
                </c:pt>
                <c:pt idx="21">
                  <c:v>0.49122807017543857</c:v>
                </c:pt>
                <c:pt idx="22">
                  <c:v>0.52631578947368418</c:v>
                </c:pt>
                <c:pt idx="23">
                  <c:v>0.63157894736842102</c:v>
                </c:pt>
                <c:pt idx="24">
                  <c:v>0.66666666666666663</c:v>
                </c:pt>
                <c:pt idx="25">
                  <c:v>0.68421052631578949</c:v>
                </c:pt>
                <c:pt idx="26">
                  <c:v>0.75438596491228072</c:v>
                </c:pt>
                <c:pt idx="27">
                  <c:v>0.78947368421052633</c:v>
                </c:pt>
                <c:pt idx="28">
                  <c:v>0.80701754385964908</c:v>
                </c:pt>
                <c:pt idx="29">
                  <c:v>0.82456140350877194</c:v>
                </c:pt>
                <c:pt idx="30">
                  <c:v>0.84210526315789469</c:v>
                </c:pt>
                <c:pt idx="31">
                  <c:v>0.85964912280701755</c:v>
                </c:pt>
                <c:pt idx="32">
                  <c:v>0.8771929824561403</c:v>
                </c:pt>
                <c:pt idx="33">
                  <c:v>0.91228070175438591</c:v>
                </c:pt>
                <c:pt idx="34">
                  <c:v>0.92982456140350878</c:v>
                </c:pt>
                <c:pt idx="35">
                  <c:v>0.94736842105263153</c:v>
                </c:pt>
                <c:pt idx="36">
                  <c:v>0.98245614035087714</c:v>
                </c:pt>
                <c:pt idx="37">
                  <c:v>1</c:v>
                </c:pt>
              </c:numCache>
            </c:numRef>
          </c:xVal>
          <c:yVal>
            <c:numRef>
              <c:f>LR_ValidationLiftChart!$CB$2:$CB$39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3.5087719298245612E-2</c:v>
                </c:pt>
                <c:pt idx="3">
                  <c:v>3.5087719298245612E-2</c:v>
                </c:pt>
                <c:pt idx="4">
                  <c:v>5.2631578947368418E-2</c:v>
                </c:pt>
                <c:pt idx="5">
                  <c:v>7.0175438596491224E-2</c:v>
                </c:pt>
                <c:pt idx="6">
                  <c:v>8.771929824561403E-2</c:v>
                </c:pt>
                <c:pt idx="7">
                  <c:v>0.10526315789473684</c:v>
                </c:pt>
                <c:pt idx="8">
                  <c:v>0.10526315789473684</c:v>
                </c:pt>
                <c:pt idx="9">
                  <c:v>0.12280701754385964</c:v>
                </c:pt>
                <c:pt idx="10">
                  <c:v>0.14035087719298245</c:v>
                </c:pt>
                <c:pt idx="11">
                  <c:v>0.17543859649122806</c:v>
                </c:pt>
                <c:pt idx="12">
                  <c:v>0.21052631578947367</c:v>
                </c:pt>
                <c:pt idx="13">
                  <c:v>0.24561403508771928</c:v>
                </c:pt>
                <c:pt idx="14">
                  <c:v>0.2807017543859649</c:v>
                </c:pt>
                <c:pt idx="15">
                  <c:v>0.2982456140350877</c:v>
                </c:pt>
                <c:pt idx="16">
                  <c:v>0.31578947368421051</c:v>
                </c:pt>
                <c:pt idx="17">
                  <c:v>0.31578947368421051</c:v>
                </c:pt>
                <c:pt idx="18">
                  <c:v>0.33333333333333331</c:v>
                </c:pt>
                <c:pt idx="19">
                  <c:v>0.36842105263157893</c:v>
                </c:pt>
                <c:pt idx="20">
                  <c:v>0.47368421052631576</c:v>
                </c:pt>
                <c:pt idx="21">
                  <c:v>0.49122807017543857</c:v>
                </c:pt>
                <c:pt idx="22">
                  <c:v>0.52631578947368418</c:v>
                </c:pt>
                <c:pt idx="23">
                  <c:v>0.63157894736842102</c:v>
                </c:pt>
                <c:pt idx="24">
                  <c:v>0.66666666666666663</c:v>
                </c:pt>
                <c:pt idx="25">
                  <c:v>0.68421052631578949</c:v>
                </c:pt>
                <c:pt idx="26">
                  <c:v>0.75438596491228072</c:v>
                </c:pt>
                <c:pt idx="27">
                  <c:v>0.78947368421052633</c:v>
                </c:pt>
                <c:pt idx="28">
                  <c:v>0.80701754385964908</c:v>
                </c:pt>
                <c:pt idx="29">
                  <c:v>0.82456140350877194</c:v>
                </c:pt>
                <c:pt idx="30">
                  <c:v>0.84210526315789469</c:v>
                </c:pt>
                <c:pt idx="31">
                  <c:v>0.85964912280701755</c:v>
                </c:pt>
                <c:pt idx="32">
                  <c:v>0.8771929824561403</c:v>
                </c:pt>
                <c:pt idx="33">
                  <c:v>0.91228070175438591</c:v>
                </c:pt>
                <c:pt idx="34">
                  <c:v>0.92982456140350878</c:v>
                </c:pt>
                <c:pt idx="35">
                  <c:v>0.94736842105263153</c:v>
                </c:pt>
                <c:pt idx="36">
                  <c:v>0.98245614035087714</c:v>
                </c:pt>
                <c:pt idx="3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E47-4654-AB89-794CA8454F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3270047"/>
        <c:axId val="973262975"/>
      </c:scatterChart>
      <c:valAx>
        <c:axId val="97327004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1 - Specificity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73262975"/>
        <c:crosses val="autoZero"/>
        <c:crossBetween val="midCat"/>
      </c:valAx>
      <c:valAx>
        <c:axId val="973262975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Sensitivity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73270047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Decile-wise lift chart (training dataset)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LR_TrainingLiftChart1!$BE$4:$BE$13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LR_TrainingLiftChart1!$BF$4:$BF$13</c:f>
              <c:numCache>
                <c:formatCode>General</c:formatCode>
                <c:ptCount val="10"/>
                <c:pt idx="0">
                  <c:v>4.5</c:v>
                </c:pt>
                <c:pt idx="1">
                  <c:v>2.5</c:v>
                </c:pt>
                <c:pt idx="2">
                  <c:v>1.5</c:v>
                </c:pt>
                <c:pt idx="3">
                  <c:v>1.5</c:v>
                </c:pt>
                <c:pt idx="4">
                  <c:v>0</c:v>
                </c:pt>
                <c:pt idx="5">
                  <c:v>0.5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3D-417B-A603-AD0C415F9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506623"/>
        <c:axId val="374502047"/>
      </c:barChart>
      <c:catAx>
        <c:axId val="37450662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502047"/>
        <c:crosses val="autoZero"/>
        <c:auto val="1"/>
        <c:lblAlgn val="ctr"/>
        <c:lblOffset val="100"/>
        <c:noMultiLvlLbl val="0"/>
      </c:catAx>
      <c:valAx>
        <c:axId val="374502047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 mean / Global mean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506623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ROC Curve, AUC = 0.930839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LogReg Classifier</c:v>
          </c:tx>
          <c:spPr>
            <a:ln w="6350"/>
          </c:spPr>
          <c:marker>
            <c:symbol val="none"/>
          </c:marker>
          <c:xVal>
            <c:numRef>
              <c:f>LR_TrainingLiftChart1!$BZ$2:$BZ$40</c:f>
              <c:numCache>
                <c:formatCode>General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2.3809523809523808E-2</c:v>
                </c:pt>
                <c:pt idx="6">
                  <c:v>2.3809523809523808E-2</c:v>
                </c:pt>
                <c:pt idx="7">
                  <c:v>2.3809523809523808E-2</c:v>
                </c:pt>
                <c:pt idx="8">
                  <c:v>4.7619047619047616E-2</c:v>
                </c:pt>
                <c:pt idx="9">
                  <c:v>5.9523809523809521E-2</c:v>
                </c:pt>
                <c:pt idx="10">
                  <c:v>5.9523809523809521E-2</c:v>
                </c:pt>
                <c:pt idx="11">
                  <c:v>8.3333333333333329E-2</c:v>
                </c:pt>
                <c:pt idx="12">
                  <c:v>9.5238095238095233E-2</c:v>
                </c:pt>
                <c:pt idx="13">
                  <c:v>0.10714285714285714</c:v>
                </c:pt>
                <c:pt idx="14">
                  <c:v>0.11904761904761904</c:v>
                </c:pt>
                <c:pt idx="15">
                  <c:v>0.13095238095238096</c:v>
                </c:pt>
                <c:pt idx="16">
                  <c:v>0.14285714285714285</c:v>
                </c:pt>
                <c:pt idx="17">
                  <c:v>0.15476190476190477</c:v>
                </c:pt>
                <c:pt idx="18">
                  <c:v>0.16666666666666666</c:v>
                </c:pt>
                <c:pt idx="19">
                  <c:v>0.16666666666666666</c:v>
                </c:pt>
                <c:pt idx="20">
                  <c:v>0.17857142857142858</c:v>
                </c:pt>
                <c:pt idx="21">
                  <c:v>0.21428571428571427</c:v>
                </c:pt>
                <c:pt idx="22">
                  <c:v>0.23809523809523808</c:v>
                </c:pt>
                <c:pt idx="23">
                  <c:v>0.25</c:v>
                </c:pt>
                <c:pt idx="24">
                  <c:v>0.2857142857142857</c:v>
                </c:pt>
                <c:pt idx="25">
                  <c:v>0.30952380952380953</c:v>
                </c:pt>
                <c:pt idx="26">
                  <c:v>0.33333333333333331</c:v>
                </c:pt>
                <c:pt idx="27">
                  <c:v>0.34523809523809523</c:v>
                </c:pt>
                <c:pt idx="28">
                  <c:v>0.4642857142857143</c:v>
                </c:pt>
                <c:pt idx="29">
                  <c:v>0.48809523809523808</c:v>
                </c:pt>
                <c:pt idx="30">
                  <c:v>0.51190476190476186</c:v>
                </c:pt>
                <c:pt idx="31">
                  <c:v>0.52380952380952384</c:v>
                </c:pt>
                <c:pt idx="32">
                  <c:v>0.69047619047619047</c:v>
                </c:pt>
                <c:pt idx="33">
                  <c:v>0.77380952380952384</c:v>
                </c:pt>
                <c:pt idx="34">
                  <c:v>0.83333333333333337</c:v>
                </c:pt>
                <c:pt idx="35">
                  <c:v>0.86904761904761907</c:v>
                </c:pt>
                <c:pt idx="36">
                  <c:v>0.95238095238095233</c:v>
                </c:pt>
                <c:pt idx="37">
                  <c:v>0.9642857142857143</c:v>
                </c:pt>
                <c:pt idx="38">
                  <c:v>1</c:v>
                </c:pt>
              </c:numCache>
            </c:numRef>
          </c:xVal>
          <c:yVal>
            <c:numRef>
              <c:f>LR_TrainingLiftChart1!$CA$2:$CA$40</c:f>
              <c:numCache>
                <c:formatCode>General</c:formatCode>
                <c:ptCount val="39"/>
                <c:pt idx="0">
                  <c:v>0</c:v>
                </c:pt>
                <c:pt idx="1">
                  <c:v>4.7619047619047616E-2</c:v>
                </c:pt>
                <c:pt idx="2">
                  <c:v>0.19047619047619047</c:v>
                </c:pt>
                <c:pt idx="3">
                  <c:v>0.2857142857142857</c:v>
                </c:pt>
                <c:pt idx="4">
                  <c:v>0.38095238095238093</c:v>
                </c:pt>
                <c:pt idx="5">
                  <c:v>0.42857142857142855</c:v>
                </c:pt>
                <c:pt idx="6">
                  <c:v>0.47619047619047616</c:v>
                </c:pt>
                <c:pt idx="7">
                  <c:v>0.5714285714285714</c:v>
                </c:pt>
                <c:pt idx="8">
                  <c:v>0.61904761904761907</c:v>
                </c:pt>
                <c:pt idx="9">
                  <c:v>0.61904761904761907</c:v>
                </c:pt>
                <c:pt idx="10">
                  <c:v>0.66666666666666663</c:v>
                </c:pt>
                <c:pt idx="11">
                  <c:v>0.66666666666666663</c:v>
                </c:pt>
                <c:pt idx="12">
                  <c:v>0.76190476190476186</c:v>
                </c:pt>
                <c:pt idx="13">
                  <c:v>0.76190476190476186</c:v>
                </c:pt>
                <c:pt idx="14">
                  <c:v>0.76190476190476186</c:v>
                </c:pt>
                <c:pt idx="15">
                  <c:v>0.76190476190476186</c:v>
                </c:pt>
                <c:pt idx="16">
                  <c:v>0.80952380952380953</c:v>
                </c:pt>
                <c:pt idx="17">
                  <c:v>0.80952380952380953</c:v>
                </c:pt>
                <c:pt idx="18">
                  <c:v>0.8571428571428571</c:v>
                </c:pt>
                <c:pt idx="19">
                  <c:v>0.90476190476190477</c:v>
                </c:pt>
                <c:pt idx="20">
                  <c:v>0.90476190476190477</c:v>
                </c:pt>
                <c:pt idx="21">
                  <c:v>0.90476190476190477</c:v>
                </c:pt>
                <c:pt idx="22">
                  <c:v>0.95238095238095233</c:v>
                </c:pt>
                <c:pt idx="23">
                  <c:v>0.95238095238095233</c:v>
                </c:pt>
                <c:pt idx="24">
                  <c:v>0.95238095238095233</c:v>
                </c:pt>
                <c:pt idx="25">
                  <c:v>0.95238095238095233</c:v>
                </c:pt>
                <c:pt idx="26">
                  <c:v>0.95238095238095233</c:v>
                </c:pt>
                <c:pt idx="27">
                  <c:v>0.95238095238095233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CB-4230-A6A6-AA9A3F2EC8D3}"/>
            </c:ext>
          </c:extLst>
        </c:ser>
        <c:ser>
          <c:idx val="1"/>
          <c:order val="1"/>
          <c:tx>
            <c:v>Random Classifier</c:v>
          </c:tx>
          <c:spPr>
            <a:ln w="6350"/>
          </c:spPr>
          <c:marker>
            <c:symbol val="none"/>
          </c:marker>
          <c:xVal>
            <c:numRef>
              <c:f>LR_TrainingLiftChart1!$BZ$2:$BZ$40</c:f>
              <c:numCache>
                <c:formatCode>General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2.3809523809523808E-2</c:v>
                </c:pt>
                <c:pt idx="6">
                  <c:v>2.3809523809523808E-2</c:v>
                </c:pt>
                <c:pt idx="7">
                  <c:v>2.3809523809523808E-2</c:v>
                </c:pt>
                <c:pt idx="8">
                  <c:v>4.7619047619047616E-2</c:v>
                </c:pt>
                <c:pt idx="9">
                  <c:v>5.9523809523809521E-2</c:v>
                </c:pt>
                <c:pt idx="10">
                  <c:v>5.9523809523809521E-2</c:v>
                </c:pt>
                <c:pt idx="11">
                  <c:v>8.3333333333333329E-2</c:v>
                </c:pt>
                <c:pt idx="12">
                  <c:v>9.5238095238095233E-2</c:v>
                </c:pt>
                <c:pt idx="13">
                  <c:v>0.10714285714285714</c:v>
                </c:pt>
                <c:pt idx="14">
                  <c:v>0.11904761904761904</c:v>
                </c:pt>
                <c:pt idx="15">
                  <c:v>0.13095238095238096</c:v>
                </c:pt>
                <c:pt idx="16">
                  <c:v>0.14285714285714285</c:v>
                </c:pt>
                <c:pt idx="17">
                  <c:v>0.15476190476190477</c:v>
                </c:pt>
                <c:pt idx="18">
                  <c:v>0.16666666666666666</c:v>
                </c:pt>
                <c:pt idx="19">
                  <c:v>0.16666666666666666</c:v>
                </c:pt>
                <c:pt idx="20">
                  <c:v>0.17857142857142858</c:v>
                </c:pt>
                <c:pt idx="21">
                  <c:v>0.21428571428571427</c:v>
                </c:pt>
                <c:pt idx="22">
                  <c:v>0.23809523809523808</c:v>
                </c:pt>
                <c:pt idx="23">
                  <c:v>0.25</c:v>
                </c:pt>
                <c:pt idx="24">
                  <c:v>0.2857142857142857</c:v>
                </c:pt>
                <c:pt idx="25">
                  <c:v>0.30952380952380953</c:v>
                </c:pt>
                <c:pt idx="26">
                  <c:v>0.33333333333333331</c:v>
                </c:pt>
                <c:pt idx="27">
                  <c:v>0.34523809523809523</c:v>
                </c:pt>
                <c:pt idx="28">
                  <c:v>0.4642857142857143</c:v>
                </c:pt>
                <c:pt idx="29">
                  <c:v>0.48809523809523808</c:v>
                </c:pt>
                <c:pt idx="30">
                  <c:v>0.51190476190476186</c:v>
                </c:pt>
                <c:pt idx="31">
                  <c:v>0.52380952380952384</c:v>
                </c:pt>
                <c:pt idx="32">
                  <c:v>0.69047619047619047</c:v>
                </c:pt>
                <c:pt idx="33">
                  <c:v>0.77380952380952384</c:v>
                </c:pt>
                <c:pt idx="34">
                  <c:v>0.83333333333333337</c:v>
                </c:pt>
                <c:pt idx="35">
                  <c:v>0.86904761904761907</c:v>
                </c:pt>
                <c:pt idx="36">
                  <c:v>0.95238095238095233</c:v>
                </c:pt>
                <c:pt idx="37">
                  <c:v>0.9642857142857143</c:v>
                </c:pt>
                <c:pt idx="38">
                  <c:v>1</c:v>
                </c:pt>
              </c:numCache>
            </c:numRef>
          </c:xVal>
          <c:yVal>
            <c:numRef>
              <c:f>LR_TrainingLiftChart1!$CB$2:$CB$40</c:f>
              <c:numCache>
                <c:formatCode>General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2.3809523809523808E-2</c:v>
                </c:pt>
                <c:pt idx="6">
                  <c:v>2.3809523809523808E-2</c:v>
                </c:pt>
                <c:pt idx="7">
                  <c:v>2.3809523809523808E-2</c:v>
                </c:pt>
                <c:pt idx="8">
                  <c:v>4.7619047619047616E-2</c:v>
                </c:pt>
                <c:pt idx="9">
                  <c:v>5.9523809523809521E-2</c:v>
                </c:pt>
                <c:pt idx="10">
                  <c:v>5.9523809523809521E-2</c:v>
                </c:pt>
                <c:pt idx="11">
                  <c:v>8.3333333333333329E-2</c:v>
                </c:pt>
                <c:pt idx="12">
                  <c:v>9.5238095238095233E-2</c:v>
                </c:pt>
                <c:pt idx="13">
                  <c:v>0.10714285714285714</c:v>
                </c:pt>
                <c:pt idx="14">
                  <c:v>0.11904761904761904</c:v>
                </c:pt>
                <c:pt idx="15">
                  <c:v>0.13095238095238096</c:v>
                </c:pt>
                <c:pt idx="16">
                  <c:v>0.14285714285714285</c:v>
                </c:pt>
                <c:pt idx="17">
                  <c:v>0.15476190476190477</c:v>
                </c:pt>
                <c:pt idx="18">
                  <c:v>0.16666666666666666</c:v>
                </c:pt>
                <c:pt idx="19">
                  <c:v>0.16666666666666666</c:v>
                </c:pt>
                <c:pt idx="20">
                  <c:v>0.17857142857142858</c:v>
                </c:pt>
                <c:pt idx="21">
                  <c:v>0.21428571428571427</c:v>
                </c:pt>
                <c:pt idx="22">
                  <c:v>0.23809523809523808</c:v>
                </c:pt>
                <c:pt idx="23">
                  <c:v>0.25</c:v>
                </c:pt>
                <c:pt idx="24">
                  <c:v>0.2857142857142857</c:v>
                </c:pt>
                <c:pt idx="25">
                  <c:v>0.30952380952380953</c:v>
                </c:pt>
                <c:pt idx="26">
                  <c:v>0.33333333333333331</c:v>
                </c:pt>
                <c:pt idx="27">
                  <c:v>0.34523809523809523</c:v>
                </c:pt>
                <c:pt idx="28">
                  <c:v>0.4642857142857143</c:v>
                </c:pt>
                <c:pt idx="29">
                  <c:v>0.48809523809523808</c:v>
                </c:pt>
                <c:pt idx="30">
                  <c:v>0.51190476190476186</c:v>
                </c:pt>
                <c:pt idx="31">
                  <c:v>0.52380952380952384</c:v>
                </c:pt>
                <c:pt idx="32">
                  <c:v>0.69047619047619047</c:v>
                </c:pt>
                <c:pt idx="33">
                  <c:v>0.77380952380952384</c:v>
                </c:pt>
                <c:pt idx="34">
                  <c:v>0.83333333333333337</c:v>
                </c:pt>
                <c:pt idx="35">
                  <c:v>0.86904761904761907</c:v>
                </c:pt>
                <c:pt idx="36">
                  <c:v>0.95238095238095233</c:v>
                </c:pt>
                <c:pt idx="37">
                  <c:v>0.9642857142857143</c:v>
                </c:pt>
                <c:pt idx="38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ECB-4230-A6A6-AA9A3F2EC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494559"/>
        <c:axId val="374496639"/>
      </c:scatterChart>
      <c:valAx>
        <c:axId val="37449455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1 - Specificity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496639"/>
        <c:crosses val="autoZero"/>
        <c:crossBetween val="midCat"/>
      </c:valAx>
      <c:valAx>
        <c:axId val="374496639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Sensitivity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494559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Lift chart (validation dataset)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Cumulative Winner when sorted using predicted values</c:v>
          </c:tx>
          <c:spPr>
            <a:ln w="6350"/>
          </c:spPr>
          <c:marker>
            <c:symbol val="none"/>
          </c:marker>
          <c:xVal>
            <c:numRef>
              <c:f>LR_ValidationLiftChart1!$AZ$4:$AZ$69</c:f>
              <c:numCache>
                <c:formatCode>General</c:formatCode>
                <c:ptCount val="6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</c:numCache>
            </c:numRef>
          </c:xVal>
          <c:yVal>
            <c:numRef>
              <c:f>LR_ValidationLiftChart1!$BC$4:$BC$69</c:f>
              <c:numCache>
                <c:formatCode>General</c:formatCode>
                <c:ptCount val="66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28-46F5-8457-4DAFCD41269F}"/>
            </c:ext>
          </c:extLst>
        </c:ser>
        <c:ser>
          <c:idx val="1"/>
          <c:order val="1"/>
          <c:tx>
            <c:v>Cumulative Winner using average</c:v>
          </c:tx>
          <c:spPr>
            <a:ln w="6350"/>
          </c:spPr>
          <c:marker>
            <c:symbol val="none"/>
          </c:marker>
          <c:xVal>
            <c:numRef>
              <c:f>LR_ValidationLiftChart1!$AZ$4:$AZ$69</c:f>
              <c:numCache>
                <c:formatCode>General</c:formatCode>
                <c:ptCount val="6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</c:numCache>
            </c:numRef>
          </c:xVal>
          <c:yVal>
            <c:numRef>
              <c:f>LR_ValidationLiftChart1!$BD$4:$BD$69</c:f>
              <c:numCache>
                <c:formatCode>General</c:formatCode>
                <c:ptCount val="66"/>
                <c:pt idx="0">
                  <c:v>0.13636363636363635</c:v>
                </c:pt>
                <c:pt idx="1">
                  <c:v>0.27272727272727271</c:v>
                </c:pt>
                <c:pt idx="2">
                  <c:v>0.40909090909090906</c:v>
                </c:pt>
                <c:pt idx="3">
                  <c:v>0.54545454545454541</c:v>
                </c:pt>
                <c:pt idx="4">
                  <c:v>0.68181818181818177</c:v>
                </c:pt>
                <c:pt idx="5">
                  <c:v>0.81818181818181812</c:v>
                </c:pt>
                <c:pt idx="6">
                  <c:v>0.95454545454545447</c:v>
                </c:pt>
                <c:pt idx="7">
                  <c:v>1.0909090909090908</c:v>
                </c:pt>
                <c:pt idx="8">
                  <c:v>1.2272727272727271</c:v>
                </c:pt>
                <c:pt idx="9">
                  <c:v>1.3636363636363635</c:v>
                </c:pt>
                <c:pt idx="10">
                  <c:v>1.5</c:v>
                </c:pt>
                <c:pt idx="11">
                  <c:v>1.6363636363636362</c:v>
                </c:pt>
                <c:pt idx="12">
                  <c:v>1.7727272727272725</c:v>
                </c:pt>
                <c:pt idx="13">
                  <c:v>1.9090909090909089</c:v>
                </c:pt>
                <c:pt idx="14">
                  <c:v>2.0454545454545454</c:v>
                </c:pt>
                <c:pt idx="15">
                  <c:v>2.1818181818181817</c:v>
                </c:pt>
                <c:pt idx="16">
                  <c:v>2.3181818181818179</c:v>
                </c:pt>
                <c:pt idx="17">
                  <c:v>2.4545454545454541</c:v>
                </c:pt>
                <c:pt idx="18">
                  <c:v>2.5909090909090908</c:v>
                </c:pt>
                <c:pt idx="19">
                  <c:v>2.7272727272727271</c:v>
                </c:pt>
                <c:pt idx="20">
                  <c:v>2.8636363636363633</c:v>
                </c:pt>
                <c:pt idx="21">
                  <c:v>3</c:v>
                </c:pt>
                <c:pt idx="22">
                  <c:v>3.1363636363636362</c:v>
                </c:pt>
                <c:pt idx="23">
                  <c:v>3.2727272727272725</c:v>
                </c:pt>
                <c:pt idx="24">
                  <c:v>3.4090909090909087</c:v>
                </c:pt>
                <c:pt idx="25">
                  <c:v>3.545454545454545</c:v>
                </c:pt>
                <c:pt idx="26">
                  <c:v>3.6818181818181817</c:v>
                </c:pt>
                <c:pt idx="27">
                  <c:v>3.8181818181818179</c:v>
                </c:pt>
                <c:pt idx="28">
                  <c:v>3.9545454545454541</c:v>
                </c:pt>
                <c:pt idx="29">
                  <c:v>4.0909090909090908</c:v>
                </c:pt>
                <c:pt idx="30">
                  <c:v>4.2272727272727266</c:v>
                </c:pt>
                <c:pt idx="31">
                  <c:v>4.3636363636363633</c:v>
                </c:pt>
                <c:pt idx="32">
                  <c:v>4.5</c:v>
                </c:pt>
                <c:pt idx="33">
                  <c:v>4.6363636363636358</c:v>
                </c:pt>
                <c:pt idx="34">
                  <c:v>4.7727272727272725</c:v>
                </c:pt>
                <c:pt idx="35">
                  <c:v>4.9090909090909083</c:v>
                </c:pt>
                <c:pt idx="36">
                  <c:v>5.045454545454545</c:v>
                </c:pt>
                <c:pt idx="37">
                  <c:v>5.1818181818181817</c:v>
                </c:pt>
                <c:pt idx="38">
                  <c:v>5.3181818181818175</c:v>
                </c:pt>
                <c:pt idx="39">
                  <c:v>5.4545454545454541</c:v>
                </c:pt>
                <c:pt idx="40">
                  <c:v>5.5909090909090908</c:v>
                </c:pt>
                <c:pt idx="41">
                  <c:v>5.7272727272727266</c:v>
                </c:pt>
                <c:pt idx="42">
                  <c:v>5.8636363636363633</c:v>
                </c:pt>
                <c:pt idx="43">
                  <c:v>6</c:v>
                </c:pt>
                <c:pt idx="44">
                  <c:v>6.1363636363636358</c:v>
                </c:pt>
                <c:pt idx="45">
                  <c:v>6.2727272727272725</c:v>
                </c:pt>
                <c:pt idx="46">
                  <c:v>6.4090909090909083</c:v>
                </c:pt>
                <c:pt idx="47">
                  <c:v>6.545454545454545</c:v>
                </c:pt>
                <c:pt idx="48">
                  <c:v>6.6818181818181817</c:v>
                </c:pt>
                <c:pt idx="49">
                  <c:v>6.8181818181818175</c:v>
                </c:pt>
                <c:pt idx="50">
                  <c:v>6.9545454545454541</c:v>
                </c:pt>
                <c:pt idx="51">
                  <c:v>7.0909090909090899</c:v>
                </c:pt>
                <c:pt idx="52">
                  <c:v>7.2272727272727266</c:v>
                </c:pt>
                <c:pt idx="53">
                  <c:v>7.3636363636363633</c:v>
                </c:pt>
                <c:pt idx="54">
                  <c:v>7.4999999999999991</c:v>
                </c:pt>
                <c:pt idx="55">
                  <c:v>7.6363636363636358</c:v>
                </c:pt>
                <c:pt idx="56">
                  <c:v>7.7727272727272725</c:v>
                </c:pt>
                <c:pt idx="57">
                  <c:v>7.9090909090909083</c:v>
                </c:pt>
                <c:pt idx="58">
                  <c:v>8.045454545454545</c:v>
                </c:pt>
                <c:pt idx="59">
                  <c:v>8.1818181818181817</c:v>
                </c:pt>
                <c:pt idx="60">
                  <c:v>8.3181818181818183</c:v>
                </c:pt>
                <c:pt idx="61">
                  <c:v>8.4545454545454533</c:v>
                </c:pt>
                <c:pt idx="62">
                  <c:v>8.5909090909090899</c:v>
                </c:pt>
                <c:pt idx="63">
                  <c:v>8.7272727272727266</c:v>
                </c:pt>
                <c:pt idx="64">
                  <c:v>8.8636363636363633</c:v>
                </c:pt>
                <c:pt idx="65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28-46F5-8457-4DAFCD412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494975"/>
        <c:axId val="374504127"/>
      </c:scatterChart>
      <c:valAx>
        <c:axId val="3744949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Cases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504127"/>
        <c:crosses val="autoZero"/>
        <c:crossBetween val="midCat"/>
      </c:valAx>
      <c:valAx>
        <c:axId val="374504127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494975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Decile-wise lift chart (validation dataset)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LR_ValidationLiftChart1!$BE$4:$BE$13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LR_ValidationLiftChart1!$BF$4:$BF$13</c:f>
              <c:numCache>
                <c:formatCode>General</c:formatCode>
                <c:ptCount val="10"/>
                <c:pt idx="0">
                  <c:v>3.666666666666667</c:v>
                </c:pt>
                <c:pt idx="1">
                  <c:v>0</c:v>
                </c:pt>
                <c:pt idx="2">
                  <c:v>1.2222222222222223</c:v>
                </c:pt>
                <c:pt idx="3">
                  <c:v>2.4444444444444446</c:v>
                </c:pt>
                <c:pt idx="4">
                  <c:v>0</c:v>
                </c:pt>
                <c:pt idx="5">
                  <c:v>1.2222222222222223</c:v>
                </c:pt>
                <c:pt idx="6">
                  <c:v>1.2222222222222223</c:v>
                </c:pt>
                <c:pt idx="7">
                  <c:v>1.2222222222222223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F2-47BB-BFAC-A8AA78350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504543"/>
        <c:axId val="374492063"/>
      </c:barChart>
      <c:catAx>
        <c:axId val="37450454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492063"/>
        <c:crosses val="autoZero"/>
        <c:auto val="1"/>
        <c:lblAlgn val="ctr"/>
        <c:lblOffset val="100"/>
        <c:noMultiLvlLbl val="0"/>
      </c:catAx>
      <c:valAx>
        <c:axId val="374492063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 mean / Global mean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504543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ROC Curve, AUC = 0.730019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LogReg Classifier</c:v>
          </c:tx>
          <c:spPr>
            <a:ln w="6350"/>
          </c:spPr>
          <c:marker>
            <c:symbol val="none"/>
          </c:marker>
          <c:xVal>
            <c:numRef>
              <c:f>LR_ValidationLiftChart1!$BZ$2:$BZ$31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1.7543859649122806E-2</c:v>
                </c:pt>
                <c:pt idx="3">
                  <c:v>5.2631578947368418E-2</c:v>
                </c:pt>
                <c:pt idx="4">
                  <c:v>7.0175438596491224E-2</c:v>
                </c:pt>
                <c:pt idx="5">
                  <c:v>8.771929824561403E-2</c:v>
                </c:pt>
                <c:pt idx="6">
                  <c:v>0.10526315789473684</c:v>
                </c:pt>
                <c:pt idx="7">
                  <c:v>0.12280701754385964</c:v>
                </c:pt>
                <c:pt idx="8">
                  <c:v>0.14035087719298245</c:v>
                </c:pt>
                <c:pt idx="9">
                  <c:v>0.15789473684210525</c:v>
                </c:pt>
                <c:pt idx="10">
                  <c:v>0.15789473684210525</c:v>
                </c:pt>
                <c:pt idx="11">
                  <c:v>0.19298245614035087</c:v>
                </c:pt>
                <c:pt idx="12">
                  <c:v>0.21052631578947367</c:v>
                </c:pt>
                <c:pt idx="13">
                  <c:v>0.26315789473684209</c:v>
                </c:pt>
                <c:pt idx="14">
                  <c:v>0.2982456140350877</c:v>
                </c:pt>
                <c:pt idx="15">
                  <c:v>0.2982456140350877</c:v>
                </c:pt>
                <c:pt idx="16">
                  <c:v>0.31578947368421051</c:v>
                </c:pt>
                <c:pt idx="17">
                  <c:v>0.36842105263157893</c:v>
                </c:pt>
                <c:pt idx="18">
                  <c:v>0.40350877192982454</c:v>
                </c:pt>
                <c:pt idx="19">
                  <c:v>0.42105263157894735</c:v>
                </c:pt>
                <c:pt idx="20">
                  <c:v>0.43859649122807015</c:v>
                </c:pt>
                <c:pt idx="21">
                  <c:v>0.45614035087719296</c:v>
                </c:pt>
                <c:pt idx="22">
                  <c:v>0.59649122807017541</c:v>
                </c:pt>
                <c:pt idx="23">
                  <c:v>0.7192982456140351</c:v>
                </c:pt>
                <c:pt idx="24">
                  <c:v>0.77192982456140347</c:v>
                </c:pt>
                <c:pt idx="25">
                  <c:v>0.80701754385964908</c:v>
                </c:pt>
                <c:pt idx="26">
                  <c:v>0.91228070175438591</c:v>
                </c:pt>
                <c:pt idx="27">
                  <c:v>0.92982456140350878</c:v>
                </c:pt>
                <c:pt idx="28">
                  <c:v>0.96491228070175439</c:v>
                </c:pt>
                <c:pt idx="29">
                  <c:v>1</c:v>
                </c:pt>
              </c:numCache>
            </c:numRef>
          </c:xVal>
          <c:yVal>
            <c:numRef>
              <c:f>LR_ValidationLiftChart1!$CA$2:$CA$31</c:f>
              <c:numCache>
                <c:formatCode>General</c:formatCode>
                <c:ptCount val="30"/>
                <c:pt idx="0">
                  <c:v>0</c:v>
                </c:pt>
                <c:pt idx="1">
                  <c:v>0.1111111111111111</c:v>
                </c:pt>
                <c:pt idx="2">
                  <c:v>0.22222222222222221</c:v>
                </c:pt>
                <c:pt idx="3">
                  <c:v>0.22222222222222221</c:v>
                </c:pt>
                <c:pt idx="4">
                  <c:v>0.33333333333333331</c:v>
                </c:pt>
                <c:pt idx="5">
                  <c:v>0.33333333333333331</c:v>
                </c:pt>
                <c:pt idx="6">
                  <c:v>0.33333333333333331</c:v>
                </c:pt>
                <c:pt idx="7">
                  <c:v>0.33333333333333331</c:v>
                </c:pt>
                <c:pt idx="8">
                  <c:v>0.33333333333333331</c:v>
                </c:pt>
                <c:pt idx="9">
                  <c:v>0.33333333333333331</c:v>
                </c:pt>
                <c:pt idx="10">
                  <c:v>0.44444444444444442</c:v>
                </c:pt>
                <c:pt idx="11">
                  <c:v>0.44444444444444442</c:v>
                </c:pt>
                <c:pt idx="12">
                  <c:v>0.44444444444444442</c:v>
                </c:pt>
                <c:pt idx="13">
                  <c:v>0.44444444444444442</c:v>
                </c:pt>
                <c:pt idx="14">
                  <c:v>0.44444444444444442</c:v>
                </c:pt>
                <c:pt idx="15">
                  <c:v>0.55555555555555558</c:v>
                </c:pt>
                <c:pt idx="16">
                  <c:v>0.66666666666666663</c:v>
                </c:pt>
                <c:pt idx="17">
                  <c:v>0.66666666666666663</c:v>
                </c:pt>
                <c:pt idx="18">
                  <c:v>0.66666666666666663</c:v>
                </c:pt>
                <c:pt idx="19">
                  <c:v>0.77777777777777779</c:v>
                </c:pt>
                <c:pt idx="20">
                  <c:v>0.77777777777777779</c:v>
                </c:pt>
                <c:pt idx="21">
                  <c:v>0.77777777777777779</c:v>
                </c:pt>
                <c:pt idx="22">
                  <c:v>0.88888888888888884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B3-4E48-925B-9D41A969B28E}"/>
            </c:ext>
          </c:extLst>
        </c:ser>
        <c:ser>
          <c:idx val="1"/>
          <c:order val="1"/>
          <c:tx>
            <c:v>Random Classifier</c:v>
          </c:tx>
          <c:spPr>
            <a:ln w="6350"/>
          </c:spPr>
          <c:marker>
            <c:symbol val="none"/>
          </c:marker>
          <c:xVal>
            <c:numRef>
              <c:f>LR_ValidationLiftChart1!$BZ$2:$BZ$31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1.7543859649122806E-2</c:v>
                </c:pt>
                <c:pt idx="3">
                  <c:v>5.2631578947368418E-2</c:v>
                </c:pt>
                <c:pt idx="4">
                  <c:v>7.0175438596491224E-2</c:v>
                </c:pt>
                <c:pt idx="5">
                  <c:v>8.771929824561403E-2</c:v>
                </c:pt>
                <c:pt idx="6">
                  <c:v>0.10526315789473684</c:v>
                </c:pt>
                <c:pt idx="7">
                  <c:v>0.12280701754385964</c:v>
                </c:pt>
                <c:pt idx="8">
                  <c:v>0.14035087719298245</c:v>
                </c:pt>
                <c:pt idx="9">
                  <c:v>0.15789473684210525</c:v>
                </c:pt>
                <c:pt idx="10">
                  <c:v>0.15789473684210525</c:v>
                </c:pt>
                <c:pt idx="11">
                  <c:v>0.19298245614035087</c:v>
                </c:pt>
                <c:pt idx="12">
                  <c:v>0.21052631578947367</c:v>
                </c:pt>
                <c:pt idx="13">
                  <c:v>0.26315789473684209</c:v>
                </c:pt>
                <c:pt idx="14">
                  <c:v>0.2982456140350877</c:v>
                </c:pt>
                <c:pt idx="15">
                  <c:v>0.2982456140350877</c:v>
                </c:pt>
                <c:pt idx="16">
                  <c:v>0.31578947368421051</c:v>
                </c:pt>
                <c:pt idx="17">
                  <c:v>0.36842105263157893</c:v>
                </c:pt>
                <c:pt idx="18">
                  <c:v>0.40350877192982454</c:v>
                </c:pt>
                <c:pt idx="19">
                  <c:v>0.42105263157894735</c:v>
                </c:pt>
                <c:pt idx="20">
                  <c:v>0.43859649122807015</c:v>
                </c:pt>
                <c:pt idx="21">
                  <c:v>0.45614035087719296</c:v>
                </c:pt>
                <c:pt idx="22">
                  <c:v>0.59649122807017541</c:v>
                </c:pt>
                <c:pt idx="23">
                  <c:v>0.7192982456140351</c:v>
                </c:pt>
                <c:pt idx="24">
                  <c:v>0.77192982456140347</c:v>
                </c:pt>
                <c:pt idx="25">
                  <c:v>0.80701754385964908</c:v>
                </c:pt>
                <c:pt idx="26">
                  <c:v>0.91228070175438591</c:v>
                </c:pt>
                <c:pt idx="27">
                  <c:v>0.92982456140350878</c:v>
                </c:pt>
                <c:pt idx="28">
                  <c:v>0.96491228070175439</c:v>
                </c:pt>
                <c:pt idx="29">
                  <c:v>1</c:v>
                </c:pt>
              </c:numCache>
            </c:numRef>
          </c:xVal>
          <c:yVal>
            <c:numRef>
              <c:f>LR_ValidationLiftChart1!$CB$2:$CB$31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1.7543859649122806E-2</c:v>
                </c:pt>
                <c:pt idx="3">
                  <c:v>5.2631578947368418E-2</c:v>
                </c:pt>
                <c:pt idx="4">
                  <c:v>7.0175438596491224E-2</c:v>
                </c:pt>
                <c:pt idx="5">
                  <c:v>8.771929824561403E-2</c:v>
                </c:pt>
                <c:pt idx="6">
                  <c:v>0.10526315789473684</c:v>
                </c:pt>
                <c:pt idx="7">
                  <c:v>0.12280701754385964</c:v>
                </c:pt>
                <c:pt idx="8">
                  <c:v>0.14035087719298245</c:v>
                </c:pt>
                <c:pt idx="9">
                  <c:v>0.15789473684210525</c:v>
                </c:pt>
                <c:pt idx="10">
                  <c:v>0.15789473684210525</c:v>
                </c:pt>
                <c:pt idx="11">
                  <c:v>0.19298245614035087</c:v>
                </c:pt>
                <c:pt idx="12">
                  <c:v>0.21052631578947367</c:v>
                </c:pt>
                <c:pt idx="13">
                  <c:v>0.26315789473684209</c:v>
                </c:pt>
                <c:pt idx="14">
                  <c:v>0.2982456140350877</c:v>
                </c:pt>
                <c:pt idx="15">
                  <c:v>0.2982456140350877</c:v>
                </c:pt>
                <c:pt idx="16">
                  <c:v>0.31578947368421051</c:v>
                </c:pt>
                <c:pt idx="17">
                  <c:v>0.36842105263157893</c:v>
                </c:pt>
                <c:pt idx="18">
                  <c:v>0.40350877192982454</c:v>
                </c:pt>
                <c:pt idx="19">
                  <c:v>0.42105263157894735</c:v>
                </c:pt>
                <c:pt idx="20">
                  <c:v>0.43859649122807015</c:v>
                </c:pt>
                <c:pt idx="21">
                  <c:v>0.45614035087719296</c:v>
                </c:pt>
                <c:pt idx="22">
                  <c:v>0.59649122807017541</c:v>
                </c:pt>
                <c:pt idx="23">
                  <c:v>0.7192982456140351</c:v>
                </c:pt>
                <c:pt idx="24">
                  <c:v>0.77192982456140347</c:v>
                </c:pt>
                <c:pt idx="25">
                  <c:v>0.80701754385964908</c:v>
                </c:pt>
                <c:pt idx="26">
                  <c:v>0.91228070175438591</c:v>
                </c:pt>
                <c:pt idx="27">
                  <c:v>0.92982456140350878</c:v>
                </c:pt>
                <c:pt idx="28">
                  <c:v>0.96491228070175439</c:v>
                </c:pt>
                <c:pt idx="2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B3-4E48-925B-9D41A969B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508287"/>
        <c:axId val="374501631"/>
      </c:scatterChart>
      <c:valAx>
        <c:axId val="37450828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1 - Specificity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501631"/>
        <c:crosses val="autoZero"/>
        <c:crossBetween val="midCat"/>
      </c:valAx>
      <c:valAx>
        <c:axId val="37450163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Sensitivity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508287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Lift chart (training dataset)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Cumulative Winner when sorted using predicted values</c:v>
          </c:tx>
          <c:spPr>
            <a:ln w="6350"/>
          </c:spPr>
          <c:marker>
            <c:symbol val="none"/>
          </c:marker>
          <c:xVal>
            <c:numRef>
              <c:f>LR_TrainingLiftChart!$AZ$4:$AZ$108</c:f>
              <c:numCache>
                <c:formatCode>General</c:formatCode>
                <c:ptCount val="1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</c:numCache>
            </c:numRef>
          </c:xVal>
          <c:yVal>
            <c:numRef>
              <c:f>LR_TrainingLiftChart!$BC$4:$BC$108</c:f>
              <c:numCache>
                <c:formatCode>General</c:formatCode>
                <c:ptCount val="1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9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14</c:v>
                </c:pt>
                <c:pt idx="18">
                  <c:v>15</c:v>
                </c:pt>
                <c:pt idx="19">
                  <c:v>15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18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21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21</c:v>
                </c:pt>
                <c:pt idx="54">
                  <c:v>21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21</c:v>
                </c:pt>
                <c:pt idx="59">
                  <c:v>21</c:v>
                </c:pt>
                <c:pt idx="60">
                  <c:v>21</c:v>
                </c:pt>
                <c:pt idx="61">
                  <c:v>21</c:v>
                </c:pt>
                <c:pt idx="62">
                  <c:v>21</c:v>
                </c:pt>
                <c:pt idx="63">
                  <c:v>21</c:v>
                </c:pt>
                <c:pt idx="64">
                  <c:v>21</c:v>
                </c:pt>
                <c:pt idx="65">
                  <c:v>21</c:v>
                </c:pt>
                <c:pt idx="66">
                  <c:v>21</c:v>
                </c:pt>
                <c:pt idx="67">
                  <c:v>21</c:v>
                </c:pt>
                <c:pt idx="68">
                  <c:v>21</c:v>
                </c:pt>
                <c:pt idx="69">
                  <c:v>21</c:v>
                </c:pt>
                <c:pt idx="70">
                  <c:v>21</c:v>
                </c:pt>
                <c:pt idx="71">
                  <c:v>21</c:v>
                </c:pt>
                <c:pt idx="72">
                  <c:v>21</c:v>
                </c:pt>
                <c:pt idx="73">
                  <c:v>21</c:v>
                </c:pt>
                <c:pt idx="74">
                  <c:v>21</c:v>
                </c:pt>
                <c:pt idx="75">
                  <c:v>21</c:v>
                </c:pt>
                <c:pt idx="76">
                  <c:v>21</c:v>
                </c:pt>
                <c:pt idx="77">
                  <c:v>21</c:v>
                </c:pt>
                <c:pt idx="78">
                  <c:v>21</c:v>
                </c:pt>
                <c:pt idx="79">
                  <c:v>21</c:v>
                </c:pt>
                <c:pt idx="80">
                  <c:v>21</c:v>
                </c:pt>
                <c:pt idx="81">
                  <c:v>21</c:v>
                </c:pt>
                <c:pt idx="82">
                  <c:v>21</c:v>
                </c:pt>
                <c:pt idx="83">
                  <c:v>21</c:v>
                </c:pt>
                <c:pt idx="84">
                  <c:v>21</c:v>
                </c:pt>
                <c:pt idx="85">
                  <c:v>21</c:v>
                </c:pt>
                <c:pt idx="86">
                  <c:v>21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21</c:v>
                </c:pt>
                <c:pt idx="94">
                  <c:v>21</c:v>
                </c:pt>
                <c:pt idx="95">
                  <c:v>21</c:v>
                </c:pt>
                <c:pt idx="96">
                  <c:v>21</c:v>
                </c:pt>
                <c:pt idx="97">
                  <c:v>21</c:v>
                </c:pt>
                <c:pt idx="98">
                  <c:v>21</c:v>
                </c:pt>
                <c:pt idx="99">
                  <c:v>21</c:v>
                </c:pt>
                <c:pt idx="100">
                  <c:v>21</c:v>
                </c:pt>
                <c:pt idx="101">
                  <c:v>21</c:v>
                </c:pt>
                <c:pt idx="102">
                  <c:v>21</c:v>
                </c:pt>
                <c:pt idx="103">
                  <c:v>21</c:v>
                </c:pt>
                <c:pt idx="104">
                  <c:v>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689-47DB-BE17-0B5F016B53EA}"/>
            </c:ext>
          </c:extLst>
        </c:ser>
        <c:ser>
          <c:idx val="1"/>
          <c:order val="1"/>
          <c:tx>
            <c:v>Cumulative Winner using average</c:v>
          </c:tx>
          <c:spPr>
            <a:ln w="6350"/>
          </c:spPr>
          <c:marker>
            <c:symbol val="none"/>
          </c:marker>
          <c:xVal>
            <c:numRef>
              <c:f>LR_TrainingLiftChart!$AZ$4:$AZ$108</c:f>
              <c:numCache>
                <c:formatCode>General</c:formatCode>
                <c:ptCount val="1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</c:numCache>
            </c:numRef>
          </c:xVal>
          <c:yVal>
            <c:numRef>
              <c:f>LR_TrainingLiftChart!$BD$4:$BD$108</c:f>
              <c:numCache>
                <c:formatCode>General</c:formatCode>
                <c:ptCount val="105"/>
                <c:pt idx="0">
                  <c:v>0.2</c:v>
                </c:pt>
                <c:pt idx="1">
                  <c:v>0.4</c:v>
                </c:pt>
                <c:pt idx="2">
                  <c:v>0.60000000000000009</c:v>
                </c:pt>
                <c:pt idx="3">
                  <c:v>0.8</c:v>
                </c:pt>
                <c:pt idx="4">
                  <c:v>1</c:v>
                </c:pt>
                <c:pt idx="5">
                  <c:v>1.2000000000000002</c:v>
                </c:pt>
                <c:pt idx="6">
                  <c:v>1.4000000000000001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  <c:pt idx="10">
                  <c:v>2.2000000000000002</c:v>
                </c:pt>
                <c:pt idx="11">
                  <c:v>2.4000000000000004</c:v>
                </c:pt>
                <c:pt idx="12">
                  <c:v>2.6</c:v>
                </c:pt>
                <c:pt idx="13">
                  <c:v>2.8000000000000003</c:v>
                </c:pt>
                <c:pt idx="14">
                  <c:v>3</c:v>
                </c:pt>
                <c:pt idx="15">
                  <c:v>3.2</c:v>
                </c:pt>
                <c:pt idx="16">
                  <c:v>3.4000000000000004</c:v>
                </c:pt>
                <c:pt idx="17">
                  <c:v>3.6</c:v>
                </c:pt>
                <c:pt idx="18">
                  <c:v>3.8000000000000003</c:v>
                </c:pt>
                <c:pt idx="19">
                  <c:v>4</c:v>
                </c:pt>
                <c:pt idx="20">
                  <c:v>4.2</c:v>
                </c:pt>
                <c:pt idx="21">
                  <c:v>4.4000000000000004</c:v>
                </c:pt>
                <c:pt idx="22">
                  <c:v>4.6000000000000005</c:v>
                </c:pt>
                <c:pt idx="23">
                  <c:v>4.8000000000000007</c:v>
                </c:pt>
                <c:pt idx="24">
                  <c:v>5</c:v>
                </c:pt>
                <c:pt idx="25">
                  <c:v>5.2</c:v>
                </c:pt>
                <c:pt idx="26">
                  <c:v>5.4</c:v>
                </c:pt>
                <c:pt idx="27">
                  <c:v>5.6000000000000005</c:v>
                </c:pt>
                <c:pt idx="28">
                  <c:v>5.8000000000000007</c:v>
                </c:pt>
                <c:pt idx="29">
                  <c:v>6</c:v>
                </c:pt>
                <c:pt idx="30">
                  <c:v>6.2</c:v>
                </c:pt>
                <c:pt idx="31">
                  <c:v>6.4</c:v>
                </c:pt>
                <c:pt idx="32">
                  <c:v>6.6000000000000005</c:v>
                </c:pt>
                <c:pt idx="33">
                  <c:v>6.8000000000000007</c:v>
                </c:pt>
                <c:pt idx="34">
                  <c:v>7</c:v>
                </c:pt>
                <c:pt idx="35">
                  <c:v>7.2</c:v>
                </c:pt>
                <c:pt idx="36">
                  <c:v>7.4</c:v>
                </c:pt>
                <c:pt idx="37">
                  <c:v>7.6000000000000005</c:v>
                </c:pt>
                <c:pt idx="38">
                  <c:v>7.8000000000000007</c:v>
                </c:pt>
                <c:pt idx="39">
                  <c:v>8</c:v>
                </c:pt>
                <c:pt idx="40">
                  <c:v>8.2000000000000011</c:v>
                </c:pt>
                <c:pt idx="41">
                  <c:v>8.4</c:v>
                </c:pt>
                <c:pt idx="42">
                  <c:v>8.6</c:v>
                </c:pt>
                <c:pt idx="43">
                  <c:v>8.8000000000000007</c:v>
                </c:pt>
                <c:pt idx="44">
                  <c:v>9</c:v>
                </c:pt>
                <c:pt idx="45">
                  <c:v>9.2000000000000011</c:v>
                </c:pt>
                <c:pt idx="46">
                  <c:v>9.4</c:v>
                </c:pt>
                <c:pt idx="47">
                  <c:v>9.6000000000000014</c:v>
                </c:pt>
                <c:pt idx="48">
                  <c:v>9.8000000000000007</c:v>
                </c:pt>
                <c:pt idx="49">
                  <c:v>10</c:v>
                </c:pt>
                <c:pt idx="50">
                  <c:v>10.200000000000001</c:v>
                </c:pt>
                <c:pt idx="51">
                  <c:v>10.4</c:v>
                </c:pt>
                <c:pt idx="52">
                  <c:v>10.600000000000001</c:v>
                </c:pt>
                <c:pt idx="53">
                  <c:v>10.8</c:v>
                </c:pt>
                <c:pt idx="54">
                  <c:v>11</c:v>
                </c:pt>
                <c:pt idx="55">
                  <c:v>11.200000000000001</c:v>
                </c:pt>
                <c:pt idx="56">
                  <c:v>11.4</c:v>
                </c:pt>
                <c:pt idx="57">
                  <c:v>11.600000000000001</c:v>
                </c:pt>
                <c:pt idx="58">
                  <c:v>11.8</c:v>
                </c:pt>
                <c:pt idx="59">
                  <c:v>12</c:v>
                </c:pt>
                <c:pt idx="60">
                  <c:v>12.200000000000001</c:v>
                </c:pt>
                <c:pt idx="61">
                  <c:v>12.4</c:v>
                </c:pt>
                <c:pt idx="62">
                  <c:v>12.600000000000001</c:v>
                </c:pt>
                <c:pt idx="63">
                  <c:v>12.8</c:v>
                </c:pt>
                <c:pt idx="64">
                  <c:v>13</c:v>
                </c:pt>
                <c:pt idx="65">
                  <c:v>13.200000000000001</c:v>
                </c:pt>
                <c:pt idx="66">
                  <c:v>13.4</c:v>
                </c:pt>
                <c:pt idx="67">
                  <c:v>13.600000000000001</c:v>
                </c:pt>
                <c:pt idx="68">
                  <c:v>13.8</c:v>
                </c:pt>
                <c:pt idx="69">
                  <c:v>14</c:v>
                </c:pt>
                <c:pt idx="70">
                  <c:v>14.200000000000001</c:v>
                </c:pt>
                <c:pt idx="71">
                  <c:v>14.4</c:v>
                </c:pt>
                <c:pt idx="72">
                  <c:v>14.600000000000001</c:v>
                </c:pt>
                <c:pt idx="73">
                  <c:v>14.8</c:v>
                </c:pt>
                <c:pt idx="74">
                  <c:v>15</c:v>
                </c:pt>
                <c:pt idx="75">
                  <c:v>15.200000000000001</c:v>
                </c:pt>
                <c:pt idx="76">
                  <c:v>15.4</c:v>
                </c:pt>
                <c:pt idx="77">
                  <c:v>15.600000000000001</c:v>
                </c:pt>
                <c:pt idx="78">
                  <c:v>15.8</c:v>
                </c:pt>
                <c:pt idx="79">
                  <c:v>16</c:v>
                </c:pt>
                <c:pt idx="80">
                  <c:v>16.2</c:v>
                </c:pt>
                <c:pt idx="81">
                  <c:v>16.400000000000002</c:v>
                </c:pt>
                <c:pt idx="82">
                  <c:v>16.600000000000001</c:v>
                </c:pt>
                <c:pt idx="83">
                  <c:v>16.8</c:v>
                </c:pt>
                <c:pt idx="84">
                  <c:v>17</c:v>
                </c:pt>
                <c:pt idx="85">
                  <c:v>17.2</c:v>
                </c:pt>
                <c:pt idx="86">
                  <c:v>17.400000000000002</c:v>
                </c:pt>
                <c:pt idx="87">
                  <c:v>17.600000000000001</c:v>
                </c:pt>
                <c:pt idx="88">
                  <c:v>17.8</c:v>
                </c:pt>
                <c:pt idx="89">
                  <c:v>18</c:v>
                </c:pt>
                <c:pt idx="90">
                  <c:v>18.2</c:v>
                </c:pt>
                <c:pt idx="91">
                  <c:v>18.400000000000002</c:v>
                </c:pt>
                <c:pt idx="92">
                  <c:v>18.600000000000001</c:v>
                </c:pt>
                <c:pt idx="93">
                  <c:v>18.8</c:v>
                </c:pt>
                <c:pt idx="94">
                  <c:v>19</c:v>
                </c:pt>
                <c:pt idx="95">
                  <c:v>19.200000000000003</c:v>
                </c:pt>
                <c:pt idx="96">
                  <c:v>19.400000000000002</c:v>
                </c:pt>
                <c:pt idx="97">
                  <c:v>19.600000000000001</c:v>
                </c:pt>
                <c:pt idx="98">
                  <c:v>19.8</c:v>
                </c:pt>
                <c:pt idx="99">
                  <c:v>20</c:v>
                </c:pt>
                <c:pt idx="100">
                  <c:v>20.200000000000003</c:v>
                </c:pt>
                <c:pt idx="101">
                  <c:v>20.400000000000002</c:v>
                </c:pt>
                <c:pt idx="102">
                  <c:v>20.6</c:v>
                </c:pt>
                <c:pt idx="103">
                  <c:v>20.8</c:v>
                </c:pt>
                <c:pt idx="104">
                  <c:v>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689-47DB-BE17-0B5F016B5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775839"/>
        <c:axId val="400775007"/>
      </c:scatterChart>
      <c:valAx>
        <c:axId val="40077583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Cases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00775007"/>
        <c:crosses val="autoZero"/>
        <c:crossBetween val="midCat"/>
      </c:valAx>
      <c:valAx>
        <c:axId val="400775007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00775839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Decile-wise lift chart (training dataset)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LR_TrainingLiftChart!$BE$4:$BE$13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LR_TrainingLiftChart!$BF$4:$BF$13</c:f>
              <c:numCache>
                <c:formatCode>General</c:formatCode>
                <c:ptCount val="10"/>
                <c:pt idx="0">
                  <c:v>4.5</c:v>
                </c:pt>
                <c:pt idx="1">
                  <c:v>3</c:v>
                </c:pt>
                <c:pt idx="2">
                  <c:v>1.5</c:v>
                </c:pt>
                <c:pt idx="3">
                  <c:v>1</c:v>
                </c:pt>
                <c:pt idx="4">
                  <c:v>0.5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03-43C1-BA5C-2EA12E412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2398879"/>
        <c:axId val="973270047"/>
      </c:barChart>
      <c:catAx>
        <c:axId val="114239887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73270047"/>
        <c:crosses val="autoZero"/>
        <c:auto val="1"/>
        <c:lblAlgn val="ctr"/>
        <c:lblOffset val="100"/>
        <c:noMultiLvlLbl val="0"/>
      </c:catAx>
      <c:valAx>
        <c:axId val="973270047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Decile mean / Global mean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42398879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ROC Curve, AUC = 0.946712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LogReg Classifier</c:v>
          </c:tx>
          <c:spPr>
            <a:ln w="6350"/>
          </c:spPr>
          <c:marker>
            <c:symbol val="none"/>
          </c:marker>
          <c:xVal>
            <c:numRef>
              <c:f>LR_TrainingLiftChart!$BZ$2:$BZ$49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1.1904761904761904E-2</c:v>
                </c:pt>
                <c:pt idx="7">
                  <c:v>2.3809523809523808E-2</c:v>
                </c:pt>
                <c:pt idx="8">
                  <c:v>3.5714285714285712E-2</c:v>
                </c:pt>
                <c:pt idx="9">
                  <c:v>3.5714285714285712E-2</c:v>
                </c:pt>
                <c:pt idx="10">
                  <c:v>3.5714285714285712E-2</c:v>
                </c:pt>
                <c:pt idx="11">
                  <c:v>4.7619047619047616E-2</c:v>
                </c:pt>
                <c:pt idx="12">
                  <c:v>5.9523809523809521E-2</c:v>
                </c:pt>
                <c:pt idx="13">
                  <c:v>8.3333333333333329E-2</c:v>
                </c:pt>
                <c:pt idx="14">
                  <c:v>9.5238095238095233E-2</c:v>
                </c:pt>
                <c:pt idx="15">
                  <c:v>0.10714285714285714</c:v>
                </c:pt>
                <c:pt idx="16">
                  <c:v>0.11904761904761904</c:v>
                </c:pt>
                <c:pt idx="17">
                  <c:v>0.11904761904761904</c:v>
                </c:pt>
                <c:pt idx="18">
                  <c:v>0.13095238095238096</c:v>
                </c:pt>
                <c:pt idx="19">
                  <c:v>0.14285714285714285</c:v>
                </c:pt>
                <c:pt idx="20">
                  <c:v>0.16666666666666666</c:v>
                </c:pt>
                <c:pt idx="21">
                  <c:v>0.17857142857142858</c:v>
                </c:pt>
                <c:pt idx="22">
                  <c:v>0.19047619047619047</c:v>
                </c:pt>
                <c:pt idx="23">
                  <c:v>0.22619047619047619</c:v>
                </c:pt>
                <c:pt idx="24">
                  <c:v>0.25</c:v>
                </c:pt>
                <c:pt idx="25">
                  <c:v>0.2857142857142857</c:v>
                </c:pt>
                <c:pt idx="26">
                  <c:v>0.29761904761904762</c:v>
                </c:pt>
                <c:pt idx="27">
                  <c:v>0.30952380952380953</c:v>
                </c:pt>
                <c:pt idx="28">
                  <c:v>0.40476190476190477</c:v>
                </c:pt>
                <c:pt idx="29">
                  <c:v>0.41666666666666669</c:v>
                </c:pt>
                <c:pt idx="30">
                  <c:v>0.42857142857142855</c:v>
                </c:pt>
                <c:pt idx="31">
                  <c:v>0.45238095238095238</c:v>
                </c:pt>
                <c:pt idx="32">
                  <c:v>0.52380952380952384</c:v>
                </c:pt>
                <c:pt idx="33">
                  <c:v>0.6785714285714286</c:v>
                </c:pt>
                <c:pt idx="34">
                  <c:v>0.73809523809523814</c:v>
                </c:pt>
                <c:pt idx="35">
                  <c:v>0.75</c:v>
                </c:pt>
                <c:pt idx="36">
                  <c:v>0.76190476190476186</c:v>
                </c:pt>
                <c:pt idx="37">
                  <c:v>0.83333333333333337</c:v>
                </c:pt>
                <c:pt idx="38">
                  <c:v>0.86904761904761907</c:v>
                </c:pt>
                <c:pt idx="39">
                  <c:v>0.88095238095238093</c:v>
                </c:pt>
                <c:pt idx="40">
                  <c:v>0.8928571428571429</c:v>
                </c:pt>
                <c:pt idx="41">
                  <c:v>0.90476190476190477</c:v>
                </c:pt>
                <c:pt idx="42">
                  <c:v>0.91666666666666663</c:v>
                </c:pt>
                <c:pt idx="43">
                  <c:v>0.94047619047619047</c:v>
                </c:pt>
                <c:pt idx="44">
                  <c:v>0.95238095238095233</c:v>
                </c:pt>
                <c:pt idx="45">
                  <c:v>0.9642857142857143</c:v>
                </c:pt>
                <c:pt idx="46">
                  <c:v>0.98809523809523814</c:v>
                </c:pt>
                <c:pt idx="47">
                  <c:v>1</c:v>
                </c:pt>
              </c:numCache>
            </c:numRef>
          </c:xVal>
          <c:yVal>
            <c:numRef>
              <c:f>LR_TrainingLiftChart!$CA$2:$CA$49</c:f>
              <c:numCache>
                <c:formatCode>General</c:formatCode>
                <c:ptCount val="48"/>
                <c:pt idx="0">
                  <c:v>0</c:v>
                </c:pt>
                <c:pt idx="1">
                  <c:v>4.7619047619047616E-2</c:v>
                </c:pt>
                <c:pt idx="2">
                  <c:v>0.14285714285714285</c:v>
                </c:pt>
                <c:pt idx="3">
                  <c:v>0.2857142857142857</c:v>
                </c:pt>
                <c:pt idx="4">
                  <c:v>0.38095238095238093</c:v>
                </c:pt>
                <c:pt idx="5">
                  <c:v>0.42857142857142855</c:v>
                </c:pt>
                <c:pt idx="6">
                  <c:v>0.42857142857142855</c:v>
                </c:pt>
                <c:pt idx="7">
                  <c:v>0.47619047619047616</c:v>
                </c:pt>
                <c:pt idx="8">
                  <c:v>0.52380952380952384</c:v>
                </c:pt>
                <c:pt idx="9">
                  <c:v>0.61904761904761907</c:v>
                </c:pt>
                <c:pt idx="10">
                  <c:v>0.66666666666666663</c:v>
                </c:pt>
                <c:pt idx="11">
                  <c:v>0.66666666666666663</c:v>
                </c:pt>
                <c:pt idx="12">
                  <c:v>0.76190476190476186</c:v>
                </c:pt>
                <c:pt idx="13">
                  <c:v>0.76190476190476186</c:v>
                </c:pt>
                <c:pt idx="14">
                  <c:v>0.80952380952380953</c:v>
                </c:pt>
                <c:pt idx="15">
                  <c:v>0.80952380952380953</c:v>
                </c:pt>
                <c:pt idx="16">
                  <c:v>0.80952380952380953</c:v>
                </c:pt>
                <c:pt idx="17">
                  <c:v>0.8571428571428571</c:v>
                </c:pt>
                <c:pt idx="18">
                  <c:v>0.8571428571428571</c:v>
                </c:pt>
                <c:pt idx="19">
                  <c:v>0.90476190476190477</c:v>
                </c:pt>
                <c:pt idx="20">
                  <c:v>0.95238095238095233</c:v>
                </c:pt>
                <c:pt idx="21">
                  <c:v>0.95238095238095233</c:v>
                </c:pt>
                <c:pt idx="22">
                  <c:v>0.95238095238095233</c:v>
                </c:pt>
                <c:pt idx="23">
                  <c:v>0.95238095238095233</c:v>
                </c:pt>
                <c:pt idx="24">
                  <c:v>0.95238095238095233</c:v>
                </c:pt>
                <c:pt idx="25">
                  <c:v>0.95238095238095233</c:v>
                </c:pt>
                <c:pt idx="26">
                  <c:v>0.95238095238095233</c:v>
                </c:pt>
                <c:pt idx="27">
                  <c:v>0.95238095238095233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E44-4864-9496-6661370B9ABE}"/>
            </c:ext>
          </c:extLst>
        </c:ser>
        <c:ser>
          <c:idx val="1"/>
          <c:order val="1"/>
          <c:tx>
            <c:v>Random Classifier</c:v>
          </c:tx>
          <c:spPr>
            <a:ln w="6350"/>
          </c:spPr>
          <c:marker>
            <c:symbol val="none"/>
          </c:marker>
          <c:xVal>
            <c:numRef>
              <c:f>LR_TrainingLiftChart!$BZ$2:$BZ$49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1.1904761904761904E-2</c:v>
                </c:pt>
                <c:pt idx="7">
                  <c:v>2.3809523809523808E-2</c:v>
                </c:pt>
                <c:pt idx="8">
                  <c:v>3.5714285714285712E-2</c:v>
                </c:pt>
                <c:pt idx="9">
                  <c:v>3.5714285714285712E-2</c:v>
                </c:pt>
                <c:pt idx="10">
                  <c:v>3.5714285714285712E-2</c:v>
                </c:pt>
                <c:pt idx="11">
                  <c:v>4.7619047619047616E-2</c:v>
                </c:pt>
                <c:pt idx="12">
                  <c:v>5.9523809523809521E-2</c:v>
                </c:pt>
                <c:pt idx="13">
                  <c:v>8.3333333333333329E-2</c:v>
                </c:pt>
                <c:pt idx="14">
                  <c:v>9.5238095238095233E-2</c:v>
                </c:pt>
                <c:pt idx="15">
                  <c:v>0.10714285714285714</c:v>
                </c:pt>
                <c:pt idx="16">
                  <c:v>0.11904761904761904</c:v>
                </c:pt>
                <c:pt idx="17">
                  <c:v>0.11904761904761904</c:v>
                </c:pt>
                <c:pt idx="18">
                  <c:v>0.13095238095238096</c:v>
                </c:pt>
                <c:pt idx="19">
                  <c:v>0.14285714285714285</c:v>
                </c:pt>
                <c:pt idx="20">
                  <c:v>0.16666666666666666</c:v>
                </c:pt>
                <c:pt idx="21">
                  <c:v>0.17857142857142858</c:v>
                </c:pt>
                <c:pt idx="22">
                  <c:v>0.19047619047619047</c:v>
                </c:pt>
                <c:pt idx="23">
                  <c:v>0.22619047619047619</c:v>
                </c:pt>
                <c:pt idx="24">
                  <c:v>0.25</c:v>
                </c:pt>
                <c:pt idx="25">
                  <c:v>0.2857142857142857</c:v>
                </c:pt>
                <c:pt idx="26">
                  <c:v>0.29761904761904762</c:v>
                </c:pt>
                <c:pt idx="27">
                  <c:v>0.30952380952380953</c:v>
                </c:pt>
                <c:pt idx="28">
                  <c:v>0.40476190476190477</c:v>
                </c:pt>
                <c:pt idx="29">
                  <c:v>0.41666666666666669</c:v>
                </c:pt>
                <c:pt idx="30">
                  <c:v>0.42857142857142855</c:v>
                </c:pt>
                <c:pt idx="31">
                  <c:v>0.45238095238095238</c:v>
                </c:pt>
                <c:pt idx="32">
                  <c:v>0.52380952380952384</c:v>
                </c:pt>
                <c:pt idx="33">
                  <c:v>0.6785714285714286</c:v>
                </c:pt>
                <c:pt idx="34">
                  <c:v>0.73809523809523814</c:v>
                </c:pt>
                <c:pt idx="35">
                  <c:v>0.75</c:v>
                </c:pt>
                <c:pt idx="36">
                  <c:v>0.76190476190476186</c:v>
                </c:pt>
                <c:pt idx="37">
                  <c:v>0.83333333333333337</c:v>
                </c:pt>
                <c:pt idx="38">
                  <c:v>0.86904761904761907</c:v>
                </c:pt>
                <c:pt idx="39">
                  <c:v>0.88095238095238093</c:v>
                </c:pt>
                <c:pt idx="40">
                  <c:v>0.8928571428571429</c:v>
                </c:pt>
                <c:pt idx="41">
                  <c:v>0.90476190476190477</c:v>
                </c:pt>
                <c:pt idx="42">
                  <c:v>0.91666666666666663</c:v>
                </c:pt>
                <c:pt idx="43">
                  <c:v>0.94047619047619047</c:v>
                </c:pt>
                <c:pt idx="44">
                  <c:v>0.95238095238095233</c:v>
                </c:pt>
                <c:pt idx="45">
                  <c:v>0.9642857142857143</c:v>
                </c:pt>
                <c:pt idx="46">
                  <c:v>0.98809523809523814</c:v>
                </c:pt>
                <c:pt idx="47">
                  <c:v>1</c:v>
                </c:pt>
              </c:numCache>
            </c:numRef>
          </c:xVal>
          <c:yVal>
            <c:numRef>
              <c:f>LR_TrainingLiftChart!$CB$2:$CB$49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1.1904761904761904E-2</c:v>
                </c:pt>
                <c:pt idx="7">
                  <c:v>2.3809523809523808E-2</c:v>
                </c:pt>
                <c:pt idx="8">
                  <c:v>3.5714285714285712E-2</c:v>
                </c:pt>
                <c:pt idx="9">
                  <c:v>3.5714285714285712E-2</c:v>
                </c:pt>
                <c:pt idx="10">
                  <c:v>3.5714285714285712E-2</c:v>
                </c:pt>
                <c:pt idx="11">
                  <c:v>4.7619047619047616E-2</c:v>
                </c:pt>
                <c:pt idx="12">
                  <c:v>5.9523809523809521E-2</c:v>
                </c:pt>
                <c:pt idx="13">
                  <c:v>8.3333333333333329E-2</c:v>
                </c:pt>
                <c:pt idx="14">
                  <c:v>9.5238095238095233E-2</c:v>
                </c:pt>
                <c:pt idx="15">
                  <c:v>0.10714285714285714</c:v>
                </c:pt>
                <c:pt idx="16">
                  <c:v>0.11904761904761904</c:v>
                </c:pt>
                <c:pt idx="17">
                  <c:v>0.11904761904761904</c:v>
                </c:pt>
                <c:pt idx="18">
                  <c:v>0.13095238095238096</c:v>
                </c:pt>
                <c:pt idx="19">
                  <c:v>0.14285714285714285</c:v>
                </c:pt>
                <c:pt idx="20">
                  <c:v>0.16666666666666666</c:v>
                </c:pt>
                <c:pt idx="21">
                  <c:v>0.17857142857142858</c:v>
                </c:pt>
                <c:pt idx="22">
                  <c:v>0.19047619047619047</c:v>
                </c:pt>
                <c:pt idx="23">
                  <c:v>0.22619047619047619</c:v>
                </c:pt>
                <c:pt idx="24">
                  <c:v>0.25</c:v>
                </c:pt>
                <c:pt idx="25">
                  <c:v>0.2857142857142857</c:v>
                </c:pt>
                <c:pt idx="26">
                  <c:v>0.29761904761904762</c:v>
                </c:pt>
                <c:pt idx="27">
                  <c:v>0.30952380952380953</c:v>
                </c:pt>
                <c:pt idx="28">
                  <c:v>0.40476190476190477</c:v>
                </c:pt>
                <c:pt idx="29">
                  <c:v>0.41666666666666669</c:v>
                </c:pt>
                <c:pt idx="30">
                  <c:v>0.42857142857142855</c:v>
                </c:pt>
                <c:pt idx="31">
                  <c:v>0.45238095238095238</c:v>
                </c:pt>
                <c:pt idx="32">
                  <c:v>0.52380952380952384</c:v>
                </c:pt>
                <c:pt idx="33">
                  <c:v>0.6785714285714286</c:v>
                </c:pt>
                <c:pt idx="34">
                  <c:v>0.73809523809523814</c:v>
                </c:pt>
                <c:pt idx="35">
                  <c:v>0.75</c:v>
                </c:pt>
                <c:pt idx="36">
                  <c:v>0.76190476190476186</c:v>
                </c:pt>
                <c:pt idx="37">
                  <c:v>0.83333333333333337</c:v>
                </c:pt>
                <c:pt idx="38">
                  <c:v>0.86904761904761907</c:v>
                </c:pt>
                <c:pt idx="39">
                  <c:v>0.88095238095238093</c:v>
                </c:pt>
                <c:pt idx="40">
                  <c:v>0.8928571428571429</c:v>
                </c:pt>
                <c:pt idx="41">
                  <c:v>0.90476190476190477</c:v>
                </c:pt>
                <c:pt idx="42">
                  <c:v>0.91666666666666663</c:v>
                </c:pt>
                <c:pt idx="43">
                  <c:v>0.94047619047619047</c:v>
                </c:pt>
                <c:pt idx="44">
                  <c:v>0.95238095238095233</c:v>
                </c:pt>
                <c:pt idx="45">
                  <c:v>0.9642857142857143</c:v>
                </c:pt>
                <c:pt idx="46">
                  <c:v>0.98809523809523814</c:v>
                </c:pt>
                <c:pt idx="4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E44-4864-9496-6661370B9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775839"/>
        <c:axId val="374517023"/>
      </c:scatterChart>
      <c:valAx>
        <c:axId val="40077583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1 - Specificity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517023"/>
        <c:crosses val="autoZero"/>
        <c:crossBetween val="midCat"/>
      </c:valAx>
      <c:valAx>
        <c:axId val="374517023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Sensitivity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00775839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  <c:spPr>
        <a:ln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9</xdr:row>
      <xdr:rowOff>133350</xdr:rowOff>
    </xdr:from>
    <xdr:to>
      <xdr:col>7</xdr:col>
      <xdr:colOff>304800</xdr:colOff>
      <xdr:row>26</xdr:row>
      <xdr:rowOff>69850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431800</xdr:colOff>
      <xdr:row>9</xdr:row>
      <xdr:rowOff>133350</xdr:rowOff>
    </xdr:from>
    <xdr:to>
      <xdr:col>15</xdr:col>
      <xdr:colOff>0</xdr:colOff>
      <xdr:row>26</xdr:row>
      <xdr:rowOff>69850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127000</xdr:colOff>
      <xdr:row>29</xdr:row>
      <xdr:rowOff>133350</xdr:rowOff>
    </xdr:from>
    <xdr:to>
      <xdr:col>7</xdr:col>
      <xdr:colOff>304800</xdr:colOff>
      <xdr:row>46</xdr:row>
      <xdr:rowOff>69850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9</xdr:row>
      <xdr:rowOff>133350</xdr:rowOff>
    </xdr:from>
    <xdr:to>
      <xdr:col>7</xdr:col>
      <xdr:colOff>304800</xdr:colOff>
      <xdr:row>26</xdr:row>
      <xdr:rowOff>69850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431800</xdr:colOff>
      <xdr:row>9</xdr:row>
      <xdr:rowOff>133350</xdr:rowOff>
    </xdr:from>
    <xdr:to>
      <xdr:col>15</xdr:col>
      <xdr:colOff>0</xdr:colOff>
      <xdr:row>26</xdr:row>
      <xdr:rowOff>69850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127000</xdr:colOff>
      <xdr:row>29</xdr:row>
      <xdr:rowOff>133350</xdr:rowOff>
    </xdr:from>
    <xdr:to>
      <xdr:col>7</xdr:col>
      <xdr:colOff>304800</xdr:colOff>
      <xdr:row>46</xdr:row>
      <xdr:rowOff>69850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9</xdr:row>
      <xdr:rowOff>133351</xdr:rowOff>
    </xdr:from>
    <xdr:to>
      <xdr:col>7</xdr:col>
      <xdr:colOff>304800</xdr:colOff>
      <xdr:row>26</xdr:row>
      <xdr:rowOff>69851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431800</xdr:colOff>
      <xdr:row>9</xdr:row>
      <xdr:rowOff>133351</xdr:rowOff>
    </xdr:from>
    <xdr:to>
      <xdr:col>14</xdr:col>
      <xdr:colOff>333375</xdr:colOff>
      <xdr:row>26</xdr:row>
      <xdr:rowOff>69851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127000</xdr:colOff>
      <xdr:row>29</xdr:row>
      <xdr:rowOff>133352</xdr:rowOff>
    </xdr:from>
    <xdr:to>
      <xdr:col>7</xdr:col>
      <xdr:colOff>304800</xdr:colOff>
      <xdr:row>46</xdr:row>
      <xdr:rowOff>69852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9</xdr:row>
      <xdr:rowOff>133351</xdr:rowOff>
    </xdr:from>
    <xdr:to>
      <xdr:col>7</xdr:col>
      <xdr:colOff>304800</xdr:colOff>
      <xdr:row>26</xdr:row>
      <xdr:rowOff>69851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431800</xdr:colOff>
      <xdr:row>9</xdr:row>
      <xdr:rowOff>133351</xdr:rowOff>
    </xdr:from>
    <xdr:to>
      <xdr:col>14</xdr:col>
      <xdr:colOff>333375</xdr:colOff>
      <xdr:row>26</xdr:row>
      <xdr:rowOff>69851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127000</xdr:colOff>
      <xdr:row>29</xdr:row>
      <xdr:rowOff>133352</xdr:rowOff>
    </xdr:from>
    <xdr:to>
      <xdr:col>7</xdr:col>
      <xdr:colOff>304800</xdr:colOff>
      <xdr:row>46</xdr:row>
      <xdr:rowOff>69852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LRBSTable" displayName="LRBSTable" ref="C76:K82" totalsRowShown="0">
  <autoFilter ref="C76:K82"/>
  <tableColumns count="9">
    <tableColumn id="1" name="Subset Link" dataCellStyle="Hyperlink"/>
    <tableColumn id="2" name="#Coeffs"/>
    <tableColumn id="3" name="RSS"/>
    <tableColumn id="4" name="Cp"/>
    <tableColumn id="5" name="Probability"/>
    <tableColumn id="6" name="1"/>
    <tableColumn id="7" name="2"/>
    <tableColumn id="8" name="3"/>
    <tableColumn id="9" name="4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B9" sqref="B1:B9"/>
    </sheetView>
  </sheetViews>
  <sheetFormatPr defaultRowHeight="15" x14ac:dyDescent="0.25"/>
  <cols>
    <col min="1" max="1" width="5" bestFit="1" customWidth="1"/>
    <col min="2" max="2" width="24.42578125" bestFit="1" customWidth="1"/>
    <col min="3" max="3" width="17.5703125" bestFit="1" customWidth="1"/>
    <col min="4" max="4" width="17.42578125" bestFit="1" customWidth="1"/>
    <col min="5" max="5" width="8.28515625" bestFit="1" customWidth="1"/>
    <col min="9" max="9" width="7.5703125" bestFit="1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  <c r="G1" s="1"/>
      <c r="H1" s="1"/>
      <c r="I1" s="1" t="s">
        <v>5</v>
      </c>
    </row>
    <row r="2" spans="1:9" x14ac:dyDescent="0.25">
      <c r="A2">
        <v>2014</v>
      </c>
      <c r="B2" t="s">
        <v>180</v>
      </c>
      <c r="C2">
        <v>9</v>
      </c>
      <c r="D2">
        <v>2</v>
      </c>
      <c r="E2">
        <v>1</v>
      </c>
      <c r="I2">
        <v>1</v>
      </c>
    </row>
    <row r="3" spans="1:9" x14ac:dyDescent="0.25">
      <c r="A3">
        <v>2014</v>
      </c>
      <c r="B3" t="s">
        <v>181</v>
      </c>
      <c r="C3">
        <v>6</v>
      </c>
      <c r="D3">
        <v>0</v>
      </c>
      <c r="E3">
        <v>0</v>
      </c>
      <c r="I3">
        <v>0</v>
      </c>
    </row>
    <row r="4" spans="1:9" x14ac:dyDescent="0.25">
      <c r="A4">
        <v>2014</v>
      </c>
      <c r="B4" t="s">
        <v>182</v>
      </c>
      <c r="C4">
        <v>6</v>
      </c>
      <c r="D4">
        <v>3</v>
      </c>
      <c r="E4">
        <v>0</v>
      </c>
      <c r="I4">
        <v>0</v>
      </c>
    </row>
    <row r="5" spans="1:9" x14ac:dyDescent="0.25">
      <c r="A5">
        <v>2014</v>
      </c>
      <c r="B5" t="s">
        <v>183</v>
      </c>
      <c r="C5">
        <v>9</v>
      </c>
      <c r="D5">
        <v>1</v>
      </c>
      <c r="E5">
        <v>1</v>
      </c>
      <c r="I5">
        <v>0</v>
      </c>
    </row>
    <row r="6" spans="1:9" x14ac:dyDescent="0.25">
      <c r="A6">
        <v>2014</v>
      </c>
      <c r="B6" t="s">
        <v>184</v>
      </c>
      <c r="C6">
        <v>8</v>
      </c>
      <c r="D6">
        <v>0</v>
      </c>
      <c r="E6">
        <v>0</v>
      </c>
      <c r="I6">
        <v>0</v>
      </c>
    </row>
    <row r="7" spans="1:9" x14ac:dyDescent="0.25">
      <c r="A7">
        <v>2014</v>
      </c>
      <c r="B7" t="s">
        <v>185</v>
      </c>
      <c r="C7">
        <v>2</v>
      </c>
      <c r="D7">
        <v>1</v>
      </c>
      <c r="E7">
        <v>0</v>
      </c>
      <c r="I7">
        <v>0</v>
      </c>
    </row>
    <row r="8" spans="1:9" x14ac:dyDescent="0.25">
      <c r="A8">
        <v>2014</v>
      </c>
      <c r="B8" t="s">
        <v>186</v>
      </c>
      <c r="C8">
        <v>5</v>
      </c>
      <c r="D8">
        <v>2</v>
      </c>
      <c r="E8">
        <v>0</v>
      </c>
      <c r="I8">
        <v>0</v>
      </c>
    </row>
    <row r="9" spans="1:9" x14ac:dyDescent="0.25">
      <c r="A9">
        <v>2014</v>
      </c>
      <c r="B9" t="s">
        <v>187</v>
      </c>
      <c r="C9">
        <v>5</v>
      </c>
      <c r="D9">
        <v>1</v>
      </c>
      <c r="E9">
        <v>0</v>
      </c>
      <c r="I9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showGridLines="0" workbookViewId="0"/>
  </sheetViews>
  <sheetFormatPr defaultRowHeight="15" x14ac:dyDescent="0.25"/>
  <cols>
    <col min="1" max="1" width="24.140625" bestFit="1" customWidth="1"/>
    <col min="2" max="2" width="18" bestFit="1" customWidth="1"/>
  </cols>
  <sheetData>
    <row r="1" spans="1:13" x14ac:dyDescent="0.25">
      <c r="M1" t="s">
        <v>369</v>
      </c>
    </row>
    <row r="2" spans="1:13" x14ac:dyDescent="0.25">
      <c r="A2" s="4" t="s">
        <v>211</v>
      </c>
      <c r="B2" s="3" t="s">
        <v>212</v>
      </c>
    </row>
    <row r="3" spans="1:13" x14ac:dyDescent="0.25">
      <c r="A3" s="4" t="s">
        <v>213</v>
      </c>
      <c r="B3" s="3" t="b">
        <v>1</v>
      </c>
    </row>
    <row r="4" spans="1:13" x14ac:dyDescent="0.25">
      <c r="A4" s="4" t="s">
        <v>214</v>
      </c>
      <c r="B4" s="3">
        <v>2</v>
      </c>
    </row>
    <row r="5" spans="1:13" x14ac:dyDescent="0.25">
      <c r="A5" s="4" t="s">
        <v>198</v>
      </c>
      <c r="B5" s="3" t="s">
        <v>351</v>
      </c>
      <c r="D5" s="3"/>
      <c r="E5" s="3" t="s">
        <v>2</v>
      </c>
      <c r="F5" s="3" t="s">
        <v>3</v>
      </c>
      <c r="G5" s="3" t="s">
        <v>5</v>
      </c>
    </row>
    <row r="6" spans="1:13" x14ac:dyDescent="0.25">
      <c r="A6" s="4" t="s">
        <v>216</v>
      </c>
      <c r="B6" s="3" t="s">
        <v>352</v>
      </c>
      <c r="D6" s="3"/>
      <c r="E6" s="3">
        <v>2</v>
      </c>
      <c r="F6" s="3">
        <v>3</v>
      </c>
      <c r="G6" s="3">
        <v>5</v>
      </c>
    </row>
    <row r="7" spans="1:13" x14ac:dyDescent="0.25">
      <c r="A7" s="4" t="s">
        <v>218</v>
      </c>
      <c r="B7" s="3" t="s">
        <v>353</v>
      </c>
      <c r="D7" s="3"/>
      <c r="E7" s="3" t="s">
        <v>220</v>
      </c>
      <c r="F7" s="3" t="s">
        <v>220</v>
      </c>
      <c r="G7" s="3" t="s">
        <v>221</v>
      </c>
    </row>
    <row r="8" spans="1:13" x14ac:dyDescent="0.25">
      <c r="A8" s="4" t="s">
        <v>222</v>
      </c>
      <c r="B8" s="3" t="s">
        <v>354</v>
      </c>
      <c r="D8" s="3"/>
      <c r="E8" s="3" t="s">
        <v>224</v>
      </c>
      <c r="F8" s="3" t="s">
        <v>224</v>
      </c>
      <c r="G8" s="3"/>
    </row>
    <row r="9" spans="1:13" x14ac:dyDescent="0.25">
      <c r="A9" s="4" t="s">
        <v>225</v>
      </c>
      <c r="B9" s="3" t="s">
        <v>355</v>
      </c>
      <c r="D9" s="3"/>
      <c r="E9" s="3" t="s">
        <v>2</v>
      </c>
      <c r="F9" s="3" t="s">
        <v>3</v>
      </c>
      <c r="G9" s="3"/>
    </row>
    <row r="10" spans="1:13" x14ac:dyDescent="0.25">
      <c r="A10" s="4" t="s">
        <v>227</v>
      </c>
      <c r="B10" s="3" t="s">
        <v>228</v>
      </c>
      <c r="D10" s="3">
        <v>-8.2094373604416155</v>
      </c>
      <c r="E10" s="3">
        <v>0.57105279763206274</v>
      </c>
      <c r="F10" s="3">
        <v>1.0331698060337335</v>
      </c>
    </row>
    <row r="11" spans="1:13" x14ac:dyDescent="0.25">
      <c r="A11" s="4" t="s">
        <v>229</v>
      </c>
      <c r="B11" s="3">
        <v>1</v>
      </c>
      <c r="E11" s="3">
        <v>0</v>
      </c>
      <c r="F11" s="3">
        <v>1</v>
      </c>
    </row>
    <row r="12" spans="1:13" x14ac:dyDescent="0.25">
      <c r="A12" s="4" t="s">
        <v>230</v>
      </c>
      <c r="B12" s="3">
        <v>0.5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I131"/>
  <sheetViews>
    <sheetView showGridLines="0" topLeftCell="A61" workbookViewId="0">
      <selection activeCell="B81" sqref="B81"/>
    </sheetView>
  </sheetViews>
  <sheetFormatPr defaultRowHeight="15" x14ac:dyDescent="0.25"/>
  <cols>
    <col min="3" max="3" width="14.5703125" customWidth="1"/>
    <col min="4" max="4" width="9.85546875" customWidth="1"/>
    <col min="6" max="6" width="12" bestFit="1" customWidth="1"/>
    <col min="7" max="7" width="12.85546875" customWidth="1"/>
    <col min="9" max="9" width="17.5703125" bestFit="1" customWidth="1"/>
    <col min="10" max="10" width="17.42578125" bestFit="1" customWidth="1"/>
    <col min="11" max="11" width="8.28515625" customWidth="1"/>
    <col min="14" max="14" width="13.28515625" bestFit="1" customWidth="1"/>
  </cols>
  <sheetData>
    <row r="1" spans="2:61" ht="18.75" x14ac:dyDescent="0.3">
      <c r="B1" s="2" t="s">
        <v>259</v>
      </c>
      <c r="N1" t="s">
        <v>210</v>
      </c>
      <c r="BA1" s="3">
        <v>1.9689714364082389E-3</v>
      </c>
      <c r="BB1" s="3" t="str">
        <f>"0"</f>
        <v>0</v>
      </c>
      <c r="BC1" t="str">
        <f ca="1">IF((OFFSET($A$1, 1 - 1, 53 - 1)) &gt;= (OFFSET($A$1, 88 - 1, 7 - 1)), "1","0")</f>
        <v>0</v>
      </c>
      <c r="BD1">
        <f ca="1" xml:space="preserve"> IF( AND( OFFSET($A$1, 1 - 1, 54 - 1) = "1", OFFSET($A$1, 1 - 1, 55 - 1) = "1" ), 1, IF( AND( OFFSET($A$1, 1 - 1, 54 - 1) = "1", OFFSET($A$1, 1 - 1, 55 - 1) = "0" ), 2, IF( AND( OFFSET($A$1, 1 - 1, 54 - 1) = "0", OFFSET($A$1, 1 - 1, 55 - 1) = "1" ), 3, 4 ) ) )</f>
        <v>4</v>
      </c>
      <c r="BF1" s="3">
        <v>8.3333692094780497E-3</v>
      </c>
      <c r="BG1" s="3" t="str">
        <f>"1"</f>
        <v>1</v>
      </c>
      <c r="BH1" t="str">
        <f ca="1">IF((OFFSET($A$1, 1 - 1, 58 - 1)) &gt;= (OFFSET($A$1, 112 - 1, 7 - 1)), "1","0")</f>
        <v>0</v>
      </c>
      <c r="BI1">
        <f ca="1" xml:space="preserve"> IF( AND( OFFSET($A$1, 1 - 1, 59 - 1) = "1", OFFSET($A$1, 1 - 1, 60 - 1) = "1" ), 1, IF( AND( OFFSET($A$1, 1 - 1, 59 - 1) = "1", OFFSET($A$1, 1 - 1, 60 - 1) = "0" ), 2, IF( AND( OFFSET($A$1, 1 - 1, 59 - 1) = "0", OFFSET($A$1, 1 - 1, 60 - 1) = "1" ), 3, 4 ) ) )</f>
        <v>2</v>
      </c>
    </row>
    <row r="2" spans="2:61" x14ac:dyDescent="0.25">
      <c r="BA2" s="3">
        <v>4.5208557988705579E-2</v>
      </c>
      <c r="BB2" s="3" t="str">
        <f>"0"</f>
        <v>0</v>
      </c>
      <c r="BC2" t="str">
        <f ca="1">IF((OFFSET($A$1, 2 - 1, 53 - 1)) &gt;= (OFFSET($A$1, 88 - 1, 7 - 1)), "1","0")</f>
        <v>0</v>
      </c>
      <c r="BD2">
        <f ca="1" xml:space="preserve"> IF( AND( OFFSET($A$1, 2 - 1, 54 - 1) = "1", OFFSET($A$1, 2 - 1, 55 - 1) = "1" ), 1, IF( AND( OFFSET($A$1, 2 - 1, 54 - 1) = "1", OFFSET($A$1, 2 - 1, 55 - 1) = "0" ), 2, IF( AND( OFFSET($A$1, 2 - 1, 54 - 1) = "0", OFFSET($A$1, 2 - 1, 55 - 1) = "1" ), 3, 4 ) ) )</f>
        <v>4</v>
      </c>
      <c r="BF2" s="3">
        <v>0.76322250292774019</v>
      </c>
      <c r="BG2" s="3" t="str">
        <f>"0"</f>
        <v>0</v>
      </c>
      <c r="BH2" t="str">
        <f ca="1">IF((OFFSET($A$1, 2 - 1, 58 - 1)) &gt;= (OFFSET($A$1, 112 - 1, 7 - 1)), "1","0")</f>
        <v>1</v>
      </c>
      <c r="BI2">
        <f ca="1" xml:space="preserve"> IF( AND( OFFSET($A$1, 2 - 1, 59 - 1) = "1", OFFSET($A$1, 2 - 1, 60 - 1) = "1" ), 1, IF( AND( OFFSET($A$1, 2 - 1, 59 - 1) = "1", OFFSET($A$1, 2 - 1, 60 - 1) = "0" ), 2, IF( AND( OFFSET($A$1, 2 - 1, 59 - 1) = "0", OFFSET($A$1, 2 - 1, 60 - 1) = "1" ), 3, 4 ) ) )</f>
        <v>3</v>
      </c>
    </row>
    <row r="3" spans="2:61" ht="15.75" x14ac:dyDescent="0.25">
      <c r="B3" s="6" t="s">
        <v>190</v>
      </c>
      <c r="C3" s="7"/>
      <c r="D3" s="7"/>
      <c r="E3" s="7"/>
      <c r="F3" s="7"/>
      <c r="G3" s="7"/>
      <c r="H3" s="7"/>
      <c r="I3" s="7"/>
      <c r="J3" s="7"/>
      <c r="K3" s="8"/>
      <c r="N3" s="6" t="s">
        <v>191</v>
      </c>
      <c r="O3" s="7"/>
      <c r="P3" s="7"/>
      <c r="Q3" s="8"/>
      <c r="BA3" s="3">
        <v>4.5208557988705579E-2</v>
      </c>
      <c r="BB3" s="3" t="str">
        <f>"0"</f>
        <v>0</v>
      </c>
      <c r="BC3" t="str">
        <f ca="1">IF((OFFSET($A$1, 3 - 1, 53 - 1)) &gt;= (OFFSET($A$1, 88 - 1, 7 - 1)), "1","0")</f>
        <v>0</v>
      </c>
      <c r="BD3">
        <f ca="1" xml:space="preserve"> IF( AND( OFFSET($A$1, 3 - 1, 54 - 1) = "1", OFFSET($A$1, 3 - 1, 55 - 1) = "1" ), 1, IF( AND( OFFSET($A$1, 3 - 1, 54 - 1) = "1", OFFSET($A$1, 3 - 1, 55 - 1) = "0" ), 2, IF( AND( OFFSET($A$1, 3 - 1, 54 - 1) = "0", OFFSET($A$1, 3 - 1, 55 - 1) = "1" ), 3, 4 ) ) )</f>
        <v>4</v>
      </c>
      <c r="BF3" s="3">
        <v>1.7700399554008261E-2</v>
      </c>
      <c r="BG3" s="3" t="str">
        <f>"0"</f>
        <v>0</v>
      </c>
      <c r="BH3" t="str">
        <f ca="1">IF((OFFSET($A$1, 3 - 1, 58 - 1)) &gt;= (OFFSET($A$1, 112 - 1, 7 - 1)), "1","0")</f>
        <v>0</v>
      </c>
      <c r="BI3">
        <f ca="1" xml:space="preserve"> IF( AND( OFFSET($A$1, 3 - 1, 59 - 1) = "1", OFFSET($A$1, 3 - 1, 60 - 1) = "1" ), 1, IF( AND( OFFSET($A$1, 3 - 1, 59 - 1) = "1", OFFSET($A$1, 3 - 1, 60 - 1) = "0" ), 2, IF( AND( OFFSET($A$1, 3 - 1, 59 - 1) = "0", OFFSET($A$1, 3 - 1, 60 - 1) = "1" ), 3, 4 ) ) )</f>
        <v>4</v>
      </c>
    </row>
    <row r="4" spans="2:61" x14ac:dyDescent="0.25">
      <c r="B4" s="18" t="s">
        <v>249</v>
      </c>
      <c r="C4" s="14"/>
      <c r="D4" s="18" t="s">
        <v>250</v>
      </c>
      <c r="E4" s="14"/>
      <c r="F4" s="18" t="s">
        <v>251</v>
      </c>
      <c r="G4" s="14"/>
      <c r="H4" s="18" t="s">
        <v>252</v>
      </c>
      <c r="I4" s="14"/>
      <c r="J4" s="18" t="s">
        <v>253</v>
      </c>
      <c r="K4" s="14"/>
      <c r="N4" s="5" t="s">
        <v>232</v>
      </c>
      <c r="O4" s="5" t="s">
        <v>233</v>
      </c>
      <c r="P4" s="5" t="s">
        <v>193</v>
      </c>
      <c r="Q4" s="5" t="s">
        <v>194</v>
      </c>
      <c r="BA4" s="3">
        <v>0.79798072657133046</v>
      </c>
      <c r="BB4" s="3" t="str">
        <f>"0"</f>
        <v>0</v>
      </c>
      <c r="BC4" t="str">
        <f ca="1">IF((OFFSET($A$1, 4 - 1, 53 - 1)) &gt;= (OFFSET($A$1, 88 - 1, 7 - 1)), "1","0")</f>
        <v>1</v>
      </c>
      <c r="BD4">
        <f ca="1" xml:space="preserve"> IF( AND( OFFSET($A$1, 4 - 1, 54 - 1) = "1", OFFSET($A$1, 4 - 1, 55 - 1) = "1" ), 1, IF( AND( OFFSET($A$1, 4 - 1, 54 - 1) = "1", OFFSET($A$1, 4 - 1, 55 - 1) = "0" ), 2, IF( AND( OFFSET($A$1, 4 - 1, 54 - 1) = "0", OFFSET($A$1, 4 - 1, 55 - 1) = "1" ), 3, 4 ) ) )</f>
        <v>3</v>
      </c>
      <c r="BF4" s="3">
        <v>8.3333692094780497E-3</v>
      </c>
      <c r="BG4" s="3" t="str">
        <f>"0"</f>
        <v>0</v>
      </c>
      <c r="BH4" t="str">
        <f ca="1">IF((OFFSET($A$1, 4 - 1, 58 - 1)) &gt;= (OFFSET($A$1, 112 - 1, 7 - 1)), "1","0")</f>
        <v>0</v>
      </c>
      <c r="BI4">
        <f ca="1" xml:space="preserve"> IF( AND( OFFSET($A$1, 4 - 1, 59 - 1) = "1", OFFSET($A$1, 4 - 1, 60 - 1) = "1" ), 1, IF( AND( OFFSET($A$1, 4 - 1, 59 - 1) = "1", OFFSET($A$1, 4 - 1, 60 - 1) = "0" ), 2, IF( AND( OFFSET($A$1, 4 - 1, 59 - 1) = "0", OFFSET($A$1, 4 - 1, 60 - 1) = "1" ), 3, 4 ) ) )</f>
        <v>4</v>
      </c>
    </row>
    <row r="5" spans="2:61" x14ac:dyDescent="0.25">
      <c r="B5" s="18" t="s">
        <v>254</v>
      </c>
      <c r="C5" s="14"/>
      <c r="D5" s="18" t="s">
        <v>255</v>
      </c>
      <c r="E5" s="14"/>
      <c r="F5" s="18" t="s">
        <v>256</v>
      </c>
      <c r="G5" s="14"/>
      <c r="H5" s="18" t="s">
        <v>257</v>
      </c>
      <c r="I5" s="14"/>
      <c r="J5" s="12"/>
      <c r="K5" s="14"/>
      <c r="N5" s="3">
        <v>0</v>
      </c>
      <c r="O5" s="3">
        <v>2</v>
      </c>
      <c r="P5" s="3">
        <v>1</v>
      </c>
      <c r="Q5" s="3">
        <v>3</v>
      </c>
      <c r="BA5" s="3">
        <v>0.93211130181262958</v>
      </c>
      <c r="BB5" s="3" t="str">
        <f>"1"</f>
        <v>1</v>
      </c>
      <c r="BC5" t="str">
        <f ca="1">IF((OFFSET($A$1, 5 - 1, 53 - 1)) &gt;= (OFFSET($A$1, 88 - 1, 7 - 1)), "1","0")</f>
        <v>1</v>
      </c>
      <c r="BD5">
        <f ca="1" xml:space="preserve"> IF( AND( OFFSET($A$1, 5 - 1, 54 - 1) = "1", OFFSET($A$1, 5 - 1, 55 - 1) = "1" ), 1, IF( AND( OFFSET($A$1, 5 - 1, 54 - 1) = "1", OFFSET($A$1, 5 - 1, 55 - 1) = "0" ), 2, IF( AND( OFFSET($A$1, 5 - 1, 54 - 1) = "0", OFFSET($A$1, 5 - 1, 55 - 1) = "1" ), 3, 4 ) ) )</f>
        <v>1</v>
      </c>
      <c r="BF5" s="3">
        <v>5.1573050710925989E-3</v>
      </c>
      <c r="BG5" s="3" t="str">
        <f>"0"</f>
        <v>0</v>
      </c>
      <c r="BH5" t="str">
        <f ca="1">IF((OFFSET($A$1, 5 - 1, 58 - 1)) &gt;= (OFFSET($A$1, 112 - 1, 7 - 1)), "1","0")</f>
        <v>0</v>
      </c>
      <c r="BI5">
        <f ca="1" xml:space="preserve"> IF( AND( OFFSET($A$1, 5 - 1, 59 - 1) = "1", OFFSET($A$1, 5 - 1, 60 - 1) = "1" ), 1, IF( AND( OFFSET($A$1, 5 - 1, 59 - 1) = "1", OFFSET($A$1, 5 - 1, 60 - 1) = "0" ), 2, IF( AND( OFFSET($A$1, 5 - 1, 59 - 1) = "0", OFFSET($A$1, 5 - 1, 60 - 1) = "1" ), 3, 4 ) ) )</f>
        <v>4</v>
      </c>
    </row>
    <row r="6" spans="2:61" x14ac:dyDescent="0.25">
      <c r="BA6" s="3">
        <v>3.6897396173244187E-4</v>
      </c>
      <c r="BB6" s="3" t="str">
        <f>"0"</f>
        <v>0</v>
      </c>
      <c r="BC6" t="str">
        <f ca="1">IF((OFFSET($A$1, 6 - 1, 53 - 1)) &gt;= (OFFSET($A$1, 88 - 1, 7 - 1)), "1","0")</f>
        <v>0</v>
      </c>
      <c r="BD6">
        <f ca="1" xml:space="preserve"> IF( AND( OFFSET($A$1, 6 - 1, 54 - 1) = "1", OFFSET($A$1, 6 - 1, 55 - 1) = "1" ), 1, IF( AND( OFFSET($A$1, 6 - 1, 54 - 1) = "1", OFFSET($A$1, 6 - 1, 55 - 1) = "0" ), 2, IF( AND( OFFSET($A$1, 6 - 1, 54 - 1) = "0", OFFSET($A$1, 6 - 1, 55 - 1) = "1" ), 3, 4 ) ) )</f>
        <v>4</v>
      </c>
      <c r="BF6" s="3">
        <v>4.5208557988705579E-2</v>
      </c>
      <c r="BG6" s="3" t="str">
        <f>"0"</f>
        <v>0</v>
      </c>
      <c r="BH6" t="str">
        <f ca="1">IF((OFFSET($A$1, 6 - 1, 58 - 1)) &gt;= (OFFSET($A$1, 112 - 1, 7 - 1)), "1","0")</f>
        <v>0</v>
      </c>
      <c r="BI6">
        <f ca="1" xml:space="preserve"> IF( AND( OFFSET($A$1, 6 - 1, 59 - 1) = "1", OFFSET($A$1, 6 - 1, 60 - 1) = "1" ), 1, IF( AND( OFFSET($A$1, 6 - 1, 59 - 1) = "1", OFFSET($A$1, 6 - 1, 60 - 1) = "0" ), 2, IF( AND( OFFSET($A$1, 6 - 1, 59 - 1) = "0", OFFSET($A$1, 6 - 1, 60 - 1) = "1" ), 3, 4 ) ) )</f>
        <v>4</v>
      </c>
    </row>
    <row r="7" spans="2:61" x14ac:dyDescent="0.25">
      <c r="BA7" s="3">
        <v>3.1878304960592696E-3</v>
      </c>
      <c r="BB7" s="3" t="str">
        <f>"0"</f>
        <v>0</v>
      </c>
      <c r="BC7" t="str">
        <f ca="1">IF((OFFSET($A$1, 7 - 1, 53 - 1)) &gt;= (OFFSET($A$1, 88 - 1, 7 - 1)), "1","0")</f>
        <v>0</v>
      </c>
      <c r="BD7">
        <f ca="1" xml:space="preserve"> IF( AND( OFFSET($A$1, 7 - 1, 54 - 1) = "1", OFFSET($A$1, 7 - 1, 55 - 1) = "1" ), 1, IF( AND( OFFSET($A$1, 7 - 1, 54 - 1) = "1", OFFSET($A$1, 7 - 1, 55 - 1) = "0" ), 2, IF( AND( OFFSET($A$1, 7 - 1, 54 - 1) = "0", OFFSET($A$1, 7 - 1, 55 - 1) = "1" ), 3, 4 ) ) )</f>
        <v>4</v>
      </c>
      <c r="BF7" s="3">
        <v>1.7700399554008261E-2</v>
      </c>
      <c r="BG7" s="3" t="str">
        <f>"1"</f>
        <v>1</v>
      </c>
      <c r="BH7" t="str">
        <f ca="1">IF((OFFSET($A$1, 7 - 1, 58 - 1)) &gt;= (OFFSET($A$1, 112 - 1, 7 - 1)), "1","0")</f>
        <v>0</v>
      </c>
      <c r="BI7">
        <f ca="1" xml:space="preserve"> IF( AND( OFFSET($A$1, 7 - 1, 59 - 1) = "1", OFFSET($A$1, 7 - 1, 60 - 1) = "1" ), 1, IF( AND( OFFSET($A$1, 7 - 1, 59 - 1) = "1", OFFSET($A$1, 7 - 1, 60 - 1) = "0" ), 2, IF( AND( OFFSET($A$1, 7 - 1, 59 - 1) = "0", OFFSET($A$1, 7 - 1, 60 - 1) = "1" ), 3, 4 ) ) )</f>
        <v>2</v>
      </c>
    </row>
    <row r="8" spans="2:61" x14ac:dyDescent="0.25">
      <c r="BA8" s="3">
        <v>2.1604411675304205E-2</v>
      </c>
      <c r="BB8" s="3" t="str">
        <f>"0"</f>
        <v>0</v>
      </c>
      <c r="BC8" t="str">
        <f ca="1">IF((OFFSET($A$1, 8 - 1, 53 - 1)) &gt;= (OFFSET($A$1, 88 - 1, 7 - 1)), "1","0")</f>
        <v>0</v>
      </c>
      <c r="BD8">
        <f ca="1" xml:space="preserve"> IF( AND( OFFSET($A$1, 8 - 1, 54 - 1) = "1", OFFSET($A$1, 8 - 1, 55 - 1) = "1" ), 1, IF( AND( OFFSET($A$1, 8 - 1, 54 - 1) = "1", OFFSET($A$1, 8 - 1, 55 - 1) = "0" ), 2, IF( AND( OFFSET($A$1, 8 - 1, 54 - 1) = "0", OFFSET($A$1, 8 - 1, 55 - 1) = "1" ), 3, 4 ) ) )</f>
        <v>4</v>
      </c>
      <c r="BF8" s="3">
        <v>1.0993894321078364E-2</v>
      </c>
      <c r="BG8" s="3" t="str">
        <f>"0"</f>
        <v>0</v>
      </c>
      <c r="BH8" t="str">
        <f ca="1">IF((OFFSET($A$1, 8 - 1, 58 - 1)) &gt;= (OFFSET($A$1, 112 - 1, 7 - 1)), "1","0")</f>
        <v>0</v>
      </c>
      <c r="BI8">
        <f ca="1" xml:space="preserve"> IF( AND( OFFSET($A$1, 8 - 1, 59 - 1) = "1", OFFSET($A$1, 8 - 1, 60 - 1) = "1" ), 1, IF( AND( OFFSET($A$1, 8 - 1, 59 - 1) = "1", OFFSET($A$1, 8 - 1, 60 - 1) = "0" ), 2, IF( AND( OFFSET($A$1, 8 - 1, 59 - 1) = "0", OFFSET($A$1, 8 - 1, 60 - 1) = "1" ), 3, 4 ) ) )</f>
        <v>4</v>
      </c>
    </row>
    <row r="9" spans="2:61" x14ac:dyDescent="0.25">
      <c r="BA9" s="3">
        <v>0.24638221057443288</v>
      </c>
      <c r="BB9" s="3" t="str">
        <f>"0"</f>
        <v>0</v>
      </c>
      <c r="BC9" t="str">
        <f ca="1">IF((OFFSET($A$1, 9 - 1, 53 - 1)) &gt;= (OFFSET($A$1, 88 - 1, 7 - 1)), "1","0")</f>
        <v>0</v>
      </c>
      <c r="BD9">
        <f ca="1" xml:space="preserve"> IF( AND( OFFSET($A$1, 9 - 1, 54 - 1) = "1", OFFSET($A$1, 9 - 1, 55 - 1) = "1" ), 1, IF( AND( OFFSET($A$1, 9 - 1, 54 - 1) = "1", OFFSET($A$1, 9 - 1, 55 - 1) = "0" ), 2, IF( AND( OFFSET($A$1, 9 - 1, 54 - 1) = "0", OFFSET($A$1, 9 - 1, 55 - 1) = "1" ), 3, 4 ) ) )</f>
        <v>4</v>
      </c>
      <c r="BF9" s="3">
        <v>3.6620728668807429E-7</v>
      </c>
      <c r="BG9" s="3" t="str">
        <f>"0"</f>
        <v>0</v>
      </c>
      <c r="BH9" t="str">
        <f ca="1">IF((OFFSET($A$1, 9 - 1, 58 - 1)) &gt;= (OFFSET($A$1, 112 - 1, 7 - 1)), "1","0")</f>
        <v>0</v>
      </c>
      <c r="BI9">
        <f ca="1" xml:space="preserve"> IF( AND( OFFSET($A$1, 9 - 1, 59 - 1) = "1", OFFSET($A$1, 9 - 1, 60 - 1) = "1" ), 1, IF( AND( OFFSET($A$1, 9 - 1, 59 - 1) = "1", OFFSET($A$1, 9 - 1, 60 - 1) = "0" ), 2, IF( AND( OFFSET($A$1, 9 - 1, 59 - 1) = "0", OFFSET($A$1, 9 - 1, 60 - 1) = "1" ), 3, 4 ) ) )</f>
        <v>4</v>
      </c>
    </row>
    <row r="10" spans="2:61" ht="18.75" x14ac:dyDescent="0.3">
      <c r="B10" s="21" t="s">
        <v>249</v>
      </c>
      <c r="BA10" s="3">
        <v>0.79798072657133046</v>
      </c>
      <c r="BB10" s="3" t="str">
        <f>"1"</f>
        <v>1</v>
      </c>
      <c r="BC10" t="str">
        <f ca="1">IF((OFFSET($A$1, 10 - 1, 53 - 1)) &gt;= (OFFSET($A$1, 88 - 1, 7 - 1)), "1","0")</f>
        <v>1</v>
      </c>
      <c r="BD10">
        <f ca="1" xml:space="preserve"> IF( AND( OFFSET($A$1, 10 - 1, 54 - 1) = "1", OFFSET($A$1, 10 - 1, 55 - 1) = "1" ), 1, IF( AND( OFFSET($A$1, 10 - 1, 54 - 1) = "1", OFFSET($A$1, 10 - 1, 55 - 1) = "0" ), 2, IF( AND( OFFSET($A$1, 10 - 1, 54 - 1) = "0", OFFSET($A$1, 10 - 1, 55 - 1) = "1" ), 3, 4 ) ) )</f>
        <v>1</v>
      </c>
      <c r="BF10" s="3">
        <v>9.2172169115320862E-2</v>
      </c>
      <c r="BG10" s="3" t="str">
        <f>"0"</f>
        <v>0</v>
      </c>
      <c r="BH10" t="str">
        <f ca="1">IF((OFFSET($A$1, 10 - 1, 58 - 1)) &gt;= (OFFSET($A$1, 112 - 1, 7 - 1)), "1","0")</f>
        <v>0</v>
      </c>
      <c r="BI10">
        <f ca="1" xml:space="preserve"> IF( AND( OFFSET($A$1, 10 - 1, 59 - 1) = "1", OFFSET($A$1, 10 - 1, 60 - 1) = "1" ), 1, IF( AND( OFFSET($A$1, 10 - 1, 59 - 1) = "1", OFFSET($A$1, 10 - 1, 60 - 1) = "0" ), 2, IF( AND( OFFSET($A$1, 10 - 1, 59 - 1) = "0", OFFSET($A$1, 10 - 1, 60 - 1) = "1" ), 3, 4 ) ) )</f>
        <v>4</v>
      </c>
    </row>
    <row r="11" spans="2:61" x14ac:dyDescent="0.25">
      <c r="BA11" s="3">
        <v>5.421944068954285E-6</v>
      </c>
      <c r="BB11" s="3" t="str">
        <f>"0"</f>
        <v>0</v>
      </c>
      <c r="BC11" t="str">
        <f ca="1">IF((OFFSET($A$1, 11 - 1, 53 - 1)) &gt;= (OFFSET($A$1, 88 - 1, 7 - 1)), "1","0")</f>
        <v>0</v>
      </c>
      <c r="BD11">
        <f ca="1" xml:space="preserve"> IF( AND( OFFSET($A$1, 11 - 1, 54 - 1) = "1", OFFSET($A$1, 11 - 1, 55 - 1) = "1" ), 1, IF( AND( OFFSET($A$1, 11 - 1, 54 - 1) = "1", OFFSET($A$1, 11 - 1, 55 - 1) = "0" ), 2, IF( AND( OFFSET($A$1, 11 - 1, 54 - 1) = "0", OFFSET($A$1, 11 - 1, 55 - 1) = "1" ), 3, 4 ) ) )</f>
        <v>4</v>
      </c>
      <c r="BF11" s="3">
        <v>0.14132294827706593</v>
      </c>
      <c r="BG11" s="3" t="str">
        <f>"0"</f>
        <v>0</v>
      </c>
      <c r="BH11" t="str">
        <f ca="1">IF((OFFSET($A$1, 11 - 1, 58 - 1)) &gt;= (OFFSET($A$1, 112 - 1, 7 - 1)), "1","0")</f>
        <v>0</v>
      </c>
      <c r="BI11">
        <f ca="1" xml:space="preserve"> IF( AND( OFFSET($A$1, 11 - 1, 59 - 1) = "1", OFFSET($A$1, 11 - 1, 60 - 1) = "1" ), 1, IF( AND( OFFSET($A$1, 11 - 1, 59 - 1) = "1", OFFSET($A$1, 11 - 1, 60 - 1) = "0" ), 2, IF( AND( OFFSET($A$1, 11 - 1, 59 - 1) = "0", OFFSET($A$1, 11 - 1, 60 - 1) = "1" ), 3, 4 ) ) )</f>
        <v>4</v>
      </c>
    </row>
    <row r="12" spans="2:61" ht="15.75" x14ac:dyDescent="0.25">
      <c r="C12" s="6" t="s">
        <v>195</v>
      </c>
      <c r="D12" s="7"/>
      <c r="E12" s="7"/>
      <c r="F12" s="7"/>
      <c r="G12" s="7"/>
      <c r="H12" s="7"/>
      <c r="I12" s="7"/>
      <c r="J12" s="7"/>
      <c r="K12" s="8"/>
      <c r="BA12" s="3">
        <v>1.7700399554008261E-2</v>
      </c>
      <c r="BB12" s="3" t="str">
        <f>"0"</f>
        <v>0</v>
      </c>
      <c r="BC12" t="str">
        <f ca="1">IF((OFFSET($A$1, 12 - 1, 53 - 1)) &gt;= (OFFSET($A$1, 88 - 1, 7 - 1)), "1","0")</f>
        <v>0</v>
      </c>
      <c r="BD12">
        <f ca="1" xml:space="preserve"> IF( AND( OFFSET($A$1, 12 - 1, 54 - 1) = "1", OFFSET($A$1, 12 - 1, 55 - 1) = "1" ), 1, IF( AND( OFFSET($A$1, 12 - 1, 54 - 1) = "1", OFFSET($A$1, 12 - 1, 55 - 1) = "0" ), 2, IF( AND( OFFSET($A$1, 12 - 1, 54 - 1) = "0", OFFSET($A$1, 12 - 1, 55 - 1) = "1" ), 3, 4 ) ) )</f>
        <v>4</v>
      </c>
      <c r="BF12" s="3">
        <v>3.6620728668807429E-7</v>
      </c>
      <c r="BG12" s="3" t="str">
        <f>"0"</f>
        <v>0</v>
      </c>
      <c r="BH12" t="str">
        <f ca="1">IF((OFFSET($A$1, 12 - 1, 58 - 1)) &gt;= (OFFSET($A$1, 112 - 1, 7 - 1)), "1","0")</f>
        <v>0</v>
      </c>
      <c r="BI12">
        <f ca="1" xml:space="preserve"> IF( AND( OFFSET($A$1, 12 - 1, 59 - 1) = "1", OFFSET($A$1, 12 - 1, 60 - 1) = "1" ), 1, IF( AND( OFFSET($A$1, 12 - 1, 59 - 1) = "1", OFFSET($A$1, 12 - 1, 60 - 1) = "0" ), 2, IF( AND( OFFSET($A$1, 12 - 1, 59 - 1) = "0", OFFSET($A$1, 12 - 1, 60 - 1) = "1" ), 3, 4 ) ) )</f>
        <v>4</v>
      </c>
    </row>
    <row r="13" spans="2:61" x14ac:dyDescent="0.25">
      <c r="C13" s="9" t="s">
        <v>260</v>
      </c>
      <c r="D13" s="10"/>
      <c r="E13" s="10"/>
      <c r="F13" s="11"/>
      <c r="G13" s="15" t="s">
        <v>261</v>
      </c>
      <c r="H13" s="16"/>
      <c r="I13" s="16"/>
      <c r="J13" s="16"/>
      <c r="K13" s="17"/>
      <c r="BA13" s="3">
        <v>7.1282402524274091E-2</v>
      </c>
      <c r="BB13" s="3" t="str">
        <f>"0"</f>
        <v>0</v>
      </c>
      <c r="BC13" t="str">
        <f ca="1">IF((OFFSET($A$1, 13 - 1, 53 - 1)) &gt;= (OFFSET($A$1, 88 - 1, 7 - 1)), "1","0")</f>
        <v>0</v>
      </c>
      <c r="BD13">
        <f ca="1" xml:space="preserve"> IF( AND( OFFSET($A$1, 13 - 1, 54 - 1) = "1", OFFSET($A$1, 13 - 1, 55 - 1) = "1" ), 1, IF( AND( OFFSET($A$1, 13 - 1, 54 - 1) = "1", OFFSET($A$1, 13 - 1, 55 - 1) = "0" ), 2, IF( AND( OFFSET($A$1, 13 - 1, 54 - 1) = "0", OFFSET($A$1, 13 - 1, 55 - 1) = "1" ), 3, 4 ) ) )</f>
        <v>4</v>
      </c>
      <c r="BF13" s="3">
        <v>1.3438952087404268E-2</v>
      </c>
      <c r="BG13" s="3" t="str">
        <f>"0"</f>
        <v>0</v>
      </c>
      <c r="BH13" t="str">
        <f ca="1">IF((OFFSET($A$1, 13 - 1, 58 - 1)) &gt;= (OFFSET($A$1, 112 - 1, 7 - 1)), "1","0")</f>
        <v>0</v>
      </c>
      <c r="BI13">
        <f ca="1" xml:space="preserve"> IF( AND( OFFSET($A$1, 13 - 1, 59 - 1) = "1", OFFSET($A$1, 13 - 1, 60 - 1) = "1" ), 1, IF( AND( OFFSET($A$1, 13 - 1, 59 - 1) = "1", OFFSET($A$1, 13 - 1, 60 - 1) = "0" ), 2, IF( AND( OFFSET($A$1, 13 - 1, 59 - 1) = "0", OFFSET($A$1, 13 - 1, 60 - 1) = "1" ), 3, 4 ) ) )</f>
        <v>4</v>
      </c>
    </row>
    <row r="14" spans="2:61" x14ac:dyDescent="0.25">
      <c r="C14" s="9" t="s">
        <v>262</v>
      </c>
      <c r="D14" s="10"/>
      <c r="E14" s="10"/>
      <c r="F14" s="11"/>
      <c r="G14" s="15" t="s">
        <v>263</v>
      </c>
      <c r="H14" s="16"/>
      <c r="I14" s="16"/>
      <c r="J14" s="16"/>
      <c r="K14" s="17"/>
      <c r="BA14" s="3">
        <v>0.14132294827706593</v>
      </c>
      <c r="BB14" s="3" t="str">
        <f>"0"</f>
        <v>0</v>
      </c>
      <c r="BC14" t="str">
        <f ca="1">IF((OFFSET($A$1, 14 - 1, 53 - 1)) &gt;= (OFFSET($A$1, 88 - 1, 7 - 1)), "1","0")</f>
        <v>0</v>
      </c>
      <c r="BD14">
        <f ca="1" xml:space="preserve"> IF( AND( OFFSET($A$1, 14 - 1, 54 - 1) = "1", OFFSET($A$1, 14 - 1, 55 - 1) = "1" ), 1, IF( AND( OFFSET($A$1, 14 - 1, 54 - 1) = "1", OFFSET($A$1, 14 - 1, 55 - 1) = "0" ), 2, IF( AND( OFFSET($A$1, 14 - 1, 54 - 1) = "0", OFFSET($A$1, 14 - 1, 55 - 1) = "1" ), 3, 4 ) ) )</f>
        <v>4</v>
      </c>
      <c r="BF14" s="3">
        <v>7.1282402524274091E-2</v>
      </c>
      <c r="BG14" s="3" t="str">
        <f>"0"</f>
        <v>0</v>
      </c>
      <c r="BH14" t="str">
        <f ca="1">IF((OFFSET($A$1, 14 - 1, 58 - 1)) &gt;= (OFFSET($A$1, 112 - 1, 7 - 1)), "1","0")</f>
        <v>0</v>
      </c>
      <c r="BI14">
        <f ca="1" xml:space="preserve"> IF( AND( OFFSET($A$1, 14 - 1, 59 - 1) = "1", OFFSET($A$1, 14 - 1, 60 - 1) = "1" ), 1, IF( AND( OFFSET($A$1, 14 - 1, 59 - 1) = "1", OFFSET($A$1, 14 - 1, 60 - 1) = "0" ), 2, IF( AND( OFFSET($A$1, 14 - 1, 59 - 1) = "0", OFFSET($A$1, 14 - 1, 60 - 1) = "1" ), 3, 4 ) ) )</f>
        <v>4</v>
      </c>
    </row>
    <row r="15" spans="2:61" x14ac:dyDescent="0.25">
      <c r="C15" s="9" t="s">
        <v>264</v>
      </c>
      <c r="D15" s="10"/>
      <c r="E15" s="10"/>
      <c r="F15" s="11"/>
      <c r="G15" s="15" t="s">
        <v>265</v>
      </c>
      <c r="H15" s="16"/>
      <c r="I15" s="16"/>
      <c r="J15" s="16"/>
      <c r="K15" s="17"/>
      <c r="BA15" s="3">
        <v>0.48115079125216564</v>
      </c>
      <c r="BB15" s="3" t="str">
        <f>"1"</f>
        <v>1</v>
      </c>
      <c r="BC15" t="str">
        <f ca="1">IF((OFFSET($A$1, 15 - 1, 53 - 1)) &gt;= (OFFSET($A$1, 88 - 1, 7 - 1)), "1","0")</f>
        <v>0</v>
      </c>
      <c r="BD15">
        <f ca="1" xml:space="preserve"> IF( AND( OFFSET($A$1, 15 - 1, 54 - 1) = "1", OFFSET($A$1, 15 - 1, 55 - 1) = "1" ), 1, IF( AND( OFFSET($A$1, 15 - 1, 54 - 1) = "1", OFFSET($A$1, 15 - 1, 55 - 1) = "0" ), 2, IF( AND( OFFSET($A$1, 15 - 1, 54 - 1) = "0", OFFSET($A$1, 15 - 1, 55 - 1) = "1" ), 3, 4 ) ) )</f>
        <v>2</v>
      </c>
      <c r="BF15" s="3">
        <v>0.21060310263472926</v>
      </c>
      <c r="BG15" s="3" t="str">
        <f>"1"</f>
        <v>1</v>
      </c>
      <c r="BH15" t="str">
        <f ca="1">IF((OFFSET($A$1, 15 - 1, 58 - 1)) &gt;= (OFFSET($A$1, 112 - 1, 7 - 1)), "1","0")</f>
        <v>0</v>
      </c>
      <c r="BI15">
        <f ca="1" xml:space="preserve"> IF( AND( OFFSET($A$1, 15 - 1, 59 - 1) = "1", OFFSET($A$1, 15 - 1, 60 - 1) = "1" ), 1, IF( AND( OFFSET($A$1, 15 - 1, 59 - 1) = "1", OFFSET($A$1, 15 - 1, 60 - 1) = "0" ), 2, IF( AND( OFFSET($A$1, 15 - 1, 59 - 1) = "0", OFFSET($A$1, 15 - 1, 60 - 1) = "1" ), 3, 4 ) ) )</f>
        <v>2</v>
      </c>
    </row>
    <row r="16" spans="2:61" x14ac:dyDescent="0.25">
      <c r="C16" s="9" t="s">
        <v>266</v>
      </c>
      <c r="D16" s="10"/>
      <c r="E16" s="10"/>
      <c r="F16" s="11"/>
      <c r="G16" s="15">
        <v>105</v>
      </c>
      <c r="H16" s="16"/>
      <c r="I16" s="16"/>
      <c r="J16" s="16"/>
      <c r="K16" s="17"/>
      <c r="BA16" s="3">
        <v>2.0634001480377549E-6</v>
      </c>
      <c r="BB16" s="3" t="str">
        <f>"0"</f>
        <v>0</v>
      </c>
      <c r="BC16" t="str">
        <f ca="1">IF((OFFSET($A$1, 16 - 1, 53 - 1)) &gt;= (OFFSET($A$1, 88 - 1, 7 - 1)), "1","0")</f>
        <v>0</v>
      </c>
      <c r="BD16">
        <f ca="1" xml:space="preserve"> IF( AND( OFFSET($A$1, 16 - 1, 54 - 1) = "1", OFFSET($A$1, 16 - 1, 55 - 1) = "1" ), 1, IF( AND( OFFSET($A$1, 16 - 1, 54 - 1) = "1", OFFSET($A$1, 16 - 1, 55 - 1) = "0" ), 2, IF( AND( OFFSET($A$1, 16 - 1, 54 - 1) = "0", OFFSET($A$1, 16 - 1, 55 - 1) = "1" ), 3, 4 ) ) )</f>
        <v>4</v>
      </c>
      <c r="BF16" s="3">
        <v>0.19817180610473076</v>
      </c>
      <c r="BG16" s="3" t="str">
        <f>"0"</f>
        <v>0</v>
      </c>
      <c r="BH16" t="str">
        <f ca="1">IF((OFFSET($A$1, 16 - 1, 58 - 1)) &gt;= (OFFSET($A$1, 112 - 1, 7 - 1)), "1","0")</f>
        <v>0</v>
      </c>
      <c r="BI16">
        <f ca="1" xml:space="preserve"> IF( AND( OFFSET($A$1, 16 - 1, 59 - 1) = "1", OFFSET($A$1, 16 - 1, 60 - 1) = "1" ), 1, IF( AND( OFFSET($A$1, 16 - 1, 59 - 1) = "1", OFFSET($A$1, 16 - 1, 60 - 1) = "0" ), 2, IF( AND( OFFSET($A$1, 16 - 1, 59 - 1) = "0", OFFSET($A$1, 16 - 1, 60 - 1) = "1" ), 3, 4 ) ) )</f>
        <v>4</v>
      </c>
    </row>
    <row r="17" spans="3:61" x14ac:dyDescent="0.25">
      <c r="C17" s="9" t="s">
        <v>267</v>
      </c>
      <c r="D17" s="10"/>
      <c r="E17" s="10"/>
      <c r="F17" s="11"/>
      <c r="G17" s="15" t="s">
        <v>268</v>
      </c>
      <c r="H17" s="16"/>
      <c r="I17" s="16"/>
      <c r="J17" s="16"/>
      <c r="K17" s="17"/>
      <c r="BA17" s="3">
        <v>1.5598614128214656E-6</v>
      </c>
      <c r="BB17" s="3" t="str">
        <f>"0"</f>
        <v>0</v>
      </c>
      <c r="BC17" t="str">
        <f ca="1">IF((OFFSET($A$1, 17 - 1, 53 - 1)) &gt;= (OFFSET($A$1, 88 - 1, 7 - 1)), "1","0")</f>
        <v>0</v>
      </c>
      <c r="BD17">
        <f ca="1" xml:space="preserve"> IF( AND( OFFSET($A$1, 17 - 1, 54 - 1) = "1", OFFSET($A$1, 17 - 1, 55 - 1) = "1" ), 1, IF( AND( OFFSET($A$1, 17 - 1, 54 - 1) = "1", OFFSET($A$1, 17 - 1, 55 - 1) = "0" ), 2, IF( AND( OFFSET($A$1, 17 - 1, 54 - 1) = "0", OFFSET($A$1, 17 - 1, 55 - 1) = "1" ), 3, 4 ) ) )</f>
        <v>4</v>
      </c>
      <c r="BF17" s="3">
        <v>5.1573050710925989E-3</v>
      </c>
      <c r="BG17" s="3" t="str">
        <f>"0"</f>
        <v>0</v>
      </c>
      <c r="BH17" t="str">
        <f ca="1">IF((OFFSET($A$1, 17 - 1, 58 - 1)) &gt;= (OFFSET($A$1, 112 - 1, 7 - 1)), "1","0")</f>
        <v>0</v>
      </c>
      <c r="BI17">
        <f ca="1" xml:space="preserve"> IF( AND( OFFSET($A$1, 17 - 1, 59 - 1) = "1", OFFSET($A$1, 17 - 1, 60 - 1) = "1" ), 1, IF( AND( OFFSET($A$1, 17 - 1, 59 - 1) = "1", OFFSET($A$1, 17 - 1, 60 - 1) = "0" ), 2, IF( AND( OFFSET($A$1, 17 - 1, 59 - 1) = "0", OFFSET($A$1, 17 - 1, 60 - 1) = "1" ), 3, 4 ) ) )</f>
        <v>4</v>
      </c>
    </row>
    <row r="18" spans="3:61" x14ac:dyDescent="0.25">
      <c r="C18" s="9" t="s">
        <v>269</v>
      </c>
      <c r="D18" s="10"/>
      <c r="E18" s="10"/>
      <c r="F18" s="11"/>
      <c r="G18" s="15">
        <v>66</v>
      </c>
      <c r="H18" s="16"/>
      <c r="I18" s="16"/>
      <c r="J18" s="16"/>
      <c r="K18" s="17"/>
      <c r="BA18" s="3">
        <v>8.3333692094780497E-3</v>
      </c>
      <c r="BB18" s="3" t="str">
        <f>"0"</f>
        <v>0</v>
      </c>
      <c r="BC18" t="str">
        <f ca="1">IF((OFFSET($A$1, 18 - 1, 53 - 1)) &gt;= (OFFSET($A$1, 88 - 1, 7 - 1)), "1","0")</f>
        <v>0</v>
      </c>
      <c r="BD18">
        <f ca="1" xml:space="preserve"> IF( AND( OFFSET($A$1, 18 - 1, 54 - 1) = "1", OFFSET($A$1, 18 - 1, 55 - 1) = "1" ), 1, IF( AND( OFFSET($A$1, 18 - 1, 54 - 1) = "1", OFFSET($A$1, 18 - 1, 55 - 1) = "0" ), 2, IF( AND( OFFSET($A$1, 18 - 1, 54 - 1) = "0", OFFSET($A$1, 18 - 1, 55 - 1) = "1" ), 3, 4 ) ) )</f>
        <v>4</v>
      </c>
      <c r="BF18" s="3">
        <v>2.1604411675304205E-2</v>
      </c>
      <c r="BG18" s="3" t="str">
        <f>"0"</f>
        <v>0</v>
      </c>
      <c r="BH18" t="str">
        <f ca="1">IF((OFFSET($A$1, 18 - 1, 58 - 1)) &gt;= (OFFSET($A$1, 112 - 1, 7 - 1)), "1","0")</f>
        <v>0</v>
      </c>
      <c r="BI18">
        <f ca="1" xml:space="preserve"> IF( AND( OFFSET($A$1, 18 - 1, 59 - 1) = "1", OFFSET($A$1, 18 - 1, 60 - 1) = "1" ), 1, IF( AND( OFFSET($A$1, 18 - 1, 59 - 1) = "1", OFFSET($A$1, 18 - 1, 60 - 1) = "0" ), 2, IF( AND( OFFSET($A$1, 18 - 1, 59 - 1) = "0", OFFSET($A$1, 18 - 1, 60 - 1) = "1" ), 3, 4 ) ) )</f>
        <v>4</v>
      </c>
    </row>
    <row r="19" spans="3:61" x14ac:dyDescent="0.25">
      <c r="BA19" s="3">
        <v>9.2172169115320862E-2</v>
      </c>
      <c r="BB19" s="3" t="str">
        <f>"0"</f>
        <v>0</v>
      </c>
      <c r="BC19" t="str">
        <f ca="1">IF((OFFSET($A$1, 19 - 1, 53 - 1)) &gt;= (OFFSET($A$1, 88 - 1, 7 - 1)), "1","0")</f>
        <v>0</v>
      </c>
      <c r="BD19">
        <f ca="1" xml:space="preserve"> IF( AND( OFFSET($A$1, 19 - 1, 54 - 1) = "1", OFFSET($A$1, 19 - 1, 55 - 1) = "1" ), 1, IF( AND( OFFSET($A$1, 19 - 1, 54 - 1) = "1", OFFSET($A$1, 19 - 1, 55 - 1) = "0" ), 2, IF( AND( OFFSET($A$1, 19 - 1, 54 - 1) = "0", OFFSET($A$1, 19 - 1, 55 - 1) = "1" ), 3, 4 ) ) )</f>
        <v>4</v>
      </c>
      <c r="BF19" s="3">
        <v>1.7700399554008261E-2</v>
      </c>
      <c r="BG19" s="3" t="str">
        <f>"0"</f>
        <v>0</v>
      </c>
      <c r="BH19" t="str">
        <f ca="1">IF((OFFSET($A$1, 19 - 1, 58 - 1)) &gt;= (OFFSET($A$1, 112 - 1, 7 - 1)), "1","0")</f>
        <v>0</v>
      </c>
      <c r="BI19">
        <f ca="1" xml:space="preserve"> IF( AND( OFFSET($A$1, 19 - 1, 59 - 1) = "1", OFFSET($A$1, 19 - 1, 60 - 1) = "1" ), 1, IF( AND( OFFSET($A$1, 19 - 1, 59 - 1) = "1", OFFSET($A$1, 19 - 1, 60 - 1) = "0" ), 2, IF( AND( OFFSET($A$1, 19 - 1, 59 - 1) = "0", OFFSET($A$1, 19 - 1, 60 - 1) = "1" ), 3, 4 ) ) )</f>
        <v>4</v>
      </c>
    </row>
    <row r="20" spans="3:61" ht="15.75" x14ac:dyDescent="0.25">
      <c r="C20" s="6" t="s">
        <v>270</v>
      </c>
      <c r="D20" s="7"/>
      <c r="E20" s="7"/>
      <c r="F20" s="7"/>
      <c r="G20" s="8"/>
      <c r="BA20" s="3">
        <v>0.83936083362001224</v>
      </c>
      <c r="BB20" s="3" t="str">
        <f>"1"</f>
        <v>1</v>
      </c>
      <c r="BC20" t="str">
        <f ca="1">IF((OFFSET($A$1, 20 - 1, 53 - 1)) &gt;= (OFFSET($A$1, 88 - 1, 7 - 1)), "1","0")</f>
        <v>1</v>
      </c>
      <c r="BD20">
        <f ca="1" xml:space="preserve"> IF( AND( OFFSET($A$1, 20 - 1, 54 - 1) = "1", OFFSET($A$1, 20 - 1, 55 - 1) = "1" ), 1, IF( AND( OFFSET($A$1, 20 - 1, 54 - 1) = "1", OFFSET($A$1, 20 - 1, 55 - 1) = "0" ), 2, IF( AND( OFFSET($A$1, 20 - 1, 54 - 1) = "0", OFFSET($A$1, 20 - 1, 55 - 1) = "1" ), 3, 4 ) ) )</f>
        <v>1</v>
      </c>
      <c r="BF20" s="3">
        <v>0.89440345855315417</v>
      </c>
      <c r="BG20" s="3" t="str">
        <f>"1"</f>
        <v>1</v>
      </c>
      <c r="BH20" t="str">
        <f ca="1">IF((OFFSET($A$1, 20 - 1, 58 - 1)) &gt;= (OFFSET($A$1, 112 - 1, 7 - 1)), "1","0")</f>
        <v>1</v>
      </c>
      <c r="BI20">
        <f ca="1" xml:space="preserve"> IF( AND( OFFSET($A$1, 20 - 1, 59 - 1) = "1", OFFSET($A$1, 20 - 1, 60 - 1) = "1" ), 1, IF( AND( OFFSET($A$1, 20 - 1, 59 - 1) = "1", OFFSET($A$1, 20 - 1, 60 - 1) = "0" ), 2, IF( AND( OFFSET($A$1, 20 - 1, 59 - 1) = "0", OFFSET($A$1, 20 - 1, 60 - 1) = "1" ), 3, 4 ) ) )</f>
        <v>1</v>
      </c>
    </row>
    <row r="21" spans="3:61" x14ac:dyDescent="0.25">
      <c r="C21" s="9" t="s">
        <v>271</v>
      </c>
      <c r="D21" s="11"/>
      <c r="E21" s="15">
        <v>3</v>
      </c>
      <c r="F21" s="16"/>
      <c r="G21" s="17"/>
      <c r="BA21" s="3">
        <v>1.4045006897918575E-4</v>
      </c>
      <c r="BB21" s="3" t="str">
        <f>"0"</f>
        <v>0</v>
      </c>
      <c r="BC21" t="str">
        <f ca="1">IF((OFFSET($A$1, 21 - 1, 53 - 1)) &gt;= (OFFSET($A$1, 88 - 1, 7 - 1)), "1","0")</f>
        <v>0</v>
      </c>
      <c r="BD21">
        <f ca="1" xml:space="preserve"> IF( AND( OFFSET($A$1, 21 - 1, 54 - 1) = "1", OFFSET($A$1, 21 - 1, 55 - 1) = "1" ), 1, IF( AND( OFFSET($A$1, 21 - 1, 54 - 1) = "1", OFFSET($A$1, 21 - 1, 55 - 1) = "0" ), 2, IF( AND( OFFSET($A$1, 21 - 1, 54 - 1) = "0", OFFSET($A$1, 21 - 1, 55 - 1) = "1" ), 3, 4 ) ) )</f>
        <v>4</v>
      </c>
      <c r="BF21" s="3">
        <v>3.4557390307132202E-2</v>
      </c>
      <c r="BG21" s="3" t="str">
        <f>"1"</f>
        <v>1</v>
      </c>
      <c r="BH21" t="str">
        <f ca="1">IF((OFFSET($A$1, 21 - 1, 58 - 1)) &gt;= (OFFSET($A$1, 112 - 1, 7 - 1)), "1","0")</f>
        <v>0</v>
      </c>
      <c r="BI21">
        <f ca="1" xml:space="preserve"> IF( AND( OFFSET($A$1, 21 - 1, 59 - 1) = "1", OFFSET($A$1, 21 - 1, 60 - 1) = "1" ), 1, IF( AND( OFFSET($A$1, 21 - 1, 59 - 1) = "1", OFFSET($A$1, 21 - 1, 60 - 1) = "0" ), 2, IF( AND( OFFSET($A$1, 21 - 1, 59 - 1) = "0", OFFSET($A$1, 21 - 1, 60 - 1) = "1" ), 3, 4 ) ) )</f>
        <v>2</v>
      </c>
    </row>
    <row r="22" spans="3:61" x14ac:dyDescent="0.25">
      <c r="C22" s="9" t="s">
        <v>272</v>
      </c>
      <c r="D22" s="11"/>
      <c r="E22" s="3" t="s">
        <v>2</v>
      </c>
      <c r="F22" s="3" t="s">
        <v>3</v>
      </c>
      <c r="G22" s="3" t="s">
        <v>4</v>
      </c>
      <c r="BA22" s="3">
        <v>3.1878304960592696E-3</v>
      </c>
      <c r="BB22" s="3" t="str">
        <f>"0"</f>
        <v>0</v>
      </c>
      <c r="BC22" t="str">
        <f ca="1">IF((OFFSET($A$1, 22 - 1, 53 - 1)) &gt;= (OFFSET($A$1, 88 - 1, 7 - 1)), "1","0")</f>
        <v>0</v>
      </c>
      <c r="BD22">
        <f ca="1" xml:space="preserve"> IF( AND( OFFSET($A$1, 22 - 1, 54 - 1) = "1", OFFSET($A$1, 22 - 1, 55 - 1) = "1" ), 1, IF( AND( OFFSET($A$1, 22 - 1, 54 - 1) = "1", OFFSET($A$1, 22 - 1, 55 - 1) = "0" ), 2, IF( AND( OFFSET($A$1, 22 - 1, 54 - 1) = "0", OFFSET($A$1, 22 - 1, 55 - 1) = "1" ), 3, 4 ) ) )</f>
        <v>4</v>
      </c>
      <c r="BF22" s="3">
        <v>0.30190504314012601</v>
      </c>
      <c r="BG22" s="3" t="str">
        <f>"0"</f>
        <v>0</v>
      </c>
      <c r="BH22" t="str">
        <f ca="1">IF((OFFSET($A$1, 22 - 1, 58 - 1)) &gt;= (OFFSET($A$1, 112 - 1, 7 - 1)), "1","0")</f>
        <v>0</v>
      </c>
      <c r="BI22">
        <f ca="1" xml:space="preserve"> IF( AND( OFFSET($A$1, 22 - 1, 59 - 1) = "1", OFFSET($A$1, 22 - 1, 60 - 1) = "1" ), 1, IF( AND( OFFSET($A$1, 22 - 1, 59 - 1) = "1", OFFSET($A$1, 22 - 1, 60 - 1) = "0" ), 2, IF( AND( OFFSET($A$1, 22 - 1, 59 - 1) = "0", OFFSET($A$1, 22 - 1, 60 - 1) = "1" ), 3, 4 ) ) )</f>
        <v>4</v>
      </c>
    </row>
    <row r="23" spans="3:61" x14ac:dyDescent="0.25">
      <c r="C23" s="9" t="s">
        <v>273</v>
      </c>
      <c r="D23" s="11"/>
      <c r="E23" s="12" t="s">
        <v>5</v>
      </c>
      <c r="F23" s="13"/>
      <c r="G23" s="14"/>
      <c r="BA23" s="3">
        <v>1.3438952087404268E-2</v>
      </c>
      <c r="BB23" s="3" t="str">
        <f>"0"</f>
        <v>0</v>
      </c>
      <c r="BC23" t="str">
        <f ca="1">IF((OFFSET($A$1, 23 - 1, 53 - 1)) &gt;= (OFFSET($A$1, 88 - 1, 7 - 1)), "1","0")</f>
        <v>0</v>
      </c>
      <c r="BD23">
        <f ca="1" xml:space="preserve"> IF( AND( OFFSET($A$1, 23 - 1, 54 - 1) = "1", OFFSET($A$1, 23 - 1, 55 - 1) = "1" ), 1, IF( AND( OFFSET($A$1, 23 - 1, 54 - 1) = "1", OFFSET($A$1, 23 - 1, 55 - 1) = "0" ), 2, IF( AND( OFFSET($A$1, 23 - 1, 54 - 1) = "0", OFFSET($A$1, 23 - 1, 55 - 1) = "1" ), 3, 4 ) ) )</f>
        <v>4</v>
      </c>
      <c r="BF23" s="3">
        <v>4.2125609205921309E-3</v>
      </c>
      <c r="BG23" s="3" t="str">
        <f>"0"</f>
        <v>0</v>
      </c>
      <c r="BH23" t="str">
        <f ca="1">IF((OFFSET($A$1, 23 - 1, 58 - 1)) &gt;= (OFFSET($A$1, 112 - 1, 7 - 1)), "1","0")</f>
        <v>0</v>
      </c>
      <c r="BI23">
        <f ca="1" xml:space="preserve"> IF( AND( OFFSET($A$1, 23 - 1, 59 - 1) = "1", OFFSET($A$1, 23 - 1, 60 - 1) = "1" ), 1, IF( AND( OFFSET($A$1, 23 - 1, 59 - 1) = "1", OFFSET($A$1, 23 - 1, 60 - 1) = "0" ), 2, IF( AND( OFFSET($A$1, 23 - 1, 59 - 1) = "0", OFFSET($A$1, 23 - 1, 60 - 1) = "1" ), 3, 4 ) ) )</f>
        <v>4</v>
      </c>
    </row>
    <row r="24" spans="3:61" x14ac:dyDescent="0.25">
      <c r="BA24" s="3">
        <v>1.3438952087404268E-2</v>
      </c>
      <c r="BB24" s="3" t="str">
        <f>"0"</f>
        <v>0</v>
      </c>
      <c r="BC24" t="str">
        <f ca="1">IF((OFFSET($A$1, 24 - 1, 53 - 1)) &gt;= (OFFSET($A$1, 88 - 1, 7 - 1)), "1","0")</f>
        <v>0</v>
      </c>
      <c r="BD24">
        <f ca="1" xml:space="preserve"> IF( AND( OFFSET($A$1, 24 - 1, 54 - 1) = "1", OFFSET($A$1, 24 - 1, 55 - 1) = "1" ), 1, IF( AND( OFFSET($A$1, 24 - 1, 54 - 1) = "1", OFFSET($A$1, 24 - 1, 55 - 1) = "0" ), 2, IF( AND( OFFSET($A$1, 24 - 1, 54 - 1) = "0", OFFSET($A$1, 24 - 1, 55 - 1) = "1" ), 3, 4 ) ) )</f>
        <v>4</v>
      </c>
      <c r="BF24" s="3">
        <v>3.1878304960592696E-3</v>
      </c>
      <c r="BG24" s="3" t="str">
        <f>"0"</f>
        <v>0</v>
      </c>
      <c r="BH24" t="str">
        <f ca="1">IF((OFFSET($A$1, 24 - 1, 58 - 1)) &gt;= (OFFSET($A$1, 112 - 1, 7 - 1)), "1","0")</f>
        <v>0</v>
      </c>
      <c r="BI24">
        <f ca="1" xml:space="preserve"> IF( AND( OFFSET($A$1, 24 - 1, 59 - 1) = "1", OFFSET($A$1, 24 - 1, 60 - 1) = "1" ), 1, IF( AND( OFFSET($A$1, 24 - 1, 59 - 1) = "1", OFFSET($A$1, 24 - 1, 60 - 1) = "0" ), 2, IF( AND( OFFSET($A$1, 24 - 1, 59 - 1) = "0", OFFSET($A$1, 24 - 1, 60 - 1) = "1" ), 3, 4 ) ) )</f>
        <v>4</v>
      </c>
    </row>
    <row r="25" spans="3:61" ht="15.75" x14ac:dyDescent="0.25">
      <c r="C25" s="6" t="s">
        <v>274</v>
      </c>
      <c r="D25" s="7"/>
      <c r="E25" s="7"/>
      <c r="F25" s="7"/>
      <c r="G25" s="7"/>
      <c r="H25" s="7"/>
      <c r="I25" s="7"/>
      <c r="J25" s="8"/>
      <c r="BA25" s="3">
        <v>0.21060310263472926</v>
      </c>
      <c r="BB25" s="3" t="str">
        <f>"1"</f>
        <v>1</v>
      </c>
      <c r="BC25" t="str">
        <f ca="1">IF((OFFSET($A$1, 25 - 1, 53 - 1)) &gt;= (OFFSET($A$1, 88 - 1, 7 - 1)), "1","0")</f>
        <v>0</v>
      </c>
      <c r="BD25">
        <f ca="1" xml:space="preserve"> IF( AND( OFFSET($A$1, 25 - 1, 54 - 1) = "1", OFFSET($A$1, 25 - 1, 55 - 1) = "1" ), 1, IF( AND( OFFSET($A$1, 25 - 1, 54 - 1) = "1", OFFSET($A$1, 25 - 1, 55 - 1) = "0" ), 2, IF( AND( OFFSET($A$1, 25 - 1, 54 - 1) = "0", OFFSET($A$1, 25 - 1, 55 - 1) = "1" ), 3, 4 ) ) )</f>
        <v>2</v>
      </c>
      <c r="BF25" s="3">
        <v>1.9689714364082389E-3</v>
      </c>
      <c r="BG25" s="3" t="str">
        <f>"0"</f>
        <v>0</v>
      </c>
      <c r="BH25" t="str">
        <f ca="1">IF((OFFSET($A$1, 25 - 1, 58 - 1)) &gt;= (OFFSET($A$1, 112 - 1, 7 - 1)), "1","0")</f>
        <v>0</v>
      </c>
      <c r="BI25">
        <f ca="1" xml:space="preserve"> IF( AND( OFFSET($A$1, 25 - 1, 59 - 1) = "1", OFFSET($A$1, 25 - 1, 60 - 1) = "1" ), 1, IF( AND( OFFSET($A$1, 25 - 1, 59 - 1) = "1", OFFSET($A$1, 25 - 1, 60 - 1) = "0" ), 2, IF( AND( OFFSET($A$1, 25 - 1, 59 - 1) = "0", OFFSET($A$1, 25 - 1, 60 - 1) = "1" ), 3, 4 ) ) )</f>
        <v>4</v>
      </c>
    </row>
    <row r="26" spans="3:61" x14ac:dyDescent="0.25">
      <c r="C26" s="9" t="s">
        <v>275</v>
      </c>
      <c r="D26" s="10"/>
      <c r="E26" s="10"/>
      <c r="F26" s="11"/>
      <c r="G26" s="15" t="s">
        <v>276</v>
      </c>
      <c r="H26" s="16"/>
      <c r="I26" s="16"/>
      <c r="J26" s="17"/>
      <c r="BA26" s="3">
        <v>1.9689714364082389E-3</v>
      </c>
      <c r="BB26" s="3" t="str">
        <f>"0"</f>
        <v>0</v>
      </c>
      <c r="BC26" t="str">
        <f ca="1">IF((OFFSET($A$1, 26 - 1, 53 - 1)) &gt;= (OFFSET($A$1, 88 - 1, 7 - 1)), "1","0")</f>
        <v>0</v>
      </c>
      <c r="BD26">
        <f ca="1" xml:space="preserve"> IF( AND( OFFSET($A$1, 26 - 1, 54 - 1) = "1", OFFSET($A$1, 26 - 1, 55 - 1) = "1" ), 1, IF( AND( OFFSET($A$1, 26 - 1, 54 - 1) = "1", OFFSET($A$1, 26 - 1, 55 - 1) = "0" ), 2, IF( AND( OFFSET($A$1, 26 - 1, 54 - 1) = "0", OFFSET($A$1, 26 - 1, 55 - 1) = "1" ), 3, 4 ) ) )</f>
        <v>4</v>
      </c>
      <c r="BF26" s="3">
        <v>7.1282402524274091E-2</v>
      </c>
      <c r="BG26" s="3" t="str">
        <f>"0"</f>
        <v>0</v>
      </c>
      <c r="BH26" t="str">
        <f ca="1">IF((OFFSET($A$1, 26 - 1, 58 - 1)) &gt;= (OFFSET($A$1, 112 - 1, 7 - 1)), "1","0")</f>
        <v>0</v>
      </c>
      <c r="BI26">
        <f ca="1" xml:space="preserve"> IF( AND( OFFSET($A$1, 26 - 1, 59 - 1) = "1", OFFSET($A$1, 26 - 1, 60 - 1) = "1" ), 1, IF( AND( OFFSET($A$1, 26 - 1, 59 - 1) = "1", OFFSET($A$1, 26 - 1, 60 - 1) = "0" ), 2, IF( AND( OFFSET($A$1, 26 - 1, 59 - 1) = "0", OFFSET($A$1, 26 - 1, 60 - 1) = "1" ), 3, 4 ) ) )</f>
        <v>4</v>
      </c>
    </row>
    <row r="27" spans="3:61" x14ac:dyDescent="0.25">
      <c r="C27" s="9" t="s">
        <v>277</v>
      </c>
      <c r="D27" s="10"/>
      <c r="E27" s="10"/>
      <c r="F27" s="11"/>
      <c r="G27" s="15">
        <v>95</v>
      </c>
      <c r="H27" s="16"/>
      <c r="I27" s="16"/>
      <c r="J27" s="17"/>
      <c r="BA27" s="3">
        <v>3.1878304960592696E-3</v>
      </c>
      <c r="BB27" s="3" t="str">
        <f>"0"</f>
        <v>0</v>
      </c>
      <c r="BC27" t="str">
        <f ca="1">IF((OFFSET($A$1, 27 - 1, 53 - 1)) &gt;= (OFFSET($A$1, 88 - 1, 7 - 1)), "1","0")</f>
        <v>0</v>
      </c>
      <c r="BD27">
        <f ca="1" xml:space="preserve"> IF( AND( OFFSET($A$1, 27 - 1, 54 - 1) = "1", OFFSET($A$1, 27 - 1, 55 - 1) = "1" ), 1, IF( AND( OFFSET($A$1, 27 - 1, 54 - 1) = "1", OFFSET($A$1, 27 - 1, 55 - 1) = "0" ), 2, IF( AND( OFFSET($A$1, 27 - 1, 54 - 1) = "0", OFFSET($A$1, 27 - 1, 55 - 1) = "1" ), 3, 4 ) ) )</f>
        <v>4</v>
      </c>
      <c r="BF27" s="3">
        <v>2.8380614261718968E-2</v>
      </c>
      <c r="BG27" s="3" t="str">
        <f>"0"</f>
        <v>0</v>
      </c>
      <c r="BH27" t="str">
        <f ca="1">IF((OFFSET($A$1, 27 - 1, 58 - 1)) &gt;= (OFFSET($A$1, 112 - 1, 7 - 1)), "1","0")</f>
        <v>0</v>
      </c>
      <c r="BI27">
        <f ca="1" xml:space="preserve"> IF( AND( OFFSET($A$1, 27 - 1, 59 - 1) = "1", OFFSET($A$1, 27 - 1, 60 - 1) = "1" ), 1, IF( AND( OFFSET($A$1, 27 - 1, 59 - 1) = "1", OFFSET($A$1, 27 - 1, 60 - 1) = "0" ), 2, IF( AND( OFFSET($A$1, 27 - 1, 59 - 1) = "0", OFFSET($A$1, 27 - 1, 60 - 1) = "1" ), 3, 4 ) ) )</f>
        <v>4</v>
      </c>
    </row>
    <row r="28" spans="3:61" x14ac:dyDescent="0.25">
      <c r="C28" s="9" t="s">
        <v>278</v>
      </c>
      <c r="D28" s="10"/>
      <c r="E28" s="10"/>
      <c r="F28" s="11"/>
      <c r="G28" s="15">
        <v>50</v>
      </c>
      <c r="H28" s="16"/>
      <c r="I28" s="16"/>
      <c r="J28" s="17"/>
      <c r="BA28" s="3">
        <v>5.1573050710925989E-3</v>
      </c>
      <c r="BB28" s="3" t="str">
        <f>"0"</f>
        <v>0</v>
      </c>
      <c r="BC28" t="str">
        <f ca="1">IF((OFFSET($A$1, 28 - 1, 53 - 1)) &gt;= (OFFSET($A$1, 88 - 1, 7 - 1)), "1","0")</f>
        <v>0</v>
      </c>
      <c r="BD28">
        <f ca="1" xml:space="preserve"> IF( AND( OFFSET($A$1, 28 - 1, 54 - 1) = "1", OFFSET($A$1, 28 - 1, 55 - 1) = "1" ), 1, IF( AND( OFFSET($A$1, 28 - 1, 54 - 1) = "1", OFFSET($A$1, 28 - 1, 55 - 1) = "0" ), 2, IF( AND( OFFSET($A$1, 28 - 1, 54 - 1) = "0", OFFSET($A$1, 28 - 1, 55 - 1) = "1" ), 3, 4 ) ) )</f>
        <v>4</v>
      </c>
      <c r="BF28" s="3">
        <v>1.3936510475477585E-7</v>
      </c>
      <c r="BG28" s="3" t="str">
        <f>"0"</f>
        <v>0</v>
      </c>
      <c r="BH28" t="str">
        <f ca="1">IF((OFFSET($A$1, 28 - 1, 58 - 1)) &gt;= (OFFSET($A$1, 112 - 1, 7 - 1)), "1","0")</f>
        <v>0</v>
      </c>
      <c r="BI28">
        <f ca="1" xml:space="preserve"> IF( AND( OFFSET($A$1, 28 - 1, 59 - 1) = "1", OFFSET($A$1, 28 - 1, 60 - 1) = "1" ), 1, IF( AND( OFFSET($A$1, 28 - 1, 59 - 1) = "1", OFFSET($A$1, 28 - 1, 60 - 1) = "0" ), 2, IF( AND( OFFSET($A$1, 28 - 1, 59 - 1) = "0", OFFSET($A$1, 28 - 1, 60 - 1) = "1" ), 3, 4 ) ) )</f>
        <v>4</v>
      </c>
    </row>
    <row r="29" spans="3:61" x14ac:dyDescent="0.25">
      <c r="C29" s="9" t="s">
        <v>279</v>
      </c>
      <c r="D29" s="10"/>
      <c r="E29" s="10"/>
      <c r="F29" s="11"/>
      <c r="G29" s="15" t="s">
        <v>280</v>
      </c>
      <c r="H29" s="16"/>
      <c r="I29" s="16"/>
      <c r="J29" s="17"/>
      <c r="BA29" s="3">
        <v>0.60051675645741398</v>
      </c>
      <c r="BB29" s="3" t="str">
        <f>"1"</f>
        <v>1</v>
      </c>
      <c r="BC29" t="str">
        <f ca="1">IF((OFFSET($A$1, 29 - 1, 53 - 1)) &gt;= (OFFSET($A$1, 88 - 1, 7 - 1)), "1","0")</f>
        <v>1</v>
      </c>
      <c r="BD29">
        <f ca="1" xml:space="preserve"> IF( AND( OFFSET($A$1, 29 - 1, 54 - 1) = "1", OFFSET($A$1, 29 - 1, 55 - 1) = "1" ), 1, IF( AND( OFFSET($A$1, 29 - 1, 54 - 1) = "1", OFFSET($A$1, 29 - 1, 55 - 1) = "0" ), 2, IF( AND( OFFSET($A$1, 29 - 1, 54 - 1) = "0", OFFSET($A$1, 29 - 1, 55 - 1) = "1" ), 3, 4 ) ) )</f>
        <v>1</v>
      </c>
      <c r="BF29" s="3">
        <v>5.8942168729575521E-2</v>
      </c>
      <c r="BG29" s="3" t="str">
        <f>"0"</f>
        <v>0</v>
      </c>
      <c r="BH29" t="str">
        <f ca="1">IF((OFFSET($A$1, 29 - 1, 58 - 1)) &gt;= (OFFSET($A$1, 112 - 1, 7 - 1)), "1","0")</f>
        <v>0</v>
      </c>
      <c r="BI29">
        <f ca="1" xml:space="preserve"> IF( AND( OFFSET($A$1, 29 - 1, 59 - 1) = "1", OFFSET($A$1, 29 - 1, 60 - 1) = "1" ), 1, IF( AND( OFFSET($A$1, 29 - 1, 59 - 1) = "1", OFFSET($A$1, 29 - 1, 60 - 1) = "0" ), 2, IF( AND( OFFSET($A$1, 29 - 1, 59 - 1) = "0", OFFSET($A$1, 29 - 1, 60 - 1) = "1" ), 3, 4 ) ) )</f>
        <v>4</v>
      </c>
    </row>
    <row r="30" spans="3:61" x14ac:dyDescent="0.25">
      <c r="C30" s="9" t="s">
        <v>281</v>
      </c>
      <c r="D30" s="10"/>
      <c r="E30" s="10"/>
      <c r="F30" s="11"/>
      <c r="G30" s="15">
        <v>3</v>
      </c>
      <c r="H30" s="16"/>
      <c r="I30" s="16"/>
      <c r="J30" s="17"/>
      <c r="BA30" s="3">
        <v>0.76322250292774019</v>
      </c>
      <c r="BB30" s="3" t="str">
        <f>"0"</f>
        <v>0</v>
      </c>
      <c r="BC30" t="str">
        <f ca="1">IF((OFFSET($A$1, 30 - 1, 53 - 1)) &gt;= (OFFSET($A$1, 88 - 1, 7 - 1)), "1","0")</f>
        <v>1</v>
      </c>
      <c r="BD30">
        <f ca="1" xml:space="preserve"> IF( AND( OFFSET($A$1, 30 - 1, 54 - 1) = "1", OFFSET($A$1, 30 - 1, 55 - 1) = "1" ), 1, IF( AND( OFFSET($A$1, 30 - 1, 54 - 1) = "1", OFFSET($A$1, 30 - 1, 55 - 1) = "0" ), 2, IF( AND( OFFSET($A$1, 30 - 1, 54 - 1) = "0", OFFSET($A$1, 30 - 1, 55 - 1) = "1" ), 3, 4 ) ) )</f>
        <v>3</v>
      </c>
      <c r="BF30" s="3">
        <v>8.3333692094780497E-3</v>
      </c>
      <c r="BG30" s="3" t="str">
        <f>"0"</f>
        <v>0</v>
      </c>
      <c r="BH30" t="str">
        <f ca="1">IF((OFFSET($A$1, 30 - 1, 58 - 1)) &gt;= (OFFSET($A$1, 112 - 1, 7 - 1)), "1","0")</f>
        <v>0</v>
      </c>
      <c r="BI30">
        <f ca="1" xml:space="preserve"> IF( AND( OFFSET($A$1, 30 - 1, 59 - 1) = "1", OFFSET($A$1, 30 - 1, 60 - 1) = "1" ), 1, IF( AND( OFFSET($A$1, 30 - 1, 59 - 1) = "1", OFFSET($A$1, 30 - 1, 60 - 1) = "0" ), 2, IF( AND( OFFSET($A$1, 30 - 1, 59 - 1) = "0", OFFSET($A$1, 30 - 1, 60 - 1) = "1" ), 3, 4 ) ) )</f>
        <v>4</v>
      </c>
    </row>
    <row r="31" spans="3:61" x14ac:dyDescent="0.25">
      <c r="C31" s="9" t="s">
        <v>282</v>
      </c>
      <c r="D31" s="10"/>
      <c r="E31" s="10"/>
      <c r="F31" s="11"/>
      <c r="G31" s="15">
        <v>2</v>
      </c>
      <c r="H31" s="16"/>
      <c r="I31" s="16"/>
      <c r="J31" s="17"/>
      <c r="BA31" s="3">
        <v>1.9689714364082389E-3</v>
      </c>
      <c r="BB31" s="3" t="str">
        <f>"0"</f>
        <v>0</v>
      </c>
      <c r="BC31" t="str">
        <f ca="1">IF((OFFSET($A$1, 31 - 1, 53 - 1)) &gt;= (OFFSET($A$1, 88 - 1, 7 - 1)), "1","0")</f>
        <v>0</v>
      </c>
      <c r="BD31">
        <f ca="1" xml:space="preserve"> IF( AND( OFFSET($A$1, 31 - 1, 54 - 1) = "1", OFFSET($A$1, 31 - 1, 55 - 1) = "1" ), 1, IF( AND( OFFSET($A$1, 31 - 1, 54 - 1) = "1", OFFSET($A$1, 31 - 1, 55 - 1) = "0" ), 2, IF( AND( OFFSET($A$1, 31 - 1, 54 - 1) = "0", OFFSET($A$1, 31 - 1, 55 - 1) = "1" ), 3, 4 ) ) )</f>
        <v>4</v>
      </c>
      <c r="BF31" s="3">
        <v>0.34638899148037872</v>
      </c>
      <c r="BG31" s="3" t="str">
        <f>"1"</f>
        <v>1</v>
      </c>
      <c r="BH31" t="str">
        <f ca="1">IF((OFFSET($A$1, 31 - 1, 58 - 1)) &gt;= (OFFSET($A$1, 112 - 1, 7 - 1)), "1","0")</f>
        <v>0</v>
      </c>
      <c r="BI31">
        <f ca="1" xml:space="preserve"> IF( AND( OFFSET($A$1, 31 - 1, 59 - 1) = "1", OFFSET($A$1, 31 - 1, 60 - 1) = "1" ), 1, IF( AND( OFFSET($A$1, 31 - 1, 59 - 1) = "1", OFFSET($A$1, 31 - 1, 60 - 1) = "0" ), 2, IF( AND( OFFSET($A$1, 31 - 1, 59 - 1) = "0", OFFSET($A$1, 31 - 1, 60 - 1) = "1" ), 3, 4 ) ) )</f>
        <v>2</v>
      </c>
    </row>
    <row r="32" spans="3:61" x14ac:dyDescent="0.25">
      <c r="C32" s="9" t="s">
        <v>283</v>
      </c>
      <c r="D32" s="10"/>
      <c r="E32" s="10"/>
      <c r="F32" s="11"/>
      <c r="G32" s="28" t="s">
        <v>284</v>
      </c>
      <c r="H32" s="29"/>
      <c r="I32" s="29"/>
      <c r="J32" s="30"/>
      <c r="BA32" s="3">
        <v>8.3333692094780497E-3</v>
      </c>
      <c r="BB32" s="3" t="str">
        <f>"0"</f>
        <v>0</v>
      </c>
      <c r="BC32" t="str">
        <f ca="1">IF((OFFSET($A$1, 32 - 1, 53 - 1)) &gt;= (OFFSET($A$1, 88 - 1, 7 - 1)), "1","0")</f>
        <v>0</v>
      </c>
      <c r="BD32">
        <f ca="1" xml:space="preserve"> IF( AND( OFFSET($A$1, 32 - 1, 54 - 1) = "1", OFFSET($A$1, 32 - 1, 55 - 1) = "1" ), 1, IF( AND( OFFSET($A$1, 32 - 1, 54 - 1) = "1", OFFSET($A$1, 32 - 1, 55 - 1) = "0" ), 2, IF( AND( OFFSET($A$1, 32 - 1, 54 - 1) = "0", OFFSET($A$1, 32 - 1, 55 - 1) = "1" ), 3, 4 ) ) )</f>
        <v>4</v>
      </c>
      <c r="BF32" s="3">
        <v>1.7700399554008261E-2</v>
      </c>
      <c r="BG32" s="3" t="str">
        <f>"0"</f>
        <v>0</v>
      </c>
      <c r="BH32" t="str">
        <f ca="1">IF((OFFSET($A$1, 32 - 1, 58 - 1)) &gt;= (OFFSET($A$1, 112 - 1, 7 - 1)), "1","0")</f>
        <v>0</v>
      </c>
      <c r="BI32">
        <f ca="1" xml:space="preserve"> IF( AND( OFFSET($A$1, 32 - 1, 59 - 1) = "1", OFFSET($A$1, 32 - 1, 60 - 1) = "1" ), 1, IF( AND( OFFSET($A$1, 32 - 1, 59 - 1) = "1", OFFSET($A$1, 32 - 1, 60 - 1) = "0" ), 2, IF( AND( OFFSET($A$1, 32 - 1, 59 - 1) = "0", OFFSET($A$1, 32 - 1, 60 - 1) = "1" ), 3, 4 ) ) )</f>
        <v>4</v>
      </c>
    </row>
    <row r="33" spans="2:61" x14ac:dyDescent="0.25">
      <c r="C33" s="9" t="s">
        <v>285</v>
      </c>
      <c r="D33" s="10"/>
      <c r="E33" s="10"/>
      <c r="F33" s="11"/>
      <c r="G33" s="15" t="s">
        <v>276</v>
      </c>
      <c r="H33" s="16"/>
      <c r="I33" s="16"/>
      <c r="J33" s="17"/>
      <c r="BA33" s="3">
        <v>1.3438952087404268E-2</v>
      </c>
      <c r="BB33" s="3" t="str">
        <f>"0"</f>
        <v>0</v>
      </c>
      <c r="BC33" t="str">
        <f ca="1">IF((OFFSET($A$1, 33 - 1, 53 - 1)) &gt;= (OFFSET($A$1, 88 - 1, 7 - 1)), "1","0")</f>
        <v>0</v>
      </c>
      <c r="BD33">
        <f ca="1" xml:space="preserve"> IF( AND( OFFSET($A$1, 33 - 1, 54 - 1) = "1", OFFSET($A$1, 33 - 1, 55 - 1) = "1" ), 1, IF( AND( OFFSET($A$1, 33 - 1, 54 - 1) = "1", OFFSET($A$1, 33 - 1, 55 - 1) = "0" ), 2, IF( AND( OFFSET($A$1, 33 - 1, 54 - 1) = "0", OFFSET($A$1, 33 - 1, 55 - 1) = "1" ), 3, 4 ) ) )</f>
        <v>4</v>
      </c>
      <c r="BF33" s="3">
        <v>0.14132294827706593</v>
      </c>
      <c r="BG33" s="3" t="str">
        <f>"0"</f>
        <v>0</v>
      </c>
      <c r="BH33" t="str">
        <f ca="1">IF((OFFSET($A$1, 33 - 1, 58 - 1)) &gt;= (OFFSET($A$1, 112 - 1, 7 - 1)), "1","0")</f>
        <v>0</v>
      </c>
      <c r="BI33">
        <f ca="1" xml:space="preserve"> IF( AND( OFFSET($A$1, 33 - 1, 59 - 1) = "1", OFFSET($A$1, 33 - 1, 60 - 1) = "1" ), 1, IF( AND( OFFSET($A$1, 33 - 1, 59 - 1) = "1", OFFSET($A$1, 33 - 1, 60 - 1) = "0" ), 2, IF( AND( OFFSET($A$1, 33 - 1, 59 - 1) = "0", OFFSET($A$1, 33 - 1, 60 - 1) = "1" ), 3, 4 ) ) )</f>
        <v>4</v>
      </c>
    </row>
    <row r="34" spans="2:61" x14ac:dyDescent="0.25">
      <c r="C34" s="9" t="s">
        <v>286</v>
      </c>
      <c r="D34" s="10"/>
      <c r="E34" s="10"/>
      <c r="F34" s="11"/>
      <c r="G34" s="15" t="s">
        <v>276</v>
      </c>
      <c r="H34" s="16"/>
      <c r="I34" s="16"/>
      <c r="J34" s="17"/>
      <c r="BA34" s="3">
        <v>1.7700399554008261E-2</v>
      </c>
      <c r="BB34" s="3" t="str">
        <f>"0"</f>
        <v>0</v>
      </c>
      <c r="BC34" t="str">
        <f ca="1">IF((OFFSET($A$1, 34 - 1, 53 - 1)) &gt;= (OFFSET($A$1, 88 - 1, 7 - 1)), "1","0")</f>
        <v>0</v>
      </c>
      <c r="BD34">
        <f ca="1" xml:space="preserve"> IF( AND( OFFSET($A$1, 34 - 1, 54 - 1) = "1", OFFSET($A$1, 34 - 1, 55 - 1) = "1" ), 1, IF( AND( OFFSET($A$1, 34 - 1, 54 - 1) = "1", OFFSET($A$1, 34 - 1, 55 - 1) = "0" ), 2, IF( AND( OFFSET($A$1, 34 - 1, 54 - 1) = "0", OFFSET($A$1, 34 - 1, 55 - 1) = "1" ), 3, 4 ) ) )</f>
        <v>4</v>
      </c>
      <c r="BF34" s="3">
        <v>2.1604411675304205E-2</v>
      </c>
      <c r="BG34" s="3" t="str">
        <f>"0"</f>
        <v>0</v>
      </c>
      <c r="BH34" t="str">
        <f ca="1">IF((OFFSET($A$1, 34 - 1, 58 - 1)) &gt;= (OFFSET($A$1, 112 - 1, 7 - 1)), "1","0")</f>
        <v>0</v>
      </c>
      <c r="BI34">
        <f ca="1" xml:space="preserve"> IF( AND( OFFSET($A$1, 34 - 1, 59 - 1) = "1", OFFSET($A$1, 34 - 1, 60 - 1) = "1" ), 1, IF( AND( OFFSET($A$1, 34 - 1, 59 - 1) = "1", OFFSET($A$1, 34 - 1, 60 - 1) = "0" ), 2, IF( AND( OFFSET($A$1, 34 - 1, 59 - 1) = "0", OFFSET($A$1, 34 - 1, 60 - 1) = "1" ), 3, 4 ) ) )</f>
        <v>4</v>
      </c>
    </row>
    <row r="35" spans="2:61" x14ac:dyDescent="0.25">
      <c r="BA35" s="3">
        <v>0.86492033003400359</v>
      </c>
      <c r="BB35" s="3" t="str">
        <f>"1"</f>
        <v>1</v>
      </c>
      <c r="BC35" t="str">
        <f ca="1">IF((OFFSET($A$1, 35 - 1, 53 - 1)) &gt;= (OFFSET($A$1, 88 - 1, 7 - 1)), "1","0")</f>
        <v>1</v>
      </c>
      <c r="BD35">
        <f ca="1" xml:space="preserve"> IF( AND( OFFSET($A$1, 35 - 1, 54 - 1) = "1", OFFSET($A$1, 35 - 1, 55 - 1) = "1" ), 1, IF( AND( OFFSET($A$1, 35 - 1, 54 - 1) = "1", OFFSET($A$1, 35 - 1, 55 - 1) = "0" ), 2, IF( AND( OFFSET($A$1, 35 - 1, 54 - 1) = "0", OFFSET($A$1, 35 - 1, 55 - 1) = "1" ), 3, 4 ) ) )</f>
        <v>1</v>
      </c>
      <c r="BF35" s="3">
        <v>4.4245245624488162E-6</v>
      </c>
      <c r="BG35" s="3" t="str">
        <f>"0"</f>
        <v>0</v>
      </c>
      <c r="BH35" t="str">
        <f ca="1">IF((OFFSET($A$1, 35 - 1, 58 - 1)) &gt;= (OFFSET($A$1, 112 - 1, 7 - 1)), "1","0")</f>
        <v>0</v>
      </c>
      <c r="BI35">
        <f ca="1" xml:space="preserve"> IF( AND( OFFSET($A$1, 35 - 1, 59 - 1) = "1", OFFSET($A$1, 35 - 1, 60 - 1) = "1" ), 1, IF( AND( OFFSET($A$1, 35 - 1, 59 - 1) = "1", OFFSET($A$1, 35 - 1, 60 - 1) = "0" ), 2, IF( AND( OFFSET($A$1, 35 - 1, 59 - 1) = "0", OFFSET($A$1, 35 - 1, 60 - 1) = "1" ), 3, 4 ) ) )</f>
        <v>4</v>
      </c>
    </row>
    <row r="36" spans="2:61" ht="15.75" x14ac:dyDescent="0.25">
      <c r="C36" s="6" t="s">
        <v>287</v>
      </c>
      <c r="D36" s="7"/>
      <c r="E36" s="7"/>
      <c r="F36" s="7"/>
      <c r="G36" s="8"/>
      <c r="BA36" s="3">
        <v>4.5208557988705579E-2</v>
      </c>
      <c r="BB36" s="3" t="str">
        <f>"1"</f>
        <v>1</v>
      </c>
      <c r="BC36" t="str">
        <f ca="1">IF((OFFSET($A$1, 36 - 1, 53 - 1)) &gt;= (OFFSET($A$1, 88 - 1, 7 - 1)), "1","0")</f>
        <v>0</v>
      </c>
      <c r="BD36">
        <f ca="1" xml:space="preserve"> IF( AND( OFFSET($A$1, 36 - 1, 54 - 1) = "1", OFFSET($A$1, 36 - 1, 55 - 1) = "1" ), 1, IF( AND( OFFSET($A$1, 36 - 1, 54 - 1) = "1", OFFSET($A$1, 36 - 1, 55 - 1) = "0" ), 2, IF( AND( OFFSET($A$1, 36 - 1, 54 - 1) = "0", OFFSET($A$1, 36 - 1, 55 - 1) = "1" ), 3, 4 ) ) )</f>
        <v>2</v>
      </c>
      <c r="BF36" s="3">
        <v>8.3333692094780497E-3</v>
      </c>
      <c r="BG36" s="3" t="str">
        <f>"0"</f>
        <v>0</v>
      </c>
      <c r="BH36" t="str">
        <f ca="1">IF((OFFSET($A$1, 36 - 1, 58 - 1)) &gt;= (OFFSET($A$1, 112 - 1, 7 - 1)), "1","0")</f>
        <v>0</v>
      </c>
      <c r="BI36">
        <f ca="1" xml:space="preserve"> IF( AND( OFFSET($A$1, 36 - 1, 59 - 1) = "1", OFFSET($A$1, 36 - 1, 60 - 1) = "1" ), 1, IF( AND( OFFSET($A$1, 36 - 1, 59 - 1) = "1", OFFSET($A$1, 36 - 1, 60 - 1) = "0" ), 2, IF( AND( OFFSET($A$1, 36 - 1, 59 - 1) = "0", OFFSET($A$1, 36 - 1, 60 - 1) = "1" ), 3, 4 ) ) )</f>
        <v>4</v>
      </c>
    </row>
    <row r="37" spans="2:61" x14ac:dyDescent="0.25">
      <c r="C37" s="12" t="s">
        <v>288</v>
      </c>
      <c r="D37" s="13"/>
      <c r="E37" s="13"/>
      <c r="F37" s="13"/>
      <c r="G37" s="14"/>
      <c r="BA37" s="3">
        <v>4.5208557988705579E-2</v>
      </c>
      <c r="BB37" s="3" t="str">
        <f>"0"</f>
        <v>0</v>
      </c>
      <c r="BC37" t="str">
        <f ca="1">IF((OFFSET($A$1, 37 - 1, 53 - 1)) &gt;= (OFFSET($A$1, 88 - 1, 7 - 1)), "1","0")</f>
        <v>0</v>
      </c>
      <c r="BD37">
        <f ca="1" xml:space="preserve"> IF( AND( OFFSET($A$1, 37 - 1, 54 - 1) = "1", OFFSET($A$1, 37 - 1, 55 - 1) = "1" ), 1, IF( AND( OFFSET($A$1, 37 - 1, 54 - 1) = "1", OFFSET($A$1, 37 - 1, 55 - 1) = "0" ), 2, IF( AND( OFFSET($A$1, 37 - 1, 54 - 1) = "0", OFFSET($A$1, 37 - 1, 55 - 1) = "1" ), 3, 4 ) ) )</f>
        <v>4</v>
      </c>
      <c r="BF37" s="3">
        <v>0.76322250292774019</v>
      </c>
      <c r="BG37" s="3" t="str">
        <f>"0"</f>
        <v>0</v>
      </c>
      <c r="BH37" t="str">
        <f ca="1">IF((OFFSET($A$1, 37 - 1, 58 - 1)) &gt;= (OFFSET($A$1, 112 - 1, 7 - 1)), "1","0")</f>
        <v>1</v>
      </c>
      <c r="BI37">
        <f ca="1" xml:space="preserve"> IF( AND( OFFSET($A$1, 37 - 1, 59 - 1) = "1", OFFSET($A$1, 37 - 1, 60 - 1) = "1" ), 1, IF( AND( OFFSET($A$1, 37 - 1, 59 - 1) = "1", OFFSET($A$1, 37 - 1, 60 - 1) = "0" ), 2, IF( AND( OFFSET($A$1, 37 - 1, 59 - 1) = "0", OFFSET($A$1, 37 - 1, 60 - 1) = "1" ), 3, 4 ) ) )</f>
        <v>3</v>
      </c>
    </row>
    <row r="38" spans="2:61" x14ac:dyDescent="0.25">
      <c r="C38" s="12" t="s">
        <v>289</v>
      </c>
      <c r="D38" s="13"/>
      <c r="E38" s="13"/>
      <c r="F38" s="13"/>
      <c r="G38" s="14"/>
      <c r="BA38" s="3">
        <v>7.1282402524274091E-2</v>
      </c>
      <c r="BB38" s="3" t="str">
        <f>"0"</f>
        <v>0</v>
      </c>
      <c r="BC38" t="str">
        <f ca="1">IF((OFFSET($A$1, 38 - 1, 53 - 1)) &gt;= (OFFSET($A$1, 88 - 1, 7 - 1)), "1","0")</f>
        <v>0</v>
      </c>
      <c r="BD38">
        <f ca="1" xml:space="preserve"> IF( AND( OFFSET($A$1, 38 - 1, 54 - 1) = "1", OFFSET($A$1, 38 - 1, 55 - 1) = "1" ), 1, IF( AND( OFFSET($A$1, 38 - 1, 54 - 1) = "1", OFFSET($A$1, 38 - 1, 55 - 1) = "0" ), 2, IF( AND( OFFSET($A$1, 38 - 1, 54 - 1) = "0", OFFSET($A$1, 38 - 1, 55 - 1) = "1" ), 3, 4 ) ) )</f>
        <v>4</v>
      </c>
      <c r="BF38" s="3">
        <v>1.7700399554008261E-2</v>
      </c>
      <c r="BG38" s="3" t="str">
        <f>"0"</f>
        <v>0</v>
      </c>
      <c r="BH38" t="str">
        <f ca="1">IF((OFFSET($A$1, 38 - 1, 58 - 1)) &gt;= (OFFSET($A$1, 112 - 1, 7 - 1)), "1","0")</f>
        <v>0</v>
      </c>
      <c r="BI38">
        <f ca="1" xml:space="preserve"> IF( AND( OFFSET($A$1, 38 - 1, 59 - 1) = "1", OFFSET($A$1, 38 - 1, 60 - 1) = "1" ), 1, IF( AND( OFFSET($A$1, 38 - 1, 59 - 1) = "1", OFFSET($A$1, 38 - 1, 60 - 1) = "0" ), 2, IF( AND( OFFSET($A$1, 38 - 1, 59 - 1) = "0", OFFSET($A$1, 38 - 1, 60 - 1) = "1" ), 3, 4 ) ) )</f>
        <v>4</v>
      </c>
    </row>
    <row r="39" spans="2:61" x14ac:dyDescent="0.25">
      <c r="C39" s="12" t="s">
        <v>290</v>
      </c>
      <c r="D39" s="13"/>
      <c r="E39" s="13"/>
      <c r="F39" s="13"/>
      <c r="G39" s="14"/>
      <c r="BA39" s="3">
        <v>0.1678345502816754</v>
      </c>
      <c r="BB39" s="3" t="str">
        <f>"0"</f>
        <v>0</v>
      </c>
      <c r="BC39" t="str">
        <f ca="1">IF((OFFSET($A$1, 39 - 1, 53 - 1)) &gt;= (OFFSET($A$1, 88 - 1, 7 - 1)), "1","0")</f>
        <v>0</v>
      </c>
      <c r="BD39">
        <f ca="1" xml:space="preserve"> IF( AND( OFFSET($A$1, 39 - 1, 54 - 1) = "1", OFFSET($A$1, 39 - 1, 55 - 1) = "1" ), 1, IF( AND( OFFSET($A$1, 39 - 1, 54 - 1) = "1", OFFSET($A$1, 39 - 1, 55 - 1) = "0" ), 2, IF( AND( OFFSET($A$1, 39 - 1, 54 - 1) = "0", OFFSET($A$1, 39 - 1, 55 - 1) = "1" ), 3, 4 ) ) )</f>
        <v>4</v>
      </c>
      <c r="BF39" s="3">
        <v>5.4841059881313048E-2</v>
      </c>
      <c r="BG39" s="3" t="str">
        <f>"0"</f>
        <v>0</v>
      </c>
      <c r="BH39" t="str">
        <f ca="1">IF((OFFSET($A$1, 39 - 1, 58 - 1)) &gt;= (OFFSET($A$1, 112 - 1, 7 - 1)), "1","0")</f>
        <v>0</v>
      </c>
      <c r="BI39">
        <f ca="1" xml:space="preserve"> IF( AND( OFFSET($A$1, 39 - 1, 59 - 1) = "1", OFFSET($A$1, 39 - 1, 60 - 1) = "1" ), 1, IF( AND( OFFSET($A$1, 39 - 1, 59 - 1) = "1", OFFSET($A$1, 39 - 1, 60 - 1) = "0" ), 2, IF( AND( OFFSET($A$1, 39 - 1, 59 - 1) = "0", OFFSET($A$1, 39 - 1, 60 - 1) = "1" ), 3, 4 ) ) )</f>
        <v>4</v>
      </c>
    </row>
    <row r="40" spans="2:61" x14ac:dyDescent="0.25">
      <c r="C40" s="12" t="s">
        <v>291</v>
      </c>
      <c r="D40" s="13"/>
      <c r="E40" s="13"/>
      <c r="F40" s="13"/>
      <c r="G40" s="14"/>
      <c r="BA40" s="3">
        <v>0.26085388519462543</v>
      </c>
      <c r="BB40" s="3" t="str">
        <f>"0"</f>
        <v>0</v>
      </c>
      <c r="BC40" t="str">
        <f ca="1">IF((OFFSET($A$1, 40 - 1, 53 - 1)) &gt;= (OFFSET($A$1, 88 - 1, 7 - 1)), "1","0")</f>
        <v>0</v>
      </c>
      <c r="BD40">
        <f ca="1" xml:space="preserve"> IF( AND( OFFSET($A$1, 40 - 1, 54 - 1) = "1", OFFSET($A$1, 40 - 1, 55 - 1) = "1" ), 1, IF( AND( OFFSET($A$1, 40 - 1, 54 - 1) = "1", OFFSET($A$1, 40 - 1, 55 - 1) = "0" ), 2, IF( AND( OFFSET($A$1, 40 - 1, 54 - 1) = "0", OFFSET($A$1, 40 - 1, 55 - 1) = "1" ), 3, 4 ) ) )</f>
        <v>4</v>
      </c>
      <c r="BF40" s="3">
        <v>3.1878304960592696E-3</v>
      </c>
      <c r="BG40" s="3" t="str">
        <f>"0"</f>
        <v>0</v>
      </c>
      <c r="BH40" t="str">
        <f ca="1">IF((OFFSET($A$1, 40 - 1, 58 - 1)) &gt;= (OFFSET($A$1, 112 - 1, 7 - 1)), "1","0")</f>
        <v>0</v>
      </c>
      <c r="BI40">
        <f ca="1" xml:space="preserve"> IF( AND( OFFSET($A$1, 40 - 1, 59 - 1) = "1", OFFSET($A$1, 40 - 1, 60 - 1) = "1" ), 1, IF( AND( OFFSET($A$1, 40 - 1, 59 - 1) = "1", OFFSET($A$1, 40 - 1, 60 - 1) = "0" ), 2, IF( AND( OFFSET($A$1, 40 - 1, 59 - 1) = "0", OFFSET($A$1, 40 - 1, 60 - 1) = "1" ), 3, 4 ) ) )</f>
        <v>4</v>
      </c>
    </row>
    <row r="41" spans="2:61" x14ac:dyDescent="0.25">
      <c r="BA41" s="3">
        <v>3.1878304960592696E-3</v>
      </c>
      <c r="BB41" s="3" t="str">
        <f>"0"</f>
        <v>0</v>
      </c>
      <c r="BC41" t="str">
        <f ca="1">IF((OFFSET($A$1, 41 - 1, 53 - 1)) &gt;= (OFFSET($A$1, 88 - 1, 7 - 1)), "1","0")</f>
        <v>0</v>
      </c>
      <c r="BD41">
        <f ca="1" xml:space="preserve"> IF( AND( OFFSET($A$1, 41 - 1, 54 - 1) = "1", OFFSET($A$1, 41 - 1, 55 - 1) = "1" ), 1, IF( AND( OFFSET($A$1, 41 - 1, 54 - 1) = "1", OFFSET($A$1, 41 - 1, 55 - 1) = "0" ), 2, IF( AND( OFFSET($A$1, 41 - 1, 54 - 1) = "0", OFFSET($A$1, 41 - 1, 55 - 1) = "1" ), 3, 4 ) ) )</f>
        <v>4</v>
      </c>
      <c r="BF41" s="3">
        <v>0.70902842426182888</v>
      </c>
      <c r="BG41" s="3" t="str">
        <f>"1"</f>
        <v>1</v>
      </c>
      <c r="BH41" t="str">
        <f ca="1">IF((OFFSET($A$1, 41 - 1, 58 - 1)) &gt;= (OFFSET($A$1, 112 - 1, 7 - 1)), "1","0")</f>
        <v>1</v>
      </c>
      <c r="BI41">
        <f ca="1" xml:space="preserve"> IF( AND( OFFSET($A$1, 41 - 1, 59 - 1) = "1", OFFSET($A$1, 41 - 1, 60 - 1) = "1" ), 1, IF( AND( OFFSET($A$1, 41 - 1, 59 - 1) = "1", OFFSET($A$1, 41 - 1, 60 - 1) = "0" ), 2, IF( AND( OFFSET($A$1, 41 - 1, 59 - 1) = "0", OFFSET($A$1, 41 - 1, 60 - 1) = "1" ), 3, 4 ) ) )</f>
        <v>1</v>
      </c>
    </row>
    <row r="42" spans="2:61" x14ac:dyDescent="0.25">
      <c r="BA42" s="3">
        <v>8.3333692094780497E-3</v>
      </c>
      <c r="BB42" s="3" t="str">
        <f>"0"</f>
        <v>0</v>
      </c>
      <c r="BC42" t="str">
        <f ca="1">IF((OFFSET($A$1, 42 - 1, 53 - 1)) &gt;= (OFFSET($A$1, 88 - 1, 7 - 1)), "1","0")</f>
        <v>0</v>
      </c>
      <c r="BD42">
        <f ca="1" xml:space="preserve"> IF( AND( OFFSET($A$1, 42 - 1, 54 - 1) = "1", OFFSET($A$1, 42 - 1, 55 - 1) = "1" ), 1, IF( AND( OFFSET($A$1, 42 - 1, 54 - 1) = "1", OFFSET($A$1, 42 - 1, 55 - 1) = "0" ), 2, IF( AND( OFFSET($A$1, 42 - 1, 54 - 1) = "0", OFFSET($A$1, 42 - 1, 55 - 1) = "1" ), 3, 4 ) ) )</f>
        <v>4</v>
      </c>
      <c r="BF42" s="3">
        <v>7.1721924491056332E-6</v>
      </c>
      <c r="BG42" s="3" t="str">
        <f>"0"</f>
        <v>0</v>
      </c>
      <c r="BH42" t="str">
        <f ca="1">IF((OFFSET($A$1, 42 - 1, 58 - 1)) &gt;= (OFFSET($A$1, 112 - 1, 7 - 1)), "1","0")</f>
        <v>0</v>
      </c>
      <c r="BI42">
        <f ca="1" xml:space="preserve"> IF( AND( OFFSET($A$1, 42 - 1, 59 - 1) = "1", OFFSET($A$1, 42 - 1, 60 - 1) = "1" ), 1, IF( AND( OFFSET($A$1, 42 - 1, 59 - 1) = "1", OFFSET($A$1, 42 - 1, 60 - 1) = "0" ), 2, IF( AND( OFFSET($A$1, 42 - 1, 59 - 1) = "0", OFFSET($A$1, 42 - 1, 60 - 1) = "1" ), 3, 4 ) ) )</f>
        <v>4</v>
      </c>
    </row>
    <row r="43" spans="2:61" ht="18.75" x14ac:dyDescent="0.3">
      <c r="B43" s="21" t="s">
        <v>292</v>
      </c>
      <c r="BA43" s="3">
        <v>0.11840333023230293</v>
      </c>
      <c r="BB43" s="3" t="str">
        <f>"0"</f>
        <v>0</v>
      </c>
      <c r="BC43" t="str">
        <f ca="1">IF((OFFSET($A$1, 43 - 1, 53 - 1)) &gt;= (OFFSET($A$1, 88 - 1, 7 - 1)), "1","0")</f>
        <v>0</v>
      </c>
      <c r="BD43">
        <f ca="1" xml:space="preserve"> IF( AND( OFFSET($A$1, 43 - 1, 54 - 1) = "1", OFFSET($A$1, 43 - 1, 55 - 1) = "1" ), 1, IF( AND( OFFSET($A$1, 43 - 1, 54 - 1) = "1", OFFSET($A$1, 43 - 1, 55 - 1) = "0" ), 2, IF( AND( OFFSET($A$1, 43 - 1, 54 - 1) = "0", OFFSET($A$1, 43 - 1, 55 - 1) = "1" ), 3, 4 ) ) )</f>
        <v>4</v>
      </c>
      <c r="BF43" s="3">
        <v>1.2155718041837443E-3</v>
      </c>
      <c r="BG43" s="3" t="str">
        <f>"0"</f>
        <v>0</v>
      </c>
      <c r="BH43" t="str">
        <f ca="1">IF((OFFSET($A$1, 43 - 1, 58 - 1)) &gt;= (OFFSET($A$1, 112 - 1, 7 - 1)), "1","0")</f>
        <v>0</v>
      </c>
      <c r="BI43">
        <f ca="1" xml:space="preserve"> IF( AND( OFFSET($A$1, 43 - 1, 59 - 1) = "1", OFFSET($A$1, 43 - 1, 60 - 1) = "1" ), 1, IF( AND( OFFSET($A$1, 43 - 1, 59 - 1) = "1", OFFSET($A$1, 43 - 1, 60 - 1) = "0" ), 2, IF( AND( OFFSET($A$1, 43 - 1, 59 - 1) = "0", OFFSET($A$1, 43 - 1, 60 - 1) = "1" ), 3, 4 ) ) )</f>
        <v>4</v>
      </c>
    </row>
    <row r="44" spans="2:61" x14ac:dyDescent="0.25">
      <c r="BA44" s="3">
        <v>0.11065146435226708</v>
      </c>
      <c r="BB44" s="3" t="str">
        <f>"0"</f>
        <v>0</v>
      </c>
      <c r="BC44" t="str">
        <f ca="1">IF((OFFSET($A$1, 44 - 1, 53 - 1)) &gt;= (OFFSET($A$1, 88 - 1, 7 - 1)), "1","0")</f>
        <v>0</v>
      </c>
      <c r="BD44">
        <f ca="1" xml:space="preserve"> IF( AND( OFFSET($A$1, 44 - 1, 54 - 1) = "1", OFFSET($A$1, 44 - 1, 55 - 1) = "1" ), 1, IF( AND( OFFSET($A$1, 44 - 1, 54 - 1) = "1", OFFSET($A$1, 44 - 1, 55 - 1) = "0" ), 2, IF( AND( OFFSET($A$1, 44 - 1, 54 - 1) = "0", OFFSET($A$1, 44 - 1, 55 - 1) = "1" ), 3, 4 ) ) )</f>
        <v>4</v>
      </c>
      <c r="BF44" s="3">
        <v>1.0993894321078364E-2</v>
      </c>
      <c r="BG44" s="3" t="str">
        <f>"0"</f>
        <v>0</v>
      </c>
      <c r="BH44" t="str">
        <f ca="1">IF((OFFSET($A$1, 44 - 1, 58 - 1)) &gt;= (OFFSET($A$1, 112 - 1, 7 - 1)), "1","0")</f>
        <v>0</v>
      </c>
      <c r="BI44">
        <f ca="1" xml:space="preserve"> IF( AND( OFFSET($A$1, 44 - 1, 59 - 1) = "1", OFFSET($A$1, 44 - 1, 60 - 1) = "1" ), 1, IF( AND( OFFSET($A$1, 44 - 1, 59 - 1) = "1", OFFSET($A$1, 44 - 1, 60 - 1) = "0" ), 2, IF( AND( OFFSET($A$1, 44 - 1, 59 - 1) = "0", OFFSET($A$1, 44 - 1, 60 - 1) = "1" ), 3, 4 ) ) )</f>
        <v>4</v>
      </c>
    </row>
    <row r="45" spans="2:61" x14ac:dyDescent="0.25">
      <c r="C45" s="12" t="s">
        <v>293</v>
      </c>
      <c r="D45" s="13"/>
      <c r="E45" s="13"/>
      <c r="F45" s="13"/>
      <c r="G45" s="14"/>
      <c r="BA45" s="3">
        <v>0.30190504314012601</v>
      </c>
      <c r="BB45" s="3" t="str">
        <f>"1"</f>
        <v>1</v>
      </c>
      <c r="BC45" t="str">
        <f ca="1">IF((OFFSET($A$1, 45 - 1, 53 - 1)) &gt;= (OFFSET($A$1, 88 - 1, 7 - 1)), "1","0")</f>
        <v>0</v>
      </c>
      <c r="BD45">
        <f ca="1" xml:space="preserve"> IF( AND( OFFSET($A$1, 45 - 1, 54 - 1) = "1", OFFSET($A$1, 45 - 1, 55 - 1) = "1" ), 1, IF( AND( OFFSET($A$1, 45 - 1, 54 - 1) = "1", OFFSET($A$1, 45 - 1, 55 - 1) = "0" ), 2, IF( AND( OFFSET($A$1, 45 - 1, 54 - 1) = "0", OFFSET($A$1, 45 - 1, 55 - 1) = "1" ), 3, 4 ) ) )</f>
        <v>2</v>
      </c>
      <c r="BF45" s="3">
        <v>1.2729087839809041E-6</v>
      </c>
      <c r="BG45" s="3" t="str">
        <f>"0"</f>
        <v>0</v>
      </c>
      <c r="BH45" t="str">
        <f ca="1">IF((OFFSET($A$1, 45 - 1, 58 - 1)) &gt;= (OFFSET($A$1, 112 - 1, 7 - 1)), "1","0")</f>
        <v>0</v>
      </c>
      <c r="BI45">
        <f ca="1" xml:space="preserve"> IF( AND( OFFSET($A$1, 45 - 1, 59 - 1) = "1", OFFSET($A$1, 45 - 1, 60 - 1) = "1" ), 1, IF( AND( OFFSET($A$1, 45 - 1, 59 - 1) = "1", OFFSET($A$1, 45 - 1, 60 - 1) = "0" ), 2, IF( AND( OFFSET($A$1, 45 - 1, 59 - 1) = "0", OFFSET($A$1, 45 - 1, 60 - 1) = "1" ), 3, 4 ) ) )</f>
        <v>4</v>
      </c>
    </row>
    <row r="46" spans="2:61" x14ac:dyDescent="0.25">
      <c r="BA46" s="3">
        <v>1.3438952087404268E-2</v>
      </c>
      <c r="BB46" s="3" t="str">
        <f>"0"</f>
        <v>0</v>
      </c>
      <c r="BC46" t="str">
        <f ca="1">IF((OFFSET($A$1, 46 - 1, 53 - 1)) &gt;= (OFFSET($A$1, 88 - 1, 7 - 1)), "1","0")</f>
        <v>0</v>
      </c>
      <c r="BD46">
        <f ca="1" xml:space="preserve"> IF( AND( OFFSET($A$1, 46 - 1, 54 - 1) = "1", OFFSET($A$1, 46 - 1, 55 - 1) = "1" ), 1, IF( AND( OFFSET($A$1, 46 - 1, 54 - 1) = "1", OFFSET($A$1, 46 - 1, 55 - 1) = "0" ), 2, IF( AND( OFFSET($A$1, 46 - 1, 54 - 1) = "0", OFFSET($A$1, 46 - 1, 55 - 1) = "1" ), 3, 4 ) ) )</f>
        <v>4</v>
      </c>
      <c r="BF46" s="3">
        <v>8.3333692094780497E-3</v>
      </c>
      <c r="BG46" s="3" t="str">
        <f>"0"</f>
        <v>0</v>
      </c>
      <c r="BH46" t="str">
        <f ca="1">IF((OFFSET($A$1, 46 - 1, 58 - 1)) &gt;= (OFFSET($A$1, 112 - 1, 7 - 1)), "1","0")</f>
        <v>0</v>
      </c>
      <c r="BI46">
        <f ca="1" xml:space="preserve"> IF( AND( OFFSET($A$1, 46 - 1, 59 - 1) = "1", OFFSET($A$1, 46 - 1, 60 - 1) = "1" ), 1, IF( AND( OFFSET($A$1, 46 - 1, 59 - 1) = "1", OFFSET($A$1, 46 - 1, 60 - 1) = "0" ), 2, IF( AND( OFFSET($A$1, 46 - 1, 59 - 1) = "0", OFFSET($A$1, 46 - 1, 60 - 1) = "1" ), 3, 4 ) ) )</f>
        <v>4</v>
      </c>
    </row>
    <row r="47" spans="2:61" x14ac:dyDescent="0.25">
      <c r="C47" s="5" t="s">
        <v>294</v>
      </c>
      <c r="D47" s="5" t="s">
        <v>295</v>
      </c>
      <c r="BA47" s="3">
        <v>2.1604411675304205E-2</v>
      </c>
      <c r="BB47" s="3" t="str">
        <f>"0"</f>
        <v>0</v>
      </c>
      <c r="BC47" t="str">
        <f ca="1">IF((OFFSET($A$1, 47 - 1, 53 - 1)) &gt;= (OFFSET($A$1, 88 - 1, 7 - 1)), "1","0")</f>
        <v>0</v>
      </c>
      <c r="BD47">
        <f ca="1" xml:space="preserve"> IF( AND( OFFSET($A$1, 47 - 1, 54 - 1) = "1", OFFSET($A$1, 47 - 1, 55 - 1) = "1" ), 1, IF( AND( OFFSET($A$1, 47 - 1, 54 - 1) = "1", OFFSET($A$1, 47 - 1, 55 - 1) = "0" ), 2, IF( AND( OFFSET($A$1, 47 - 1, 54 - 1) = "0", OFFSET($A$1, 47 - 1, 55 - 1) = "1" ), 3, 4 ) ) )</f>
        <v>4</v>
      </c>
      <c r="BF47" s="3">
        <v>1.9689714364082389E-3</v>
      </c>
      <c r="BG47" s="3" t="str">
        <f>"0"</f>
        <v>0</v>
      </c>
      <c r="BH47" t="str">
        <f ca="1">IF((OFFSET($A$1, 47 - 1, 58 - 1)) &gt;= (OFFSET($A$1, 112 - 1, 7 - 1)), "1","0")</f>
        <v>0</v>
      </c>
      <c r="BI47">
        <f ca="1" xml:space="preserve"> IF( AND( OFFSET($A$1, 47 - 1, 59 - 1) = "1", OFFSET($A$1, 47 - 1, 60 - 1) = "1" ), 1, IF( AND( OFFSET($A$1, 47 - 1, 59 - 1) = "1", OFFSET($A$1, 47 - 1, 60 - 1) = "0" ), 2, IF( AND( OFFSET($A$1, 47 - 1, 59 - 1) = "0", OFFSET($A$1, 47 - 1, 60 - 1) = "1" ), 3, 4 ) ) )</f>
        <v>4</v>
      </c>
    </row>
    <row r="48" spans="2:61" x14ac:dyDescent="0.25">
      <c r="C48" s="4">
        <v>0</v>
      </c>
      <c r="D48" s="3">
        <v>0.8</v>
      </c>
      <c r="BA48" s="3">
        <v>4.5208557988705579E-2</v>
      </c>
      <c r="BB48" s="3" t="str">
        <f>"0"</f>
        <v>0</v>
      </c>
      <c r="BC48" t="str">
        <f ca="1">IF((OFFSET($A$1, 48 - 1, 53 - 1)) &gt;= (OFFSET($A$1, 88 - 1, 7 - 1)), "1","0")</f>
        <v>0</v>
      </c>
      <c r="BD48">
        <f ca="1" xml:space="preserve"> IF( AND( OFFSET($A$1, 48 - 1, 54 - 1) = "1", OFFSET($A$1, 48 - 1, 55 - 1) = "1" ), 1, IF( AND( OFFSET($A$1, 48 - 1, 54 - 1) = "1", OFFSET($A$1, 48 - 1, 55 - 1) = "0" ), 2, IF( AND( OFFSET($A$1, 48 - 1, 54 - 1) = "0", OFFSET($A$1, 48 - 1, 55 - 1) = "1" ), 3, 4 ) ) )</f>
        <v>4</v>
      </c>
      <c r="BF48" s="3">
        <v>8.3333692094780497E-3</v>
      </c>
      <c r="BG48" s="3" t="str">
        <f>"0"</f>
        <v>0</v>
      </c>
      <c r="BH48" t="str">
        <f ca="1">IF((OFFSET($A$1, 48 - 1, 58 - 1)) &gt;= (OFFSET($A$1, 112 - 1, 7 - 1)), "1","0")</f>
        <v>0</v>
      </c>
      <c r="BI48">
        <f ca="1" xml:space="preserve"> IF( AND( OFFSET($A$1, 48 - 1, 59 - 1) = "1", OFFSET($A$1, 48 - 1, 60 - 1) = "1" ), 1, IF( AND( OFFSET($A$1, 48 - 1, 59 - 1) = "1", OFFSET($A$1, 48 - 1, 60 - 1) = "0" ), 2, IF( AND( OFFSET($A$1, 48 - 1, 59 - 1) = "0", OFFSET($A$1, 48 - 1, 60 - 1) = "1" ), 3, 4 ) ) )</f>
        <v>4</v>
      </c>
    </row>
    <row r="49" spans="2:61" x14ac:dyDescent="0.25">
      <c r="C49" s="4">
        <v>1</v>
      </c>
      <c r="D49" s="3">
        <v>0.2</v>
      </c>
      <c r="BA49" s="3">
        <v>7.1282402524274091E-2</v>
      </c>
      <c r="BB49" s="3" t="str">
        <f>"0"</f>
        <v>0</v>
      </c>
      <c r="BC49" t="str">
        <f ca="1">IF((OFFSET($A$1, 49 - 1, 53 - 1)) &gt;= (OFFSET($A$1, 88 - 1, 7 - 1)), "1","0")</f>
        <v>0</v>
      </c>
      <c r="BD49">
        <f ca="1" xml:space="preserve"> IF( AND( OFFSET($A$1, 49 - 1, 54 - 1) = "1", OFFSET($A$1, 49 - 1, 55 - 1) = "1" ), 1, IF( AND( OFFSET($A$1, 49 - 1, 54 - 1) = "1", OFFSET($A$1, 49 - 1, 55 - 1) = "0" ), 2, IF( AND( OFFSET($A$1, 49 - 1, 54 - 1) = "0", OFFSET($A$1, 49 - 1, 55 - 1) = "1" ), 3, 4 ) ) )</f>
        <v>4</v>
      </c>
      <c r="BF49" s="3">
        <v>4.5208557988705579E-2</v>
      </c>
      <c r="BG49" s="3" t="str">
        <f>"1"</f>
        <v>1</v>
      </c>
      <c r="BH49" t="str">
        <f ca="1">IF((OFFSET($A$1, 49 - 1, 58 - 1)) &gt;= (OFFSET($A$1, 112 - 1, 7 - 1)), "1","0")</f>
        <v>0</v>
      </c>
      <c r="BI49">
        <f ca="1" xml:space="preserve"> IF( AND( OFFSET($A$1, 49 - 1, 59 - 1) = "1", OFFSET($A$1, 49 - 1, 60 - 1) = "1" ), 1, IF( AND( OFFSET($A$1, 49 - 1, 59 - 1) = "1", OFFSET($A$1, 49 - 1, 60 - 1) = "0" ), 2, IF( AND( OFFSET($A$1, 49 - 1, 59 - 1) = "0", OFFSET($A$1, 49 - 1, 60 - 1) = "1" ), 3, 4 ) ) )</f>
        <v>2</v>
      </c>
    </row>
    <row r="50" spans="2:61" x14ac:dyDescent="0.25">
      <c r="BA50" s="3">
        <v>0.86492033003400359</v>
      </c>
      <c r="BB50" s="3" t="str">
        <f>"1"</f>
        <v>1</v>
      </c>
      <c r="BC50" t="str">
        <f ca="1">IF((OFFSET($A$1, 50 - 1, 53 - 1)) &gt;= (OFFSET($A$1, 88 - 1, 7 - 1)), "1","0")</f>
        <v>1</v>
      </c>
      <c r="BD50">
        <f ca="1" xml:space="preserve"> IF( AND( OFFSET($A$1, 50 - 1, 54 - 1) = "1", OFFSET($A$1, 50 - 1, 55 - 1) = "1" ), 1, IF( AND( OFFSET($A$1, 50 - 1, 54 - 1) = "1", OFFSET($A$1, 50 - 1, 55 - 1) = "0" ), 2, IF( AND( OFFSET($A$1, 50 - 1, 54 - 1) = "0", OFFSET($A$1, 50 - 1, 55 - 1) = "1" ), 3, 4 ) ) )</f>
        <v>1</v>
      </c>
      <c r="BF50" s="3">
        <v>1.7700399554008261E-2</v>
      </c>
      <c r="BG50" s="3" t="str">
        <f>"0"</f>
        <v>0</v>
      </c>
      <c r="BH50" t="str">
        <f ca="1">IF((OFFSET($A$1, 50 - 1, 58 - 1)) &gt;= (OFFSET($A$1, 112 - 1, 7 - 1)), "1","0")</f>
        <v>0</v>
      </c>
      <c r="BI50">
        <f ca="1" xml:space="preserve"> IF( AND( OFFSET($A$1, 50 - 1, 59 - 1) = "1", OFFSET($A$1, 50 - 1, 60 - 1) = "1" ), 1, IF( AND( OFFSET($A$1, 50 - 1, 59 - 1) = "1", OFFSET($A$1, 50 - 1, 60 - 1) = "0" ), 2, IF( AND( OFFSET($A$1, 50 - 1, 59 - 1) = "0", OFFSET($A$1, 50 - 1, 60 - 1) = "1" ), 3, 4 ) ) )</f>
        <v>4</v>
      </c>
    </row>
    <row r="51" spans="2:61" x14ac:dyDescent="0.25">
      <c r="BA51" s="3">
        <v>3.1878304960592696E-3</v>
      </c>
      <c r="BB51" s="3" t="str">
        <f>"0"</f>
        <v>0</v>
      </c>
      <c r="BC51" t="str">
        <f ca="1">IF((OFFSET($A$1, 51 - 1, 53 - 1)) &gt;= (OFFSET($A$1, 88 - 1, 7 - 1)), "1","0")</f>
        <v>0</v>
      </c>
      <c r="BD51">
        <f ca="1" xml:space="preserve"> IF( AND( OFFSET($A$1, 51 - 1, 54 - 1) = "1", OFFSET($A$1, 51 - 1, 55 - 1) = "1" ), 1, IF( AND( OFFSET($A$1, 51 - 1, 54 - 1) = "1", OFFSET($A$1, 51 - 1, 55 - 1) = "0" ), 2, IF( AND( OFFSET($A$1, 51 - 1, 54 - 1) = "0", OFFSET($A$1, 51 - 1, 55 - 1) = "1" ), 3, 4 ) ) )</f>
        <v>4</v>
      </c>
      <c r="BF51" s="3">
        <v>3.1878304960592696E-3</v>
      </c>
      <c r="BG51" s="3" t="str">
        <f>"0"</f>
        <v>0</v>
      </c>
      <c r="BH51" t="str">
        <f ca="1">IF((OFFSET($A$1, 51 - 1, 58 - 1)) &gt;= (OFFSET($A$1, 112 - 1, 7 - 1)), "1","0")</f>
        <v>0</v>
      </c>
      <c r="BI51">
        <f ca="1" xml:space="preserve"> IF( AND( OFFSET($A$1, 51 - 1, 59 - 1) = "1", OFFSET($A$1, 51 - 1, 60 - 1) = "1" ), 1, IF( AND( OFFSET($A$1, 51 - 1, 59 - 1) = "1", OFFSET($A$1, 51 - 1, 60 - 1) = "0" ), 2, IF( AND( OFFSET($A$1, 51 - 1, 59 - 1) = "0", OFFSET($A$1, 51 - 1, 60 - 1) = "1" ), 3, 4 ) ) )</f>
        <v>4</v>
      </c>
    </row>
    <row r="52" spans="2:61" ht="18.75" x14ac:dyDescent="0.3">
      <c r="B52" s="21" t="s">
        <v>296</v>
      </c>
      <c r="BA52" s="3">
        <v>4.2125609205921309E-3</v>
      </c>
      <c r="BB52" s="3" t="str">
        <f>"0"</f>
        <v>0</v>
      </c>
      <c r="BC52" t="str">
        <f ca="1">IF((OFFSET($A$1, 52 - 1, 53 - 1)) &gt;= (OFFSET($A$1, 88 - 1, 7 - 1)), "1","0")</f>
        <v>0</v>
      </c>
      <c r="BD52">
        <f ca="1" xml:space="preserve"> IF( AND( OFFSET($A$1, 52 - 1, 54 - 1) = "1", OFFSET($A$1, 52 - 1, 55 - 1) = "1" ), 1, IF( AND( OFFSET($A$1, 52 - 1, 54 - 1) = "1", OFFSET($A$1, 52 - 1, 55 - 1) = "0" ), 2, IF( AND( OFFSET($A$1, 52 - 1, 54 - 1) = "0", OFFSET($A$1, 52 - 1, 55 - 1) = "1" ), 3, 4 ) ) )</f>
        <v>4</v>
      </c>
      <c r="BF52" s="3">
        <v>5.8942168729575521E-2</v>
      </c>
      <c r="BG52" s="3" t="str">
        <f>"0"</f>
        <v>0</v>
      </c>
      <c r="BH52" t="str">
        <f ca="1">IF((OFFSET($A$1, 52 - 1, 58 - 1)) &gt;= (OFFSET($A$1, 112 - 1, 7 - 1)), "1","0")</f>
        <v>0</v>
      </c>
      <c r="BI52">
        <f ca="1" xml:space="preserve"> IF( AND( OFFSET($A$1, 52 - 1, 59 - 1) = "1", OFFSET($A$1, 52 - 1, 60 - 1) = "1" ), 1, IF( AND( OFFSET($A$1, 52 - 1, 59 - 1) = "1", OFFSET($A$1, 52 - 1, 60 - 1) = "0" ), 2, IF( AND( OFFSET($A$1, 52 - 1, 59 - 1) = "0", OFFSET($A$1, 52 - 1, 60 - 1) = "1" ), 3, 4 ) ) )</f>
        <v>4</v>
      </c>
    </row>
    <row r="53" spans="2:61" x14ac:dyDescent="0.25">
      <c r="BA53" s="3">
        <v>1.3438952087404268E-2</v>
      </c>
      <c r="BB53" s="3" t="str">
        <f>"0"</f>
        <v>0</v>
      </c>
      <c r="BC53" t="str">
        <f ca="1">IF((OFFSET($A$1, 53 - 1, 53 - 1)) &gt;= (OFFSET($A$1, 88 - 1, 7 - 1)), "1","0")</f>
        <v>0</v>
      </c>
      <c r="BD53">
        <f ca="1" xml:space="preserve"> IF( AND( OFFSET($A$1, 53 - 1, 54 - 1) = "1", OFFSET($A$1, 53 - 1, 55 - 1) = "1" ), 1, IF( AND( OFFSET($A$1, 53 - 1, 54 - 1) = "1", OFFSET($A$1, 53 - 1, 55 - 1) = "0" ), 2, IF( AND( OFFSET($A$1, 53 - 1, 54 - 1) = "0", OFFSET($A$1, 53 - 1, 55 - 1) = "1" ), 3, 4 ) ) )</f>
        <v>4</v>
      </c>
      <c r="BF53" s="3">
        <v>0.48115079125216564</v>
      </c>
      <c r="BG53" s="3" t="str">
        <f>"0"</f>
        <v>0</v>
      </c>
      <c r="BH53" t="str">
        <f ca="1">IF((OFFSET($A$1, 53 - 1, 58 - 1)) &gt;= (OFFSET($A$1, 112 - 1, 7 - 1)), "1","0")</f>
        <v>0</v>
      </c>
      <c r="BI53">
        <f ca="1" xml:space="preserve"> IF( AND( OFFSET($A$1, 53 - 1, 59 - 1) = "1", OFFSET($A$1, 53 - 1, 60 - 1) = "1" ), 1, IF( AND( OFFSET($A$1, 53 - 1, 59 - 1) = "1", OFFSET($A$1, 53 - 1, 60 - 1) = "0" ), 2, IF( AND( OFFSET($A$1, 53 - 1, 59 - 1) = "0", OFFSET($A$1, 53 - 1, 60 - 1) = "1" ), 3, 4 ) ) )</f>
        <v>4</v>
      </c>
    </row>
    <row r="54" spans="2:61" x14ac:dyDescent="0.25">
      <c r="C54" s="31" t="s">
        <v>297</v>
      </c>
      <c r="D54" s="32"/>
      <c r="E54" s="33"/>
      <c r="F54" s="3">
        <v>1.8748734029917544E-12</v>
      </c>
      <c r="BA54" s="3">
        <v>4.5208557988705579E-2</v>
      </c>
      <c r="BB54" s="3" t="str">
        <f>"0"</f>
        <v>0</v>
      </c>
      <c r="BC54" t="str">
        <f ca="1">IF((OFFSET($A$1, 54 - 1, 53 - 1)) &gt;= (OFFSET($A$1, 88 - 1, 7 - 1)), "1","0")</f>
        <v>0</v>
      </c>
      <c r="BD54">
        <f ca="1" xml:space="preserve"> IF( AND( OFFSET($A$1, 54 - 1, 54 - 1) = "1", OFFSET($A$1, 54 - 1, 55 - 1) = "1" ), 1, IF( AND( OFFSET($A$1, 54 - 1, 54 - 1) = "1", OFFSET($A$1, 54 - 1, 55 - 1) = "0" ), 2, IF( AND( OFFSET($A$1, 54 - 1, 54 - 1) = "0", OFFSET($A$1, 54 - 1, 55 - 1) = "1" ), 3, 4 ) ) )</f>
        <v>4</v>
      </c>
      <c r="BF54" s="3">
        <v>0.24638221057443288</v>
      </c>
      <c r="BG54" s="3" t="str">
        <f>"0"</f>
        <v>0</v>
      </c>
      <c r="BH54" t="str">
        <f ca="1">IF((OFFSET($A$1, 54 - 1, 58 - 1)) &gt;= (OFFSET($A$1, 112 - 1, 7 - 1)), "1","0")</f>
        <v>0</v>
      </c>
      <c r="BI54">
        <f ca="1" xml:space="preserve"> IF( AND( OFFSET($A$1, 54 - 1, 59 - 1) = "1", OFFSET($A$1, 54 - 1, 60 - 1) = "1" ), 1, IF( AND( OFFSET($A$1, 54 - 1, 59 - 1) = "1", OFFSET($A$1, 54 - 1, 60 - 1) = "0" ), 2, IF( AND( OFFSET($A$1, 54 - 1, 59 - 1) = "0", OFFSET($A$1, 54 - 1, 60 - 1) = "1" ), 3, 4 ) ) )</f>
        <v>4</v>
      </c>
    </row>
    <row r="55" spans="2:61" x14ac:dyDescent="0.25">
      <c r="BA55" s="3">
        <v>0.91212197511962823</v>
      </c>
      <c r="BB55" s="3" t="str">
        <f>"1"</f>
        <v>1</v>
      </c>
      <c r="BC55" t="str">
        <f ca="1">IF((OFFSET($A$1, 55 - 1, 53 - 1)) &gt;= (OFFSET($A$1, 88 - 1, 7 - 1)), "1","0")</f>
        <v>1</v>
      </c>
      <c r="BD55">
        <f ca="1" xml:space="preserve"> IF( AND( OFFSET($A$1, 55 - 1, 54 - 1) = "1", OFFSET($A$1, 55 - 1, 55 - 1) = "1" ), 1, IF( AND( OFFSET($A$1, 55 - 1, 54 - 1) = "1", OFFSET($A$1, 55 - 1, 55 - 1) = "0" ), 2, IF( AND( OFFSET($A$1, 55 - 1, 54 - 1) = "0", OFFSET($A$1, 55 - 1, 55 - 1) = "1" ), 3, 4 ) ) )</f>
        <v>1</v>
      </c>
      <c r="BF55" s="3">
        <v>0.34638899148037872</v>
      </c>
      <c r="BG55" s="3" t="str">
        <f>"0"</f>
        <v>0</v>
      </c>
      <c r="BH55" t="str">
        <f ca="1">IF((OFFSET($A$1, 55 - 1, 58 - 1)) &gt;= (OFFSET($A$1, 112 - 1, 7 - 1)), "1","0")</f>
        <v>0</v>
      </c>
      <c r="BI55">
        <f ca="1" xml:space="preserve"> IF( AND( OFFSET($A$1, 55 - 1, 59 - 1) = "1", OFFSET($A$1, 55 - 1, 60 - 1) = "1" ), 1, IF( AND( OFFSET($A$1, 55 - 1, 59 - 1) = "1", OFFSET($A$1, 55 - 1, 60 - 1) = "0" ), 2, IF( AND( OFFSET($A$1, 55 - 1, 59 - 1) = "0", OFFSET($A$1, 55 - 1, 60 - 1) = "1" ), 3, 4 ) ) )</f>
        <v>4</v>
      </c>
    </row>
    <row r="56" spans="2:61" ht="15.75" x14ac:dyDescent="0.25">
      <c r="C56" s="34" t="s">
        <v>298</v>
      </c>
      <c r="D56" s="35"/>
      <c r="E56" s="34" t="s">
        <v>299</v>
      </c>
      <c r="F56" s="35"/>
      <c r="BA56" s="3">
        <v>5.421944068954285E-6</v>
      </c>
      <c r="BB56" s="3" t="str">
        <f>"0"</f>
        <v>0</v>
      </c>
      <c r="BC56" t="str">
        <f ca="1">IF((OFFSET($A$1, 56 - 1, 53 - 1)) &gt;= (OFFSET($A$1, 88 - 1, 7 - 1)), "1","0")</f>
        <v>0</v>
      </c>
      <c r="BD56">
        <f ca="1" xml:space="preserve"> IF( AND( OFFSET($A$1, 56 - 1, 54 - 1) = "1", OFFSET($A$1, 56 - 1, 55 - 1) = "1" ), 1, IF( AND( OFFSET($A$1, 56 - 1, 54 - 1) = "1", OFFSET($A$1, 56 - 1, 55 - 1) = "0" ), 2, IF( AND( OFFSET($A$1, 56 - 1, 54 - 1) = "0", OFFSET($A$1, 56 - 1, 55 - 1) = "1" ), 3, 4 ) ) )</f>
        <v>4</v>
      </c>
      <c r="BF56" s="3">
        <v>8.7890126215565811E-6</v>
      </c>
      <c r="BG56" s="3" t="str">
        <f>"0"</f>
        <v>0</v>
      </c>
      <c r="BH56" t="str">
        <f ca="1">IF((OFFSET($A$1, 56 - 1, 58 - 1)) &gt;= (OFFSET($A$1, 112 - 1, 7 - 1)), "1","0")</f>
        <v>0</v>
      </c>
      <c r="BI56">
        <f ca="1" xml:space="preserve"> IF( AND( OFFSET($A$1, 56 - 1, 59 - 1) = "1", OFFSET($A$1, 56 - 1, 60 - 1) = "1" ), 1, IF( AND( OFFSET($A$1, 56 - 1, 59 - 1) = "1", OFFSET($A$1, 56 - 1, 60 - 1) = "0" ), 2, IF( AND( OFFSET($A$1, 56 - 1, 59 - 1) = "0", OFFSET($A$1, 56 - 1, 60 - 1) = "1" ), 3, 4 ) ) )</f>
        <v>4</v>
      </c>
    </row>
    <row r="57" spans="2:61" x14ac:dyDescent="0.25">
      <c r="C57" s="24" t="s">
        <v>300</v>
      </c>
      <c r="D57" s="24" t="s">
        <v>301</v>
      </c>
      <c r="E57" s="24" t="s">
        <v>300</v>
      </c>
      <c r="F57" s="24" t="s">
        <v>301</v>
      </c>
      <c r="BA57" s="3">
        <v>5.9362666402367666E-7</v>
      </c>
      <c r="BB57" s="3" t="str">
        <f>"0"</f>
        <v>0</v>
      </c>
      <c r="BC57" t="str">
        <f ca="1">IF((OFFSET($A$1, 57 - 1, 53 - 1)) &gt;= (OFFSET($A$1, 88 - 1, 7 - 1)), "1","0")</f>
        <v>0</v>
      </c>
      <c r="BD57">
        <f ca="1" xml:space="preserve"> IF( AND( OFFSET($A$1, 57 - 1, 54 - 1) = "1", OFFSET($A$1, 57 - 1, 55 - 1) = "1" ), 1, IF( AND( OFFSET($A$1, 57 - 1, 54 - 1) = "1", OFFSET($A$1, 57 - 1, 55 - 1) = "0" ), 2, IF( AND( OFFSET($A$1, 57 - 1, 54 - 1) = "0", OFFSET($A$1, 57 - 1, 55 - 1) = "1" ), 3, 4 ) ) )</f>
        <v>4</v>
      </c>
      <c r="BF57" s="3">
        <v>1.7700399554008261E-2</v>
      </c>
      <c r="BG57" s="3" t="str">
        <f>"0"</f>
        <v>0</v>
      </c>
      <c r="BH57" t="str">
        <f ca="1">IF((OFFSET($A$1, 57 - 1, 58 - 1)) &gt;= (OFFSET($A$1, 112 - 1, 7 - 1)), "1","0")</f>
        <v>0</v>
      </c>
      <c r="BI57">
        <f ca="1" xml:space="preserve"> IF( AND( OFFSET($A$1, 57 - 1, 59 - 1) = "1", OFFSET($A$1, 57 - 1, 60 - 1) = "1" ), 1, IF( AND( OFFSET($A$1, 57 - 1, 59 - 1) = "1", OFFSET($A$1, 57 - 1, 60 - 1) = "0" ), 2, IF( AND( OFFSET($A$1, 57 - 1, 59 - 1) = "0", OFFSET($A$1, 57 - 1, 60 - 1) = "1" ), 3, 4 ) ) )</f>
        <v>4</v>
      </c>
    </row>
    <row r="58" spans="2:61" x14ac:dyDescent="0.25">
      <c r="C58" s="4" t="s">
        <v>302</v>
      </c>
      <c r="D58" s="3">
        <v>3.3076930075884623</v>
      </c>
      <c r="BA58" s="3">
        <v>3.4557390307132202E-2</v>
      </c>
      <c r="BB58" s="3" t="str">
        <f>"0"</f>
        <v>0</v>
      </c>
      <c r="BC58" t="str">
        <f ca="1">IF((OFFSET($A$1, 58 - 1, 53 - 1)) &gt;= (OFFSET($A$1, 88 - 1, 7 - 1)), "1","0")</f>
        <v>0</v>
      </c>
      <c r="BD58">
        <f ca="1" xml:space="preserve"> IF( AND( OFFSET($A$1, 58 - 1, 54 - 1) = "1", OFFSET($A$1, 58 - 1, 55 - 1) = "1" ), 1, IF( AND( OFFSET($A$1, 58 - 1, 54 - 1) = "1", OFFSET($A$1, 58 - 1, 55 - 1) = "0" ), 2, IF( AND( OFFSET($A$1, 58 - 1, 54 - 1) = "0", OFFSET($A$1, 58 - 1, 55 - 1) = "1" ), 3, 4 ) ) )</f>
        <v>4</v>
      </c>
      <c r="BF58" s="3">
        <v>2.8380614261718968E-2</v>
      </c>
      <c r="BG58" s="3" t="str">
        <f>"1"</f>
        <v>1</v>
      </c>
      <c r="BH58" t="str">
        <f ca="1">IF((OFFSET($A$1, 58 - 1, 58 - 1)) &gt;= (OFFSET($A$1, 112 - 1, 7 - 1)), "1","0")</f>
        <v>0</v>
      </c>
      <c r="BI58">
        <f ca="1" xml:space="preserve"> IF( AND( OFFSET($A$1, 58 - 1, 59 - 1) = "1", OFFSET($A$1, 58 - 1, 60 - 1) = "1" ), 1, IF( AND( OFFSET($A$1, 58 - 1, 59 - 1) = "1", OFFSET($A$1, 58 - 1, 60 - 1) = "0" ), 2, IF( AND( OFFSET($A$1, 58 - 1, 59 - 1) = "0", OFFSET($A$1, 58 - 1, 60 - 1) = "1" ), 3, 4 ) ) )</f>
        <v>2</v>
      </c>
    </row>
    <row r="59" spans="2:61" x14ac:dyDescent="0.25">
      <c r="C59" s="4" t="s">
        <v>2</v>
      </c>
      <c r="D59" s="3">
        <v>80.417659752071899</v>
      </c>
      <c r="BA59" s="3">
        <v>0.14132294827706593</v>
      </c>
      <c r="BB59" s="3" t="str">
        <f>"0"</f>
        <v>0</v>
      </c>
      <c r="BC59" t="str">
        <f ca="1">IF((OFFSET($A$1, 59 - 1, 53 - 1)) &gt;= (OFFSET($A$1, 88 - 1, 7 - 1)), "1","0")</f>
        <v>0</v>
      </c>
      <c r="BD59">
        <f ca="1" xml:space="preserve"> IF( AND( OFFSET($A$1, 59 - 1, 54 - 1) = "1", OFFSET($A$1, 59 - 1, 55 - 1) = "1" ), 1, IF( AND( OFFSET($A$1, 59 - 1, 54 - 1) = "1", OFFSET($A$1, 59 - 1, 55 - 1) = "0" ), 2, IF( AND( OFFSET($A$1, 59 - 1, 54 - 1) = "0", OFFSET($A$1, 59 - 1, 55 - 1) = "1" ), 3, 4 ) ) )</f>
        <v>4</v>
      </c>
      <c r="BF59" s="3">
        <v>2.7895693630564257E-4</v>
      </c>
      <c r="BG59" s="3" t="str">
        <f>"0"</f>
        <v>0</v>
      </c>
      <c r="BH59" t="str">
        <f ca="1">IF((OFFSET($A$1, 59 - 1, 58 - 1)) &gt;= (OFFSET($A$1, 112 - 1, 7 - 1)), "1","0")</f>
        <v>0</v>
      </c>
      <c r="BI59">
        <f ca="1" xml:space="preserve"> IF( AND( OFFSET($A$1, 59 - 1, 59 - 1) = "1", OFFSET($A$1, 59 - 1, 60 - 1) = "1" ), 1, IF( AND( OFFSET($A$1, 59 - 1, 59 - 1) = "1", OFFSET($A$1, 59 - 1, 60 - 1) = "0" ), 2, IF( AND( OFFSET($A$1, 59 - 1, 59 - 1) = "0", OFFSET($A$1, 59 - 1, 60 - 1) = "1" ), 3, 4 ) ) )</f>
        <v>4</v>
      </c>
    </row>
    <row r="60" spans="2:61" x14ac:dyDescent="0.25">
      <c r="C60" s="4" t="s">
        <v>3</v>
      </c>
      <c r="D60" s="3">
        <v>11.761422762956848</v>
      </c>
      <c r="BA60" s="3">
        <v>0.1678345502816754</v>
      </c>
      <c r="BB60" s="3" t="str">
        <f>"1"</f>
        <v>1</v>
      </c>
      <c r="BC60" t="str">
        <f ca="1">IF((OFFSET($A$1, 60 - 1, 53 - 1)) &gt;= (OFFSET($A$1, 88 - 1, 7 - 1)), "1","0")</f>
        <v>0</v>
      </c>
      <c r="BD60">
        <f ca="1" xml:space="preserve"> IF( AND( OFFSET($A$1, 60 - 1, 54 - 1) = "1", OFFSET($A$1, 60 - 1, 55 - 1) = "1" ), 1, IF( AND( OFFSET($A$1, 60 - 1, 54 - 1) = "1", OFFSET($A$1, 60 - 1, 55 - 1) = "0" ), 2, IF( AND( OFFSET($A$1, 60 - 1, 54 - 1) = "0", OFFSET($A$1, 60 - 1, 55 - 1) = "1" ), 3, 4 ) ) )</f>
        <v>2</v>
      </c>
      <c r="BF60" s="3">
        <v>8.3333692094780497E-3</v>
      </c>
      <c r="BG60" s="3" t="str">
        <f>"0"</f>
        <v>0</v>
      </c>
      <c r="BH60" t="str">
        <f ca="1">IF((OFFSET($A$1, 60 - 1, 58 - 1)) &gt;= (OFFSET($A$1, 112 - 1, 7 - 1)), "1","0")</f>
        <v>0</v>
      </c>
      <c r="BI60">
        <f ca="1" xml:space="preserve"> IF( AND( OFFSET($A$1, 60 - 1, 59 - 1) = "1", OFFSET($A$1, 60 - 1, 60 - 1) = "1" ), 1, IF( AND( OFFSET($A$1, 60 - 1, 59 - 1) = "1", OFFSET($A$1, 60 - 1, 60 - 1) = "0" ), 2, IF( AND( OFFSET($A$1, 60 - 1, 59 - 1) = "0", OFFSET($A$1, 60 - 1, 60 - 1) = "1" ), 3, 4 ) ) )</f>
        <v>4</v>
      </c>
    </row>
    <row r="61" spans="2:61" x14ac:dyDescent="0.25">
      <c r="C61" s="4" t="s">
        <v>4</v>
      </c>
      <c r="D61" s="3">
        <v>3.0476948257508796</v>
      </c>
      <c r="BA61" s="3">
        <v>1.3438952087404268E-2</v>
      </c>
      <c r="BB61" s="3" t="str">
        <f>"0"</f>
        <v>0</v>
      </c>
      <c r="BC61" t="str">
        <f ca="1">IF((OFFSET($A$1, 61 - 1, 53 - 1)) &gt;= (OFFSET($A$1, 88 - 1, 7 - 1)), "1","0")</f>
        <v>0</v>
      </c>
      <c r="BD61">
        <f ca="1" xml:space="preserve"> IF( AND( OFFSET($A$1, 61 - 1, 54 - 1) = "1", OFFSET($A$1, 61 - 1, 55 - 1) = "1" ), 1, IF( AND( OFFSET($A$1, 61 - 1, 54 - 1) = "1", OFFSET($A$1, 61 - 1, 55 - 1) = "0" ), 2, IF( AND( OFFSET($A$1, 61 - 1, 54 - 1) = "0", OFFSET($A$1, 61 - 1, 55 - 1) = "1" ), 3, 4 ) ) )</f>
        <v>4</v>
      </c>
      <c r="BF61" s="3">
        <v>9.2172169115320862E-2</v>
      </c>
      <c r="BG61" s="3" t="str">
        <f>"0"</f>
        <v>0</v>
      </c>
      <c r="BH61" t="str">
        <f ca="1">IF((OFFSET($A$1, 61 - 1, 58 - 1)) &gt;= (OFFSET($A$1, 112 - 1, 7 - 1)), "1","0")</f>
        <v>0</v>
      </c>
      <c r="BI61">
        <f ca="1" xml:space="preserve"> IF( AND( OFFSET($A$1, 61 - 1, 59 - 1) = "1", OFFSET($A$1, 61 - 1, 60 - 1) = "1" ), 1, IF( AND( OFFSET($A$1, 61 - 1, 59 - 1) = "1", OFFSET($A$1, 61 - 1, 60 - 1) = "0" ), 2, IF( AND( OFFSET($A$1, 61 - 1, 59 - 1) = "0", OFFSET($A$1, 61 - 1, 60 - 1) = "1" ), 3, 4 ) ) )</f>
        <v>4</v>
      </c>
    </row>
    <row r="62" spans="2:61" x14ac:dyDescent="0.25">
      <c r="BA62" s="3">
        <v>1.7700399554008261E-2</v>
      </c>
      <c r="BB62" s="3" t="str">
        <f>"0"</f>
        <v>0</v>
      </c>
      <c r="BC62" t="str">
        <f ca="1">IF((OFFSET($A$1, 62 - 1, 53 - 1)) &gt;= (OFFSET($A$1, 88 - 1, 7 - 1)), "1","0")</f>
        <v>0</v>
      </c>
      <c r="BD62">
        <f ca="1" xml:space="preserve"> IF( AND( OFFSET($A$1, 62 - 1, 54 - 1) = "1", OFFSET($A$1, 62 - 1, 55 - 1) = "1" ), 1, IF( AND( OFFSET($A$1, 62 - 1, 54 - 1) = "1", OFFSET($A$1, 62 - 1, 55 - 1) = "0" ), 2, IF( AND( OFFSET($A$1, 62 - 1, 54 - 1) = "0", OFFSET($A$1, 62 - 1, 55 - 1) = "1" ), 3, 4 ) ) )</f>
        <v>4</v>
      </c>
      <c r="BF62" s="3">
        <v>0.1678345502816754</v>
      </c>
      <c r="BG62" s="3" t="str">
        <f>"0"</f>
        <v>0</v>
      </c>
      <c r="BH62" t="str">
        <f ca="1">IF((OFFSET($A$1, 62 - 1, 58 - 1)) &gt;= (OFFSET($A$1, 112 - 1, 7 - 1)), "1","0")</f>
        <v>0</v>
      </c>
      <c r="BI62">
        <f ca="1" xml:space="preserve"> IF( AND( OFFSET($A$1, 62 - 1, 59 - 1) = "1", OFFSET($A$1, 62 - 1, 60 - 1) = "1" ), 1, IF( AND( OFFSET($A$1, 62 - 1, 59 - 1) = "1", OFFSET($A$1, 62 - 1, 60 - 1) = "0" ), 2, IF( AND( OFFSET($A$1, 62 - 1, 59 - 1) = "0", OFFSET($A$1, 62 - 1, 60 - 1) = "1" ), 3, 4 ) ) )</f>
        <v>4</v>
      </c>
    </row>
    <row r="63" spans="2:61" x14ac:dyDescent="0.25">
      <c r="BA63" s="3">
        <v>1.7700399554008261E-2</v>
      </c>
      <c r="BB63" s="3" t="str">
        <f>"0"</f>
        <v>0</v>
      </c>
      <c r="BC63" t="str">
        <f ca="1">IF((OFFSET($A$1, 63 - 1, 53 - 1)) &gt;= (OFFSET($A$1, 88 - 1, 7 - 1)), "1","0")</f>
        <v>0</v>
      </c>
      <c r="BD63">
        <f ca="1" xml:space="preserve"> IF( AND( OFFSET($A$1, 63 - 1, 54 - 1) = "1", OFFSET($A$1, 63 - 1, 55 - 1) = "1" ), 1, IF( AND( OFFSET($A$1, 63 - 1, 54 - 1) = "1", OFFSET($A$1, 63 - 1, 55 - 1) = "0" ), 2, IF( AND( OFFSET($A$1, 63 - 1, 54 - 1) = "0", OFFSET($A$1, 63 - 1, 55 - 1) = "1" ), 3, 4 ) ) )</f>
        <v>4</v>
      </c>
      <c r="BF63" s="3">
        <v>2.0634001480377549E-6</v>
      </c>
      <c r="BG63" s="3" t="str">
        <f>"0"</f>
        <v>0</v>
      </c>
      <c r="BH63" t="str">
        <f ca="1">IF((OFFSET($A$1, 63 - 1, 58 - 1)) &gt;= (OFFSET($A$1, 112 - 1, 7 - 1)), "1","0")</f>
        <v>0</v>
      </c>
      <c r="BI63">
        <f ca="1" xml:space="preserve"> IF( AND( OFFSET($A$1, 63 - 1, 59 - 1) = "1", OFFSET($A$1, 63 - 1, 60 - 1) = "1" ), 1, IF( AND( OFFSET($A$1, 63 - 1, 59 - 1) = "1", OFFSET($A$1, 63 - 1, 60 - 1) = "0" ), 2, IF( AND( OFFSET($A$1, 63 - 1, 59 - 1) = "0", OFFSET($A$1, 63 - 1, 60 - 1) = "1" ), 3, 4 ) ) )</f>
        <v>4</v>
      </c>
    </row>
    <row r="64" spans="2:61" ht="18.75" x14ac:dyDescent="0.3">
      <c r="B64" s="21" t="s">
        <v>303</v>
      </c>
      <c r="BA64" s="3">
        <v>4.5208557988705579E-2</v>
      </c>
      <c r="BB64" s="3" t="str">
        <f>"0"</f>
        <v>0</v>
      </c>
      <c r="BC64" t="str">
        <f ca="1">IF((OFFSET($A$1, 64 - 1, 53 - 1)) &gt;= (OFFSET($A$1, 88 - 1, 7 - 1)), "1","0")</f>
        <v>0</v>
      </c>
      <c r="BD64">
        <f ca="1" xml:space="preserve"> IF( AND( OFFSET($A$1, 64 - 1, 54 - 1) = "1", OFFSET($A$1, 64 - 1, 55 - 1) = "1" ), 1, IF( AND( OFFSET($A$1, 64 - 1, 54 - 1) = "1", OFFSET($A$1, 64 - 1, 55 - 1) = "0" ), 2, IF( AND( OFFSET($A$1, 64 - 1, 54 - 1) = "0", OFFSET($A$1, 64 - 1, 55 - 1) = "1" ), 3, 4 ) ) )</f>
        <v>4</v>
      </c>
      <c r="BF64" s="3">
        <v>9.6227622792089097E-7</v>
      </c>
      <c r="BG64" s="3" t="str">
        <f>"0"</f>
        <v>0</v>
      </c>
      <c r="BH64" t="str">
        <f ca="1">IF((OFFSET($A$1, 64 - 1, 58 - 1)) &gt;= (OFFSET($A$1, 112 - 1, 7 - 1)), "1","0")</f>
        <v>0</v>
      </c>
      <c r="BI64">
        <f ca="1" xml:space="preserve"> IF( AND( OFFSET($A$1, 64 - 1, 59 - 1) = "1", OFFSET($A$1, 64 - 1, 60 - 1) = "1" ), 1, IF( AND( OFFSET($A$1, 64 - 1, 59 - 1) = "1", OFFSET($A$1, 64 - 1, 60 - 1) = "0" ), 2, IF( AND( OFFSET($A$1, 64 - 1, 59 - 1) = "0", OFFSET($A$1, 64 - 1, 60 - 1) = "1" ), 3, 4 ) ) )</f>
        <v>4</v>
      </c>
    </row>
    <row r="65" spans="2:61" x14ac:dyDescent="0.25">
      <c r="BA65" s="3">
        <v>0.64814866033700547</v>
      </c>
      <c r="BB65" s="3" t="str">
        <f>"1"</f>
        <v>1</v>
      </c>
      <c r="BC65" t="str">
        <f ca="1">IF((OFFSET($A$1, 65 - 1, 53 - 1)) &gt;= (OFFSET($A$1, 88 - 1, 7 - 1)), "1","0")</f>
        <v>1</v>
      </c>
      <c r="BD65">
        <f ca="1" xml:space="preserve"> IF( AND( OFFSET($A$1, 65 - 1, 54 - 1) = "1", OFFSET($A$1, 65 - 1, 55 - 1) = "1" ), 1, IF( AND( OFFSET($A$1, 65 - 1, 54 - 1) = "1", OFFSET($A$1, 65 - 1, 55 - 1) = "0" ), 2, IF( AND( OFFSET($A$1, 65 - 1, 54 - 1) = "0", OFFSET($A$1, 65 - 1, 55 - 1) = "1" ), 3, 4 ) ) )</f>
        <v>1</v>
      </c>
      <c r="BF65" s="3">
        <v>3.1878304960592696E-3</v>
      </c>
      <c r="BG65" s="3" t="str">
        <f>"0"</f>
        <v>0</v>
      </c>
      <c r="BH65" t="str">
        <f ca="1">IF((OFFSET($A$1, 65 - 1, 58 - 1)) &gt;= (OFFSET($A$1, 112 - 1, 7 - 1)), "1","0")</f>
        <v>0</v>
      </c>
      <c r="BI65">
        <f ca="1" xml:space="preserve"> IF( AND( OFFSET($A$1, 65 - 1, 59 - 1) = "1", OFFSET($A$1, 65 - 1, 60 - 1) = "1" ), 1, IF( AND( OFFSET($A$1, 65 - 1, 59 - 1) = "1", OFFSET($A$1, 65 - 1, 60 - 1) = "0" ), 2, IF( AND( OFFSET($A$1, 65 - 1, 59 - 1) = "0", OFFSET($A$1, 65 - 1, 60 - 1) = "1" ), 3, 4 ) ) )</f>
        <v>4</v>
      </c>
    </row>
    <row r="66" spans="2:61" ht="25.5" x14ac:dyDescent="0.25">
      <c r="C66" s="25" t="s">
        <v>304</v>
      </c>
      <c r="D66" s="23" t="s">
        <v>305</v>
      </c>
      <c r="E66" s="23" t="s">
        <v>306</v>
      </c>
      <c r="F66" s="23" t="s">
        <v>307</v>
      </c>
      <c r="G66" s="23" t="s">
        <v>308</v>
      </c>
      <c r="H66" s="23" t="s">
        <v>309</v>
      </c>
      <c r="I66" s="23" t="s">
        <v>310</v>
      </c>
      <c r="J66" s="23" t="s">
        <v>311</v>
      </c>
      <c r="L66" s="4" t="s">
        <v>312</v>
      </c>
      <c r="M66" s="3">
        <v>101</v>
      </c>
      <c r="BA66" s="3">
        <v>3.6620728668807429E-7</v>
      </c>
      <c r="BB66" s="3" t="str">
        <f>"0"</f>
        <v>0</v>
      </c>
      <c r="BC66" t="str">
        <f ca="1">IF((OFFSET($A$1, 66 - 1, 53 - 1)) &gt;= (OFFSET($A$1, 88 - 1, 7 - 1)), "1","0")</f>
        <v>0</v>
      </c>
      <c r="BD66">
        <f ca="1" xml:space="preserve"> IF( AND( OFFSET($A$1, 66 - 1, 54 - 1) = "1", OFFSET($A$1, 66 - 1, 55 - 1) = "1" ), 1, IF( AND( OFFSET($A$1, 66 - 1, 54 - 1) = "1", OFFSET($A$1, 66 - 1, 55 - 1) = "0" ), 2, IF( AND( OFFSET($A$1, 66 - 1, 54 - 1) = "0", OFFSET($A$1, 66 - 1, 55 - 1) = "1" ), 3, 4 ) ) )</f>
        <v>4</v>
      </c>
      <c r="BF66" s="3">
        <v>2.0634001480377549E-6</v>
      </c>
      <c r="BG66" s="3" t="str">
        <f>"0"</f>
        <v>0</v>
      </c>
      <c r="BH66" t="str">
        <f ca="1">IF((OFFSET($A$1, 66 - 1, 58 - 1)) &gt;= (OFFSET($A$1, 112 - 1, 7 - 1)), "1","0")</f>
        <v>0</v>
      </c>
      <c r="BI66">
        <f ca="1" xml:space="preserve"> IF( AND( OFFSET($A$1, 66 - 1, 59 - 1) = "1", OFFSET($A$1, 66 - 1, 60 - 1) = "1" ), 1, IF( AND( OFFSET($A$1, 66 - 1, 59 - 1) = "1", OFFSET($A$1, 66 - 1, 60 - 1) = "0" ), 2, IF( AND( OFFSET($A$1, 66 - 1, 59 - 1) = "0", OFFSET($A$1, 66 - 1, 60 - 1) = "1" ), 3, 4 ) ) )</f>
        <v>4</v>
      </c>
    </row>
    <row r="67" spans="2:61" x14ac:dyDescent="0.25">
      <c r="C67" s="4" t="s">
        <v>302</v>
      </c>
      <c r="D67" s="3">
        <v>-7.6774269955350185</v>
      </c>
      <c r="E67" s="3">
        <v>1.6846663043471968</v>
      </c>
      <c r="F67" s="3">
        <v>20.768427364679464</v>
      </c>
      <c r="G67" s="3">
        <v>5.1830433899787456E-6</v>
      </c>
      <c r="H67" s="3">
        <v>4.6316509278954881E-4</v>
      </c>
      <c r="I67" s="3">
        <v>1.7050819719102432E-5</v>
      </c>
      <c r="J67" s="3">
        <v>1.2581324928233077E-2</v>
      </c>
      <c r="L67" s="4" t="s">
        <v>313</v>
      </c>
      <c r="M67" s="3">
        <v>49.146845881753976</v>
      </c>
      <c r="BA67" s="3">
        <v>6.5504378465764169E-5</v>
      </c>
      <c r="BB67" s="3" t="str">
        <f>"0"</f>
        <v>0</v>
      </c>
      <c r="BC67" t="str">
        <f ca="1">IF((OFFSET($A$1, 67 - 1, 53 - 1)) &gt;= (OFFSET($A$1, 88 - 1, 7 - 1)), "1","0")</f>
        <v>0</v>
      </c>
      <c r="BD67">
        <f ca="1" xml:space="preserve"> IF( AND( OFFSET($A$1, 67 - 1, 54 - 1) = "1", OFFSET($A$1, 67 - 1, 55 - 1) = "1" ), 1, IF( AND( OFFSET($A$1, 67 - 1, 54 - 1) = "1", OFFSET($A$1, 67 - 1, 55 - 1) = "0" ), 2, IF( AND( OFFSET($A$1, 67 - 1, 54 - 1) = "0", OFFSET($A$1, 67 - 1, 55 - 1) = "1" ), 3, 4 ) ) )</f>
        <v>4</v>
      </c>
    </row>
    <row r="68" spans="2:61" x14ac:dyDescent="0.25">
      <c r="C68" s="4" t="s">
        <v>2</v>
      </c>
      <c r="D68" s="3">
        <v>0.48305130728820228</v>
      </c>
      <c r="E68" s="3">
        <v>0.16732493924146272</v>
      </c>
      <c r="F68" s="3">
        <v>8.334224052778783</v>
      </c>
      <c r="G68" s="3">
        <v>3.890509146493539E-3</v>
      </c>
      <c r="H68" s="3">
        <v>1.6210130726634016</v>
      </c>
      <c r="I68" s="3">
        <v>1.1677752613442629</v>
      </c>
      <c r="J68" s="3">
        <v>2.2501618836494561</v>
      </c>
      <c r="L68" s="4" t="s">
        <v>314</v>
      </c>
      <c r="M68" s="3">
        <v>8</v>
      </c>
      <c r="BA68" s="3">
        <v>0.11065146435226708</v>
      </c>
      <c r="BB68" s="3" t="str">
        <f>"0"</f>
        <v>0</v>
      </c>
      <c r="BC68" t="str">
        <f ca="1">IF((OFFSET($A$1, 68 - 1, 53 - 1)) &gt;= (OFFSET($A$1, 88 - 1, 7 - 1)), "1","0")</f>
        <v>0</v>
      </c>
      <c r="BD68">
        <f ca="1" xml:space="preserve"> IF( AND( OFFSET($A$1, 68 - 1, 54 - 1) = "1", OFFSET($A$1, 68 - 1, 55 - 1) = "1" ), 1, IF( AND( OFFSET($A$1, 68 - 1, 54 - 1) = "1", OFFSET($A$1, 68 - 1, 55 - 1) = "0" ), 2, IF( AND( OFFSET($A$1, 68 - 1, 54 - 1) = "0", OFFSET($A$1, 68 - 1, 55 - 1) = "1" ), 3, 4 ) ) )</f>
        <v>4</v>
      </c>
    </row>
    <row r="69" spans="2:61" x14ac:dyDescent="0.25">
      <c r="C69" s="4" t="s">
        <v>3</v>
      </c>
      <c r="D69" s="3">
        <v>1.2458613181645979</v>
      </c>
      <c r="E69" s="3">
        <v>0.34662388607371658</v>
      </c>
      <c r="F69" s="3">
        <v>12.918807591909738</v>
      </c>
      <c r="G69" s="3">
        <v>3.2529701766687279E-4</v>
      </c>
      <c r="H69" s="3">
        <v>3.475927389765197</v>
      </c>
      <c r="I69" s="3">
        <v>1.7620730500958333</v>
      </c>
      <c r="J69" s="3">
        <v>6.8567368522336762</v>
      </c>
      <c r="L69" s="4" t="s">
        <v>315</v>
      </c>
      <c r="M69" s="3">
        <v>0.53231121907413459</v>
      </c>
      <c r="BA69" s="3">
        <v>0.11065146435226708</v>
      </c>
      <c r="BB69" s="3" t="str">
        <f>"0"</f>
        <v>0</v>
      </c>
      <c r="BC69" t="str">
        <f ca="1">IF((OFFSET($A$1, 69 - 1, 53 - 1)) &gt;= (OFFSET($A$1, 88 - 1, 7 - 1)), "1","0")</f>
        <v>0</v>
      </c>
      <c r="BD69">
        <f ca="1" xml:space="preserve"> IF( AND( OFFSET($A$1, 69 - 1, 54 - 1) = "1", OFFSET($A$1, 69 - 1, 55 - 1) = "1" ), 1, IF( AND( OFFSET($A$1, 69 - 1, 54 - 1) = "1", OFFSET($A$1, 69 - 1, 55 - 1) = "0" ), 2, IF( AND( OFFSET($A$1, 69 - 1, 54 - 1) = "0", OFFSET($A$1, 69 - 1, 55 - 1) = "1" ), 3, 4 ) ) )</f>
        <v>4</v>
      </c>
    </row>
    <row r="70" spans="2:61" x14ac:dyDescent="0.25">
      <c r="C70" s="4" t="s">
        <v>4</v>
      </c>
      <c r="D70" s="3">
        <v>-9.0748441742038768</v>
      </c>
      <c r="E70" s="3">
        <v>40.901138210106495</v>
      </c>
      <c r="F70" s="3">
        <v>4.9227475546722965E-2</v>
      </c>
      <c r="G70" s="3">
        <v>0.82441301725439053</v>
      </c>
      <c r="H70" s="3">
        <v>1.1451048418768159E-4</v>
      </c>
      <c r="I70" s="3">
        <v>0</v>
      </c>
      <c r="J70" s="3" t="s">
        <v>316</v>
      </c>
      <c r="BA70" s="3">
        <v>0.98318848171104267</v>
      </c>
      <c r="BB70" s="3" t="str">
        <f>"1"</f>
        <v>1</v>
      </c>
      <c r="BC70" t="str">
        <f ca="1">IF((OFFSET($A$1, 70 - 1, 53 - 1)) &gt;= (OFFSET($A$1, 88 - 1, 7 - 1)), "1","0")</f>
        <v>1</v>
      </c>
      <c r="BD70">
        <f ca="1" xml:space="preserve"> IF( AND( OFFSET($A$1, 70 - 1, 54 - 1) = "1", OFFSET($A$1, 70 - 1, 55 - 1) = "1" ), 1, IF( AND( OFFSET($A$1, 70 - 1, 54 - 1) = "1", OFFSET($A$1, 70 - 1, 55 - 1) = "0" ), 2, IF( AND( OFFSET($A$1, 70 - 1, 54 - 1) = "0", OFFSET($A$1, 70 - 1, 55 - 1) = "1" ), 3, 4 ) ) )</f>
        <v>1</v>
      </c>
    </row>
    <row r="71" spans="2:61" x14ac:dyDescent="0.25">
      <c r="BA71" s="3">
        <v>1.3438952087404268E-2</v>
      </c>
      <c r="BB71" s="3" t="str">
        <f>"0"</f>
        <v>0</v>
      </c>
      <c r="BC71" t="str">
        <f ca="1">IF((OFFSET($A$1, 71 - 1, 53 - 1)) &gt;= (OFFSET($A$1, 88 - 1, 7 - 1)), "1","0")</f>
        <v>0</v>
      </c>
      <c r="BD71">
        <f ca="1" xml:space="preserve"> IF( AND( OFFSET($A$1, 71 - 1, 54 - 1) = "1", OFFSET($A$1, 71 - 1, 55 - 1) = "1" ), 1, IF( AND( OFFSET($A$1, 71 - 1, 54 - 1) = "1", OFFSET($A$1, 71 - 1, 55 - 1) = "0" ), 2, IF( AND( OFFSET($A$1, 71 - 1, 54 - 1) = "0", OFFSET($A$1, 71 - 1, 55 - 1) = "1" ), 3, 4 ) ) )</f>
        <v>4</v>
      </c>
    </row>
    <row r="72" spans="2:61" x14ac:dyDescent="0.25">
      <c r="BA72" s="3">
        <v>1.3438952087404268E-2</v>
      </c>
      <c r="BB72" s="3" t="str">
        <f>"0"</f>
        <v>0</v>
      </c>
      <c r="BC72" t="str">
        <f ca="1">IF((OFFSET($A$1, 72 - 1, 53 - 1)) &gt;= (OFFSET($A$1, 88 - 1, 7 - 1)), "1","0")</f>
        <v>0</v>
      </c>
      <c r="BD72">
        <f ca="1" xml:space="preserve"> IF( AND( OFFSET($A$1, 72 - 1, 54 - 1) = "1", OFFSET($A$1, 72 - 1, 55 - 1) = "1" ), 1, IF( AND( OFFSET($A$1, 72 - 1, 54 - 1) = "1", OFFSET($A$1, 72 - 1, 55 - 1) = "0" ), 2, IF( AND( OFFSET($A$1, 72 - 1, 54 - 1) = "0", OFFSET($A$1, 72 - 1, 55 - 1) = "1" ), 3, 4 ) ) )</f>
        <v>4</v>
      </c>
    </row>
    <row r="73" spans="2:61" ht="18.75" x14ac:dyDescent="0.3">
      <c r="B73" s="21" t="s">
        <v>253</v>
      </c>
      <c r="BA73" s="3">
        <v>4.5208557988705579E-2</v>
      </c>
      <c r="BB73" s="3" t="str">
        <f>"0"</f>
        <v>0</v>
      </c>
      <c r="BC73" t="str">
        <f ca="1">IF((OFFSET($A$1, 73 - 1, 53 - 1)) &gt;= (OFFSET($A$1, 88 - 1, 7 - 1)), "1","0")</f>
        <v>0</v>
      </c>
      <c r="BD73">
        <f ca="1" xml:space="preserve"> IF( AND( OFFSET($A$1, 73 - 1, 54 - 1) = "1", OFFSET($A$1, 73 - 1, 55 - 1) = "1" ), 1, IF( AND( OFFSET($A$1, 73 - 1, 54 - 1) = "1", OFFSET($A$1, 73 - 1, 55 - 1) = "0" ), 2, IF( AND( OFFSET($A$1, 73 - 1, 54 - 1) = "0", OFFSET($A$1, 73 - 1, 55 - 1) = "1" ), 3, 4 ) ) )</f>
        <v>4</v>
      </c>
    </row>
    <row r="74" spans="2:61" x14ac:dyDescent="0.25">
      <c r="BA74" s="3">
        <v>0.53192152883092692</v>
      </c>
      <c r="BB74" s="3" t="str">
        <f>"0"</f>
        <v>0</v>
      </c>
      <c r="BC74" t="str">
        <f ca="1">IF((OFFSET($A$1, 74 - 1, 53 - 1)) &gt;= (OFFSET($A$1, 88 - 1, 7 - 1)), "1","0")</f>
        <v>1</v>
      </c>
      <c r="BD74">
        <f ca="1" xml:space="preserve"> IF( AND( OFFSET($A$1, 74 - 1, 54 - 1) = "1", OFFSET($A$1, 74 - 1, 55 - 1) = "1" ), 1, IF( AND( OFFSET($A$1, 74 - 1, 54 - 1) = "1", OFFSET($A$1, 74 - 1, 55 - 1) = "0" ), 2, IF( AND( OFFSET($A$1, 74 - 1, 54 - 1) = "0", OFFSET($A$1, 74 - 1, 55 - 1) = "1" ), 3, 4 ) ) )</f>
        <v>3</v>
      </c>
    </row>
    <row r="75" spans="2:61" ht="15.75" x14ac:dyDescent="0.25">
      <c r="H75" s="6" t="s">
        <v>211</v>
      </c>
      <c r="I75" s="7"/>
      <c r="J75" s="7"/>
      <c r="K75" s="8"/>
      <c r="BA75" s="3">
        <v>0.91212197511962823</v>
      </c>
      <c r="BB75" s="3" t="str">
        <f>"1"</f>
        <v>1</v>
      </c>
      <c r="BC75" t="str">
        <f ca="1">IF((OFFSET($A$1, 75 - 1, 53 - 1)) &gt;= (OFFSET($A$1, 88 - 1, 7 - 1)), "1","0")</f>
        <v>1</v>
      </c>
      <c r="BD75">
        <f ca="1" xml:space="preserve"> IF( AND( OFFSET($A$1, 75 - 1, 54 - 1) = "1", OFFSET($A$1, 75 - 1, 55 - 1) = "1" ), 1, IF( AND( OFFSET($A$1, 75 - 1, 54 - 1) = "1", OFFSET($A$1, 75 - 1, 55 - 1) = "0" ), 2, IF( AND( OFFSET($A$1, 75 - 1, 54 - 1) = "0", OFFSET($A$1, 75 - 1, 55 - 1) = "1" ), 3, 4 ) ) )</f>
        <v>1</v>
      </c>
    </row>
    <row r="76" spans="2:61" x14ac:dyDescent="0.25">
      <c r="C76" t="s">
        <v>317</v>
      </c>
      <c r="D76" t="s">
        <v>318</v>
      </c>
      <c r="E76" t="s">
        <v>319</v>
      </c>
      <c r="F76" t="s">
        <v>320</v>
      </c>
      <c r="G76" t="s">
        <v>321</v>
      </c>
      <c r="H76" t="s">
        <v>347</v>
      </c>
      <c r="I76" t="s">
        <v>348</v>
      </c>
      <c r="J76" t="s">
        <v>349</v>
      </c>
      <c r="K76" t="s">
        <v>350</v>
      </c>
      <c r="BA76" s="3">
        <v>3.1878304960592696E-3</v>
      </c>
      <c r="BB76" s="3" t="str">
        <f>"0"</f>
        <v>0</v>
      </c>
      <c r="BC76" t="str">
        <f ca="1">IF((OFFSET($A$1, 76 - 1, 53 - 1)) &gt;= (OFFSET($A$1, 88 - 1, 7 - 1)), "1","0")</f>
        <v>0</v>
      </c>
      <c r="BD76">
        <f ca="1" xml:space="preserve"> IF( AND( OFFSET($A$1, 76 - 1, 54 - 1) = "1", OFFSET($A$1, 76 - 1, 55 - 1) = "1" ), 1, IF( AND( OFFSET($A$1, 76 - 1, 54 - 1) = "1", OFFSET($A$1, 76 - 1, 55 - 1) = "0" ), 2, IF( AND( OFFSET($A$1, 76 - 1, 54 - 1) = "0", OFFSET($A$1, 76 - 1, 55 - 1) = "1" ), 3, 4 ) ) )</f>
        <v>4</v>
      </c>
    </row>
    <row r="77" spans="2:61" x14ac:dyDescent="0.25">
      <c r="B77" s="27" t="s">
        <v>322</v>
      </c>
      <c r="C77" s="41" t="s">
        <v>346</v>
      </c>
      <c r="D77">
        <v>1</v>
      </c>
      <c r="E77">
        <v>84.729200000000006</v>
      </c>
      <c r="F77">
        <v>34.657699999999998</v>
      </c>
      <c r="G77">
        <v>0</v>
      </c>
      <c r="H77" t="s">
        <v>302</v>
      </c>
      <c r="BA77" s="3">
        <v>8.3333692094780497E-3</v>
      </c>
      <c r="BB77" s="3" t="str">
        <f>"0"</f>
        <v>0</v>
      </c>
      <c r="BC77" t="str">
        <f ca="1">IF((OFFSET($A$1, 77 - 1, 53 - 1)) &gt;= (OFFSET($A$1, 88 - 1, 7 - 1)), "1","0")</f>
        <v>0</v>
      </c>
      <c r="BD77">
        <f ca="1" xml:space="preserve"> IF( AND( OFFSET($A$1, 77 - 1, 54 - 1) = "1", OFFSET($A$1, 77 - 1, 55 - 1) = "1" ), 1, IF( AND( OFFSET($A$1, 77 - 1, 54 - 1) = "1", OFFSET($A$1, 77 - 1, 55 - 1) = "0" ), 2, IF( AND( OFFSET($A$1, 77 - 1, 54 - 1) = "0", OFFSET($A$1, 77 - 1, 55 - 1) = "1" ), 3, 4 ) ) )</f>
        <v>4</v>
      </c>
    </row>
    <row r="78" spans="2:61" x14ac:dyDescent="0.25">
      <c r="B78" s="27" t="s">
        <v>323</v>
      </c>
      <c r="C78" s="41" t="s">
        <v>346</v>
      </c>
      <c r="D78">
        <v>2</v>
      </c>
      <c r="E78">
        <v>75.123099999999994</v>
      </c>
      <c r="F78">
        <v>21.050799999999999</v>
      </c>
      <c r="G78">
        <v>1E-4</v>
      </c>
      <c r="H78" t="s">
        <v>302</v>
      </c>
      <c r="I78" t="s">
        <v>2</v>
      </c>
      <c r="BA78" s="3">
        <v>1.3438952087404268E-2</v>
      </c>
      <c r="BB78" s="3" t="str">
        <f>"0"</f>
        <v>0</v>
      </c>
      <c r="BC78" t="str">
        <f ca="1">IF((OFFSET($A$1, 78 - 1, 53 - 1)) &gt;= (OFFSET($A$1, 88 - 1, 7 - 1)), "1","0")</f>
        <v>0</v>
      </c>
      <c r="BD78">
        <f ca="1" xml:space="preserve"> IF( AND( OFFSET($A$1, 78 - 1, 54 - 1) = "1", OFFSET($A$1, 78 - 1, 55 - 1) = "1" ), 1, IF( AND( OFFSET($A$1, 78 - 1, 54 - 1) = "1", OFFSET($A$1, 78 - 1, 55 - 1) = "0" ), 2, IF( AND( OFFSET($A$1, 78 - 1, 54 - 1) = "0", OFFSET($A$1, 78 - 1, 55 - 1) = "1" ), 3, 4 ) ) )</f>
        <v>4</v>
      </c>
    </row>
    <row r="79" spans="2:61" x14ac:dyDescent="0.25">
      <c r="B79" s="27" t="s">
        <v>324</v>
      </c>
      <c r="C79" s="41" t="s">
        <v>346</v>
      </c>
      <c r="D79">
        <v>2</v>
      </c>
      <c r="E79">
        <v>70.572400000000002</v>
      </c>
      <c r="F79">
        <v>13.657500000000001</v>
      </c>
      <c r="G79">
        <v>1.6000000000000001E-3</v>
      </c>
      <c r="H79" t="s">
        <v>302</v>
      </c>
      <c r="J79" t="s">
        <v>3</v>
      </c>
      <c r="BA79" s="3">
        <v>1.3438952087404268E-2</v>
      </c>
      <c r="BB79" s="3" t="str">
        <f>"0"</f>
        <v>0</v>
      </c>
      <c r="BC79" t="str">
        <f ca="1">IF((OFFSET($A$1, 79 - 1, 53 - 1)) &gt;= (OFFSET($A$1, 88 - 1, 7 - 1)), "1","0")</f>
        <v>0</v>
      </c>
      <c r="BD79">
        <f ca="1" xml:space="preserve"> IF( AND( OFFSET($A$1, 79 - 1, 54 - 1) = "1", OFFSET($A$1, 79 - 1, 55 - 1) = "1" ), 1, IF( AND( OFFSET($A$1, 79 - 1, 54 - 1) = "1", OFFSET($A$1, 79 - 1, 55 - 1) = "0" ), 2, IF( AND( OFFSET($A$1, 79 - 1, 54 - 1) = "0", OFFSET($A$1, 79 - 1, 55 - 1) = "1" ), 3, 4 ) ) )</f>
        <v>4</v>
      </c>
    </row>
    <row r="80" spans="2:61" x14ac:dyDescent="0.25">
      <c r="B80" s="27" t="s">
        <v>325</v>
      </c>
      <c r="C80" s="41" t="s">
        <v>346</v>
      </c>
      <c r="D80">
        <v>3</v>
      </c>
      <c r="E80">
        <v>70.500399999999999</v>
      </c>
      <c r="F80">
        <v>15.5404</v>
      </c>
      <c r="G80">
        <v>4.0000000000000002E-4</v>
      </c>
      <c r="H80" t="s">
        <v>302</v>
      </c>
      <c r="J80" t="s">
        <v>3</v>
      </c>
      <c r="K80" t="s">
        <v>4</v>
      </c>
      <c r="BA80" s="3">
        <v>0.48115079125216564</v>
      </c>
      <c r="BB80" s="3" t="str">
        <f>"1"</f>
        <v>1</v>
      </c>
      <c r="BC80" t="str">
        <f ca="1">IF((OFFSET($A$1, 80 - 1, 53 - 1)) &gt;= (OFFSET($A$1, 88 - 1, 7 - 1)), "1","0")</f>
        <v>0</v>
      </c>
      <c r="BD80">
        <f ca="1" xml:space="preserve"> IF( AND( OFFSET($A$1, 80 - 1, 54 - 1) = "1", OFFSET($A$1, 80 - 1, 55 - 1) = "1" ), 1, IF( AND( OFFSET($A$1, 80 - 1, 54 - 1) = "1", OFFSET($A$1, 80 - 1, 55 - 1) = "0" ), 2, IF( AND( OFFSET($A$1, 80 - 1, 54 - 1) = "0", OFFSET($A$1, 80 - 1, 55 - 1) = "1" ), 3, 4 ) ) )</f>
        <v>2</v>
      </c>
    </row>
    <row r="81" spans="2:56" x14ac:dyDescent="0.25">
      <c r="B81" s="27" t="s">
        <v>326</v>
      </c>
      <c r="C81" s="41" t="s">
        <v>346</v>
      </c>
      <c r="D81">
        <v>3</v>
      </c>
      <c r="E81">
        <v>62.226900000000001</v>
      </c>
      <c r="F81">
        <v>2.0985999999999998</v>
      </c>
      <c r="G81">
        <v>0.75419999999999998</v>
      </c>
      <c r="H81" t="s">
        <v>302</v>
      </c>
      <c r="I81" t="s">
        <v>2</v>
      </c>
      <c r="J81" t="s">
        <v>3</v>
      </c>
      <c r="BA81" s="3">
        <v>5.9362666402367666E-7</v>
      </c>
      <c r="BB81" s="3" t="str">
        <f>"0"</f>
        <v>0</v>
      </c>
      <c r="BC81" t="str">
        <f ca="1">IF((OFFSET($A$1, 81 - 1, 53 - 1)) &gt;= (OFFSET($A$1, 88 - 1, 7 - 1)), "1","0")</f>
        <v>0</v>
      </c>
      <c r="BD81">
        <f ca="1" xml:space="preserve"> IF( AND( OFFSET($A$1, 81 - 1, 54 - 1) = "1", OFFSET($A$1, 81 - 1, 55 - 1) = "1" ), 1, IF( AND( OFFSET($A$1, 81 - 1, 54 - 1) = "1", OFFSET($A$1, 81 - 1, 55 - 1) = "0" ), 2, IF( AND( OFFSET($A$1, 81 - 1, 54 - 1) = "0", OFFSET($A$1, 81 - 1, 55 - 1) = "1" ), 3, 4 ) ) )</f>
        <v>4</v>
      </c>
    </row>
    <row r="82" spans="2:56" x14ac:dyDescent="0.25">
      <c r="B82" s="27" t="s">
        <v>327</v>
      </c>
      <c r="C82" s="41" t="s">
        <v>346</v>
      </c>
      <c r="D82">
        <v>4</v>
      </c>
      <c r="E82">
        <v>62.166200000000003</v>
      </c>
      <c r="F82">
        <v>4</v>
      </c>
      <c r="G82">
        <v>1</v>
      </c>
      <c r="H82" t="s">
        <v>302</v>
      </c>
      <c r="I82" t="s">
        <v>2</v>
      </c>
      <c r="J82" t="s">
        <v>3</v>
      </c>
      <c r="K82" t="s">
        <v>4</v>
      </c>
      <c r="BA82" s="3">
        <v>1.7700399554008261E-2</v>
      </c>
      <c r="BB82" s="3" t="str">
        <f>"0"</f>
        <v>0</v>
      </c>
      <c r="BC82" t="str">
        <f ca="1">IF((OFFSET($A$1, 82 - 1, 53 - 1)) &gt;= (OFFSET($A$1, 88 - 1, 7 - 1)), "1","0")</f>
        <v>0</v>
      </c>
      <c r="BD82">
        <f ca="1" xml:space="preserve"> IF( AND( OFFSET($A$1, 82 - 1, 54 - 1) = "1", OFFSET($A$1, 82 - 1, 55 - 1) = "1" ), 1, IF( AND( OFFSET($A$1, 82 - 1, 54 - 1) = "1", OFFSET($A$1, 82 - 1, 55 - 1) = "0" ), 2, IF( AND( OFFSET($A$1, 82 - 1, 54 - 1) = "0", OFFSET($A$1, 82 - 1, 55 - 1) = "1" ), 3, 4 ) ) )</f>
        <v>4</v>
      </c>
    </row>
    <row r="83" spans="2:56" x14ac:dyDescent="0.25">
      <c r="BA83" s="3">
        <v>5.8942168729575521E-2</v>
      </c>
      <c r="BB83" s="3" t="str">
        <f>"0"</f>
        <v>0</v>
      </c>
      <c r="BC83" t="str">
        <f ca="1">IF((OFFSET($A$1, 83 - 1, 53 - 1)) &gt;= (OFFSET($A$1, 88 - 1, 7 - 1)), "1","0")</f>
        <v>0</v>
      </c>
      <c r="BD83">
        <f ca="1" xml:space="preserve"> IF( AND( OFFSET($A$1, 83 - 1, 54 - 1) = "1", OFFSET($A$1, 83 - 1, 55 - 1) = "1" ), 1, IF( AND( OFFSET($A$1, 83 - 1, 54 - 1) = "1", OFFSET($A$1, 83 - 1, 55 - 1) = "0" ), 2, IF( AND( OFFSET($A$1, 83 - 1, 54 - 1) = "0", OFFSET($A$1, 83 - 1, 55 - 1) = "1" ), 3, 4 ) ) )</f>
        <v>4</v>
      </c>
    </row>
    <row r="84" spans="2:56" x14ac:dyDescent="0.25">
      <c r="BA84" s="3">
        <v>0.41212411630333212</v>
      </c>
      <c r="BB84" s="3" t="str">
        <f>"0"</f>
        <v>0</v>
      </c>
      <c r="BC84" t="str">
        <f ca="1">IF((OFFSET($A$1, 84 - 1, 53 - 1)) &gt;= (OFFSET($A$1, 88 - 1, 7 - 1)), "1","0")</f>
        <v>0</v>
      </c>
      <c r="BD84">
        <f ca="1" xml:space="preserve"> IF( AND( OFFSET($A$1, 84 - 1, 54 - 1) = "1", OFFSET($A$1, 84 - 1, 55 - 1) = "1" ), 1, IF( AND( OFFSET($A$1, 84 - 1, 54 - 1) = "1", OFFSET($A$1, 84 - 1, 55 - 1) = "0" ), 2, IF( AND( OFFSET($A$1, 84 - 1, 54 - 1) = "0", OFFSET($A$1, 84 - 1, 55 - 1) = "1" ), 3, 4 ) ) )</f>
        <v>4</v>
      </c>
    </row>
    <row r="85" spans="2:56" x14ac:dyDescent="0.25">
      <c r="BA85" s="3">
        <v>0.64814866033700547</v>
      </c>
      <c r="BB85" s="3" t="str">
        <f>"1"</f>
        <v>1</v>
      </c>
      <c r="BC85" t="str">
        <f ca="1">IF((OFFSET($A$1, 85 - 1, 53 - 1)) &gt;= (OFFSET($A$1, 88 - 1, 7 - 1)), "1","0")</f>
        <v>1</v>
      </c>
      <c r="BD85">
        <f ca="1" xml:space="preserve"> IF( AND( OFFSET($A$1, 85 - 1, 54 - 1) = "1", OFFSET($A$1, 85 - 1, 55 - 1) = "1" ), 1, IF( AND( OFFSET($A$1, 85 - 1, 54 - 1) = "1", OFFSET($A$1, 85 - 1, 55 - 1) = "0" ), 2, IF( AND( OFFSET($A$1, 85 - 1, 54 - 1) = "0", OFFSET($A$1, 85 - 1, 55 - 1) = "1" ), 3, 4 ) ) )</f>
        <v>1</v>
      </c>
    </row>
    <row r="86" spans="2:56" ht="18.75" x14ac:dyDescent="0.3">
      <c r="B86" s="21" t="s">
        <v>328</v>
      </c>
      <c r="BA86" s="3">
        <v>1.7700399554008261E-2</v>
      </c>
      <c r="BB86" s="3" t="str">
        <f>"0"</f>
        <v>0</v>
      </c>
      <c r="BC86" t="str">
        <f ca="1">IF((OFFSET($A$1, 86 - 1, 53 - 1)) &gt;= (OFFSET($A$1, 88 - 1, 7 - 1)), "1","0")</f>
        <v>0</v>
      </c>
      <c r="BD86">
        <f ca="1" xml:space="preserve"> IF( AND( OFFSET($A$1, 86 - 1, 54 - 1) = "1", OFFSET($A$1, 86 - 1, 55 - 1) = "1" ), 1, IF( AND( OFFSET($A$1, 86 - 1, 54 - 1) = "1", OFFSET($A$1, 86 - 1, 55 - 1) = "0" ), 2, IF( AND( OFFSET($A$1, 86 - 1, 54 - 1) = "0", OFFSET($A$1, 86 - 1, 55 - 1) = "1" ), 3, 4 ) ) )</f>
        <v>4</v>
      </c>
    </row>
    <row r="87" spans="2:56" x14ac:dyDescent="0.25">
      <c r="BA87" s="3">
        <v>4.5208557988705579E-2</v>
      </c>
      <c r="BB87" s="3" t="str">
        <f>"0"</f>
        <v>0</v>
      </c>
      <c r="BC87" t="str">
        <f ca="1">IF((OFFSET($A$1, 87 - 1, 53 - 1)) &gt;= (OFFSET($A$1, 88 - 1, 7 - 1)), "1","0")</f>
        <v>0</v>
      </c>
      <c r="BD87">
        <f ca="1" xml:space="preserve"> IF( AND( OFFSET($A$1, 87 - 1, 54 - 1) = "1", OFFSET($A$1, 87 - 1, 55 - 1) = "1" ), 1, IF( AND( OFFSET($A$1, 87 - 1, 54 - 1) = "1", OFFSET($A$1, 87 - 1, 55 - 1) = "0" ), 2, IF( AND( OFFSET($A$1, 87 - 1, 54 - 1) = "0", OFFSET($A$1, 87 - 1, 55 - 1) = "1" ), 3, 4 ) ) )</f>
        <v>4</v>
      </c>
    </row>
    <row r="88" spans="2:56" x14ac:dyDescent="0.25">
      <c r="C88" s="36" t="s">
        <v>329</v>
      </c>
      <c r="D88" s="37"/>
      <c r="E88" s="37"/>
      <c r="F88" s="38"/>
      <c r="G88" s="26">
        <v>0.5</v>
      </c>
      <c r="H88" s="36" t="s">
        <v>330</v>
      </c>
      <c r="I88" s="37"/>
      <c r="J88" s="37"/>
      <c r="K88" s="37"/>
      <c r="L88" s="37"/>
      <c r="M88" s="38"/>
      <c r="BA88" s="3">
        <v>0.19817180610473076</v>
      </c>
      <c r="BB88" s="3" t="str">
        <f>"0"</f>
        <v>0</v>
      </c>
      <c r="BC88" t="str">
        <f ca="1">IF((OFFSET($A$1, 88 - 1, 53 - 1)) &gt;= (OFFSET($A$1, 88 - 1, 7 - 1)), "1","0")</f>
        <v>0</v>
      </c>
      <c r="BD88">
        <f ca="1" xml:space="preserve"> IF( AND( OFFSET($A$1, 88 - 1, 54 - 1) = "1", OFFSET($A$1, 88 - 1, 55 - 1) = "1" ), 1, IF( AND( OFFSET($A$1, 88 - 1, 54 - 1) = "1", OFFSET($A$1, 88 - 1, 55 - 1) = "0" ), 2, IF( AND( OFFSET($A$1, 88 - 1, 54 - 1) = "0", OFFSET($A$1, 88 - 1, 55 - 1) = "1" ), 3, 4 ) ) )</f>
        <v>4</v>
      </c>
    </row>
    <row r="89" spans="2:56" x14ac:dyDescent="0.25">
      <c r="BA89" s="3">
        <v>0.48115079125216564</v>
      </c>
      <c r="BB89" s="3" t="str">
        <f>"0"</f>
        <v>0</v>
      </c>
      <c r="BC89" t="str">
        <f ca="1">IF((OFFSET($A$1, 89 - 1, 53 - 1)) &gt;= (OFFSET($A$1, 88 - 1, 7 - 1)), "1","0")</f>
        <v>0</v>
      </c>
      <c r="BD89">
        <f ca="1" xml:space="preserve"> IF( AND( OFFSET($A$1, 89 - 1, 54 - 1) = "1", OFFSET($A$1, 89 - 1, 55 - 1) = "1" ), 1, IF( AND( OFFSET($A$1, 89 - 1, 54 - 1) = "1", OFFSET($A$1, 89 - 1, 55 - 1) = "0" ), 2, IF( AND( OFFSET($A$1, 89 - 1, 54 - 1) = "0", OFFSET($A$1, 89 - 1, 55 - 1) = "1" ), 3, 4 ) ) )</f>
        <v>4</v>
      </c>
    </row>
    <row r="90" spans="2:56" ht="15.75" x14ac:dyDescent="0.25">
      <c r="C90" s="6" t="s">
        <v>331</v>
      </c>
      <c r="D90" s="7"/>
      <c r="E90" s="8"/>
      <c r="BA90" s="3">
        <v>0.76322250292774019</v>
      </c>
      <c r="BB90" s="3" t="str">
        <f>"1"</f>
        <v>1</v>
      </c>
      <c r="BC90" t="str">
        <f ca="1">IF((OFFSET($A$1, 90 - 1, 53 - 1)) &gt;= (OFFSET($A$1, 88 - 1, 7 - 1)), "1","0")</f>
        <v>1</v>
      </c>
      <c r="BD90">
        <f ca="1" xml:space="preserve"> IF( AND( OFFSET($A$1, 90 - 1, 54 - 1) = "1", OFFSET($A$1, 90 - 1, 55 - 1) = "1" ), 1, IF( AND( OFFSET($A$1, 90 - 1, 54 - 1) = "1", OFFSET($A$1, 90 - 1, 55 - 1) = "0" ), 2, IF( AND( OFFSET($A$1, 90 - 1, 54 - 1) = "0", OFFSET($A$1, 90 - 1, 55 - 1) = "1" ), 3, 4 ) ) )</f>
        <v>1</v>
      </c>
    </row>
    <row r="91" spans="2:56" x14ac:dyDescent="0.25">
      <c r="C91" s="5"/>
      <c r="D91" s="39" t="s">
        <v>332</v>
      </c>
      <c r="E91" s="40"/>
      <c r="BA91" s="3">
        <v>8.3333692094780497E-3</v>
      </c>
      <c r="BB91" s="3" t="str">
        <f>"0"</f>
        <v>0</v>
      </c>
      <c r="BC91" t="str">
        <f ca="1">IF((OFFSET($A$1, 91 - 1, 53 - 1)) &gt;= (OFFSET($A$1, 88 - 1, 7 - 1)), "1","0")</f>
        <v>0</v>
      </c>
      <c r="BD91">
        <f ca="1" xml:space="preserve"> IF( AND( OFFSET($A$1, 91 - 1, 54 - 1) = "1", OFFSET($A$1, 91 - 1, 55 - 1) = "1" ), 1, IF( AND( OFFSET($A$1, 91 - 1, 54 - 1) = "1", OFFSET($A$1, 91 - 1, 55 - 1) = "0" ), 2, IF( AND( OFFSET($A$1, 91 - 1, 54 - 1) = "0", OFFSET($A$1, 91 - 1, 55 - 1) = "1" ), 3, 4 ) ) )</f>
        <v>4</v>
      </c>
    </row>
    <row r="92" spans="2:56" x14ac:dyDescent="0.25">
      <c r="C92" s="4" t="s">
        <v>333</v>
      </c>
      <c r="D92" s="5">
        <v>1</v>
      </c>
      <c r="E92" s="5">
        <v>0</v>
      </c>
      <c r="BA92" s="3">
        <v>1.3438952087404268E-2</v>
      </c>
      <c r="BB92" s="3" t="str">
        <f>"0"</f>
        <v>0</v>
      </c>
      <c r="BC92" t="str">
        <f ca="1">IF((OFFSET($A$1, 92 - 1, 53 - 1)) &gt;= (OFFSET($A$1, 88 - 1, 7 - 1)), "1","0")</f>
        <v>0</v>
      </c>
      <c r="BD92">
        <f ca="1" xml:space="preserve"> IF( AND( OFFSET($A$1, 92 - 1, 54 - 1) = "1", OFFSET($A$1, 92 - 1, 55 - 1) = "1" ), 1, IF( AND( OFFSET($A$1, 92 - 1, 54 - 1) = "1", OFFSET($A$1, 92 - 1, 55 - 1) = "0" ), 2, IF( AND( OFFSET($A$1, 92 - 1, 54 - 1) = "0", OFFSET($A$1, 92 - 1, 55 - 1) = "1" ), 3, 4 ) ) )</f>
        <v>4</v>
      </c>
    </row>
    <row r="93" spans="2:56" x14ac:dyDescent="0.25">
      <c r="C93" s="4">
        <v>1</v>
      </c>
      <c r="D93" s="3">
        <f ca="1" xml:space="preserve"> COUNTIF( OFFSET($A$1, 1 - 1, 56 - 1, 106, 1), 1 )</f>
        <v>14</v>
      </c>
      <c r="E93" s="3">
        <f ca="1" xml:space="preserve"> COUNTIF( OFFSET($A$1, 1 - 1, 56 - 1, 106, 1), 2 )</f>
        <v>7</v>
      </c>
      <c r="BA93" s="3">
        <v>0.30190504314012601</v>
      </c>
      <c r="BB93" s="3" t="str">
        <f>"0"</f>
        <v>0</v>
      </c>
      <c r="BC93" t="str">
        <f ca="1">IF((OFFSET($A$1, 93 - 1, 53 - 1)) &gt;= (OFFSET($A$1, 88 - 1, 7 - 1)), "1","0")</f>
        <v>0</v>
      </c>
      <c r="BD93">
        <f ca="1" xml:space="preserve"> IF( AND( OFFSET($A$1, 93 - 1, 54 - 1) = "1", OFFSET($A$1, 93 - 1, 55 - 1) = "1" ), 1, IF( AND( OFFSET($A$1, 93 - 1, 54 - 1) = "1", OFFSET($A$1, 93 - 1, 55 - 1) = "0" ), 2, IF( AND( OFFSET($A$1, 93 - 1, 54 - 1) = "0", OFFSET($A$1, 93 - 1, 55 - 1) = "1" ), 3, 4 ) ) )</f>
        <v>4</v>
      </c>
    </row>
    <row r="94" spans="2:56" x14ac:dyDescent="0.25">
      <c r="C94" s="4">
        <v>0</v>
      </c>
      <c r="D94" s="3">
        <f ca="1" xml:space="preserve"> COUNTIF( OFFSET($A$1, 1 - 1, 56 - 1, 106, 1), 3 )</f>
        <v>4</v>
      </c>
      <c r="E94" s="3">
        <f ca="1" xml:space="preserve"> COUNTIF( OFFSET($A$1, 1 - 1, 56 - 1, 106, 1), 4 )</f>
        <v>80</v>
      </c>
      <c r="BA94" s="3">
        <v>0.41212411630333212</v>
      </c>
      <c r="BB94" s="3" t="str">
        <f>"0"</f>
        <v>0</v>
      </c>
      <c r="BC94" t="str">
        <f ca="1">IF((OFFSET($A$1, 94 - 1, 53 - 1)) &gt;= (OFFSET($A$1, 88 - 1, 7 - 1)), "1","0")</f>
        <v>0</v>
      </c>
      <c r="BD94">
        <f ca="1" xml:space="preserve"> IF( AND( OFFSET($A$1, 94 - 1, 54 - 1) = "1", OFFSET($A$1, 94 - 1, 55 - 1) = "1" ), 1, IF( AND( OFFSET($A$1, 94 - 1, 54 - 1) = "1", OFFSET($A$1, 94 - 1, 55 - 1) = "0" ), 2, IF( AND( OFFSET($A$1, 94 - 1, 54 - 1) = "0", OFFSET($A$1, 94 - 1, 55 - 1) = "1" ), 3, 4 ) ) )</f>
        <v>4</v>
      </c>
    </row>
    <row r="95" spans="2:56" x14ac:dyDescent="0.25">
      <c r="BA95" s="3">
        <v>0.91212197511962823</v>
      </c>
      <c r="BB95" s="3" t="str">
        <f>"1"</f>
        <v>1</v>
      </c>
      <c r="BC95" t="str">
        <f ca="1">IF((OFFSET($A$1, 95 - 1, 53 - 1)) &gt;= (OFFSET($A$1, 88 - 1, 7 - 1)), "1","0")</f>
        <v>1</v>
      </c>
      <c r="BD95">
        <f ca="1" xml:space="preserve"> IF( AND( OFFSET($A$1, 95 - 1, 54 - 1) = "1", OFFSET($A$1, 95 - 1, 55 - 1) = "1" ), 1, IF( AND( OFFSET($A$1, 95 - 1, 54 - 1) = "1", OFFSET($A$1, 95 - 1, 55 - 1) = "0" ), 2, IF( AND( OFFSET($A$1, 95 - 1, 54 - 1) = "0", OFFSET($A$1, 95 - 1, 55 - 1) = "1" ), 3, 4 ) ) )</f>
        <v>1</v>
      </c>
    </row>
    <row r="96" spans="2:56" ht="15.75" x14ac:dyDescent="0.25">
      <c r="C96" s="6" t="s">
        <v>334</v>
      </c>
      <c r="D96" s="7"/>
      <c r="E96" s="7"/>
      <c r="F96" s="8"/>
      <c r="BA96" s="3">
        <v>1.3438952087404268E-2</v>
      </c>
      <c r="BB96" s="3" t="str">
        <f>"0"</f>
        <v>0</v>
      </c>
      <c r="BC96" t="str">
        <f ca="1">IF((OFFSET($A$1, 96 - 1, 53 - 1)) &gt;= (OFFSET($A$1, 88 - 1, 7 - 1)), "1","0")</f>
        <v>0</v>
      </c>
      <c r="BD96">
        <f ca="1" xml:space="preserve"> IF( AND( OFFSET($A$1, 96 - 1, 54 - 1) = "1", OFFSET($A$1, 96 - 1, 55 - 1) = "1" ), 1, IF( AND( OFFSET($A$1, 96 - 1, 54 - 1) = "1", OFFSET($A$1, 96 - 1, 55 - 1) = "0" ), 2, IF( AND( OFFSET($A$1, 96 - 1, 54 - 1) = "0", OFFSET($A$1, 96 - 1, 55 - 1) = "1" ), 3, 4 ) ) )</f>
        <v>4</v>
      </c>
    </row>
    <row r="97" spans="2:56" x14ac:dyDescent="0.25">
      <c r="C97" s="5" t="s">
        <v>294</v>
      </c>
      <c r="D97" s="5" t="s">
        <v>335</v>
      </c>
      <c r="E97" s="5" t="s">
        <v>336</v>
      </c>
      <c r="F97" s="5" t="s">
        <v>337</v>
      </c>
      <c r="BA97" s="3">
        <v>5.4841059881313048E-2</v>
      </c>
      <c r="BB97" s="3" t="str">
        <f>"0"</f>
        <v>0</v>
      </c>
      <c r="BC97" t="str">
        <f ca="1">IF((OFFSET($A$1, 97 - 1, 53 - 1)) &gt;= (OFFSET($A$1, 88 - 1, 7 - 1)), "1","0")</f>
        <v>0</v>
      </c>
      <c r="BD97">
        <f ca="1" xml:space="preserve"> IF( AND( OFFSET($A$1, 97 - 1, 54 - 1) = "1", OFFSET($A$1, 97 - 1, 55 - 1) = "1" ), 1, IF( AND( OFFSET($A$1, 97 - 1, 54 - 1) = "1", OFFSET($A$1, 97 - 1, 55 - 1) = "0" ), 2, IF( AND( OFFSET($A$1, 97 - 1, 54 - 1) = "0", OFFSET($A$1, 97 - 1, 55 - 1) = "1" ), 3, 4 ) ) )</f>
        <v>4</v>
      </c>
    </row>
    <row r="98" spans="2:56" x14ac:dyDescent="0.25">
      <c r="C98" s="4">
        <v>1</v>
      </c>
      <c r="D98" s="3">
        <f ca="1">SUM(OFFSET($A$1, 93 - 1, 4 - 1, 1, 2))</f>
        <v>21</v>
      </c>
      <c r="E98" s="3">
        <f ca="1">SUM(OFFSET($A$1, 93 - 1, 4 - 1, 1, 2)) - OFFSET($A$1, 93 - 1, 4 - 1)</f>
        <v>7</v>
      </c>
      <c r="F98" s="3">
        <f ca="1">IF(OFFSET($A$1, 98 - 1, 4 - 1)=0,"Undefined",((OFFSET($A$1, 98 - 1, 5 - 1))*100) / (OFFSET($A$1, 98 - 1, 4 - 1)))</f>
        <v>33.333333333333336</v>
      </c>
      <c r="BA98" s="3">
        <v>9.2172169115320862E-2</v>
      </c>
      <c r="BB98" s="3" t="str">
        <f>"0"</f>
        <v>0</v>
      </c>
      <c r="BC98" t="str">
        <f ca="1">IF((OFFSET($A$1, 98 - 1, 53 - 1)) &gt;= (OFFSET($A$1, 88 - 1, 7 - 1)), "1","0")</f>
        <v>0</v>
      </c>
      <c r="BD98">
        <f ca="1" xml:space="preserve"> IF( AND( OFFSET($A$1, 98 - 1, 54 - 1) = "1", OFFSET($A$1, 98 - 1, 55 - 1) = "1" ), 1, IF( AND( OFFSET($A$1, 98 - 1, 54 - 1) = "1", OFFSET($A$1, 98 - 1, 55 - 1) = "0" ), 2, IF( AND( OFFSET($A$1, 98 - 1, 54 - 1) = "0", OFFSET($A$1, 98 - 1, 55 - 1) = "1" ), 3, 4 ) ) )</f>
        <v>4</v>
      </c>
    </row>
    <row r="99" spans="2:56" x14ac:dyDescent="0.25">
      <c r="C99" s="4">
        <v>0</v>
      </c>
      <c r="D99" s="3">
        <f ca="1">SUM(OFFSET($A$1, 94 - 1, 4 - 1, 1, 2))</f>
        <v>84</v>
      </c>
      <c r="E99" s="3">
        <f ca="1">SUM(OFFSET($A$1, 94 - 1, 4 - 1, 1, 2)) - OFFSET($A$1, 94 - 1, 5 - 1)</f>
        <v>4</v>
      </c>
      <c r="F99" s="3">
        <f ca="1">IF(OFFSET($A$1, 99 - 1, 4 - 1)=0,"Undefined",((OFFSET($A$1, 99 - 1, 5 - 1))*100) / (OFFSET($A$1, 99 - 1, 4 - 1)))</f>
        <v>4.7619047619047619</v>
      </c>
      <c r="BA99" s="3">
        <v>0.1184033302323029</v>
      </c>
      <c r="BB99" s="3" t="str">
        <f>"0"</f>
        <v>0</v>
      </c>
      <c r="BC99" t="str">
        <f ca="1">IF((OFFSET($A$1, 99 - 1, 53 - 1)) &gt;= (OFFSET($A$1, 88 - 1, 7 - 1)), "1","0")</f>
        <v>0</v>
      </c>
      <c r="BD99">
        <f ca="1" xml:space="preserve"> IF( AND( OFFSET($A$1, 99 - 1, 54 - 1) = "1", OFFSET($A$1, 99 - 1, 55 - 1) = "1" ), 1, IF( AND( OFFSET($A$1, 99 - 1, 54 - 1) = "1", OFFSET($A$1, 99 - 1, 55 - 1) = "0" ), 2, IF( AND( OFFSET($A$1, 99 - 1, 54 - 1) = "0", OFFSET($A$1, 99 - 1, 55 - 1) = "1" ), 3, 4 ) ) )</f>
        <v>4</v>
      </c>
    </row>
    <row r="100" spans="2:56" x14ac:dyDescent="0.25">
      <c r="C100" s="4" t="s">
        <v>338</v>
      </c>
      <c r="D100" s="3">
        <f ca="1">SUM(OFFSET($A$1, 98 - 1, 4 - 1, 2, 1))</f>
        <v>105</v>
      </c>
      <c r="E100" s="3">
        <f ca="1">SUM(OFFSET($A$1, 98 - 1, 5 - 1, 2, 1))</f>
        <v>11</v>
      </c>
      <c r="F100" s="3">
        <f ca="1">IF(OFFSET($A$1, 100 - 1, 4 - 1)=0,"Undefined",((OFFSET($A$1, 100 - 1, 5 - 1))*100) / (OFFSET($A$1, 100 - 1, 4 - 1)))</f>
        <v>10.476190476190476</v>
      </c>
      <c r="BA100" s="3">
        <v>0.93211130181262958</v>
      </c>
      <c r="BB100" s="3" t="str">
        <f>"1"</f>
        <v>1</v>
      </c>
      <c r="BC100" t="str">
        <f ca="1">IF((OFFSET($A$1, 100 - 1, 53 - 1)) &gt;= (OFFSET($A$1, 88 - 1, 7 - 1)), "1","0")</f>
        <v>1</v>
      </c>
      <c r="BD100">
        <f ca="1" xml:space="preserve"> IF( AND( OFFSET($A$1, 100 - 1, 54 - 1) = "1", OFFSET($A$1, 100 - 1, 55 - 1) = "1" ), 1, IF( AND( OFFSET($A$1, 100 - 1, 54 - 1) = "1", OFFSET($A$1, 100 - 1, 55 - 1) = "0" ), 2, IF( AND( OFFSET($A$1, 100 - 1, 54 - 1) = "0", OFFSET($A$1, 100 - 1, 55 - 1) = "1" ), 3, 4 ) ) )</f>
        <v>1</v>
      </c>
    </row>
    <row r="101" spans="2:56" x14ac:dyDescent="0.25">
      <c r="BA101" s="3">
        <v>7.1721924491056332E-6</v>
      </c>
      <c r="BB101" s="3" t="str">
        <f>"0"</f>
        <v>0</v>
      </c>
      <c r="BC101" t="str">
        <f ca="1">IF((OFFSET($A$1, 101 - 1, 53 - 1)) &gt;= (OFFSET($A$1, 88 - 1, 7 - 1)), "1","0")</f>
        <v>0</v>
      </c>
      <c r="BD101">
        <f ca="1" xml:space="preserve"> IF( AND( OFFSET($A$1, 101 - 1, 54 - 1) = "1", OFFSET($A$1, 101 - 1, 55 - 1) = "1" ), 1, IF( AND( OFFSET($A$1, 101 - 1, 54 - 1) = "1", OFFSET($A$1, 101 - 1, 55 - 1) = "0" ), 2, IF( AND( OFFSET($A$1, 101 - 1, 54 - 1) = "0", OFFSET($A$1, 101 - 1, 55 - 1) = "1" ), 3, 4 ) ) )</f>
        <v>4</v>
      </c>
    </row>
    <row r="102" spans="2:56" ht="15.75" x14ac:dyDescent="0.25">
      <c r="C102" s="6" t="s">
        <v>339</v>
      </c>
      <c r="D102" s="7"/>
      <c r="E102" s="8"/>
      <c r="BA102" s="3">
        <v>1.3438952087404268E-2</v>
      </c>
      <c r="BB102" s="3" t="str">
        <f>"0"</f>
        <v>0</v>
      </c>
      <c r="BC102" t="str">
        <f ca="1">IF((OFFSET($A$1, 102 - 1, 53 - 1)) &gt;= (OFFSET($A$1, 88 - 1, 7 - 1)), "1","0")</f>
        <v>0</v>
      </c>
      <c r="BD102">
        <f ca="1" xml:space="preserve"> IF( AND( OFFSET($A$1, 102 - 1, 54 - 1) = "1", OFFSET($A$1, 102 - 1, 55 - 1) = "1" ), 1, IF( AND( OFFSET($A$1, 102 - 1, 54 - 1) = "1", OFFSET($A$1, 102 - 1, 55 - 1) = "0" ), 2, IF( AND( OFFSET($A$1, 102 - 1, 54 - 1) = "0", OFFSET($A$1, 102 - 1, 55 - 1) = "1" ), 3, 4 ) ) )</f>
        <v>4</v>
      </c>
    </row>
    <row r="103" spans="2:56" x14ac:dyDescent="0.25">
      <c r="C103" s="9" t="s">
        <v>340</v>
      </c>
      <c r="D103" s="11"/>
      <c r="E103" s="22">
        <v>1</v>
      </c>
      <c r="BA103" s="3">
        <v>2.8380614261718978E-2</v>
      </c>
      <c r="BB103" s="3" t="str">
        <f>"0"</f>
        <v>0</v>
      </c>
      <c r="BC103" t="str">
        <f ca="1">IF((OFFSET($A$1, 103 - 1, 53 - 1)) &gt;= (OFFSET($A$1, 88 - 1, 7 - 1)), "1","0")</f>
        <v>0</v>
      </c>
      <c r="BD103">
        <f ca="1" xml:space="preserve"> IF( AND( OFFSET($A$1, 103 - 1, 54 - 1) = "1", OFFSET($A$1, 103 - 1, 55 - 1) = "1" ), 1, IF( AND( OFFSET($A$1, 103 - 1, 54 - 1) = "1", OFFSET($A$1, 103 - 1, 55 - 1) = "0" ), 2, IF( AND( OFFSET($A$1, 103 - 1, 54 - 1) = "0", OFFSET($A$1, 103 - 1, 55 - 1) = "1" ), 3, 4 ) ) )</f>
        <v>4</v>
      </c>
    </row>
    <row r="104" spans="2:56" x14ac:dyDescent="0.25">
      <c r="C104" s="9" t="s">
        <v>341</v>
      </c>
      <c r="D104" s="11"/>
      <c r="E104" s="22">
        <f ca="1">IF((OFFSET($A$1, 93 - 1, 4 - 1) + OFFSET($A$1, 94 - 1, 4 - 1)) = 0,"Undefined",OFFSET($A$1, 93 - 1, 4 - 1)/(OFFSET($A$1, 93 - 1, 4 - 1) + OFFSET($A$1, 94 - 1, 4 - 1)))</f>
        <v>0.77777777777777779</v>
      </c>
      <c r="BA104" s="3">
        <v>0.14132294827706593</v>
      </c>
      <c r="BB104" s="3" t="str">
        <f>"1"</f>
        <v>1</v>
      </c>
      <c r="BC104" t="str">
        <f ca="1">IF((OFFSET($A$1, 104 - 1, 53 - 1)) &gt;= (OFFSET($A$1, 88 - 1, 7 - 1)), "1","0")</f>
        <v>0</v>
      </c>
      <c r="BD104">
        <f ca="1" xml:space="preserve"> IF( AND( OFFSET($A$1, 104 - 1, 54 - 1) = "1", OFFSET($A$1, 104 - 1, 55 - 1) = "1" ), 1, IF( AND( OFFSET($A$1, 104 - 1, 54 - 1) = "1", OFFSET($A$1, 104 - 1, 55 - 1) = "0" ), 2, IF( AND( OFFSET($A$1, 104 - 1, 54 - 1) = "0", OFFSET($A$1, 104 - 1, 55 - 1) = "1" ), 3, 4 ) ) )</f>
        <v>2</v>
      </c>
    </row>
    <row r="105" spans="2:56" x14ac:dyDescent="0.25">
      <c r="C105" s="9" t="s">
        <v>342</v>
      </c>
      <c r="D105" s="11"/>
      <c r="E105" s="22">
        <f ca="1">IF((OFFSET($A$1, 93 - 1, 4 - 1) + OFFSET($A$1, 93 - 1, 5 - 1)) = 0,"Undefined",OFFSET($A$1, 93 - 1, 4 - 1)/(OFFSET($A$1, 93 - 1, 4 - 1) + OFFSET($A$1, 93 - 1, 5 - 1)))</f>
        <v>0.66666666666666663</v>
      </c>
      <c r="BA105" s="3">
        <v>0.79798072657133057</v>
      </c>
      <c r="BB105" s="3" t="str">
        <f>"0"</f>
        <v>0</v>
      </c>
      <c r="BC105" t="str">
        <f ca="1">IF((OFFSET($A$1, 105 - 1, 53 - 1)) &gt;= (OFFSET($A$1, 88 - 1, 7 - 1)), "1","0")</f>
        <v>1</v>
      </c>
      <c r="BD105">
        <f ca="1" xml:space="preserve"> IF( AND( OFFSET($A$1, 105 - 1, 54 - 1) = "1", OFFSET($A$1, 105 - 1, 55 - 1) = "1" ), 1, IF( AND( OFFSET($A$1, 105 - 1, 54 - 1) = "1", OFFSET($A$1, 105 - 1, 55 - 1) = "0" ), 2, IF( AND( OFFSET($A$1, 105 - 1, 54 - 1) = "0", OFFSET($A$1, 105 - 1, 55 - 1) = "1" ), 3, 4 ) ) )</f>
        <v>3</v>
      </c>
    </row>
    <row r="106" spans="2:56" x14ac:dyDescent="0.25">
      <c r="C106" s="9" t="s">
        <v>343</v>
      </c>
      <c r="D106" s="11"/>
      <c r="E106" s="22">
        <f ca="1">IF((OFFSET($A$1, 94 - 1, 4 - 1) + OFFSET($A$1, 94 - 1, 5 - 1)) = 0,"Undefined",OFFSET($A$1, 94 - 1, 5 - 1)/(OFFSET($A$1, 94 - 1, 4 - 1) + OFFSET($A$1, 94 - 1, 5 - 1)))</f>
        <v>0.95238095238095233</v>
      </c>
    </row>
    <row r="107" spans="2:56" x14ac:dyDescent="0.25">
      <c r="C107" s="9" t="s">
        <v>344</v>
      </c>
      <c r="D107" s="11"/>
      <c r="E107" s="22">
        <f ca="1">IF(OR(OFFSET($A$1, 104 - 1, 5 - 1)="Undefined",OFFSET($A$1, 105 - 1, 5 - 1)="Undefined"),"Undefined",IF((OFFSET($A$1, 104 - 1, 5 - 1) + OFFSET($A$1, 105 - 1, 5 - 1))=0,"Undefined",2*OFFSET($A$1, 104 - 1, 5 - 1)*OFFSET($A$1, 105 - 1, 5 - 1)/(OFFSET($A$1, 104 - 1, 5 - 1)+OFFSET($A$1, 105 - 1, 5 - 1))))</f>
        <v>0.71794871794871795</v>
      </c>
    </row>
    <row r="110" spans="2:56" ht="18.75" x14ac:dyDescent="0.3">
      <c r="B110" s="21" t="s">
        <v>345</v>
      </c>
    </row>
    <row r="112" spans="2:56" x14ac:dyDescent="0.25">
      <c r="C112" s="36" t="s">
        <v>329</v>
      </c>
      <c r="D112" s="37"/>
      <c r="E112" s="37"/>
      <c r="F112" s="38"/>
      <c r="G112" s="26">
        <v>0.5</v>
      </c>
      <c r="H112" s="36" t="s">
        <v>330</v>
      </c>
      <c r="I112" s="37"/>
      <c r="J112" s="37"/>
      <c r="K112" s="37"/>
      <c r="L112" s="37"/>
      <c r="M112" s="38"/>
    </row>
    <row r="114" spans="3:6" ht="15.75" x14ac:dyDescent="0.25">
      <c r="C114" s="6" t="s">
        <v>331</v>
      </c>
      <c r="D114" s="7"/>
      <c r="E114" s="8"/>
    </row>
    <row r="115" spans="3:6" x14ac:dyDescent="0.25">
      <c r="C115" s="5"/>
      <c r="D115" s="39" t="s">
        <v>332</v>
      </c>
      <c r="E115" s="40"/>
    </row>
    <row r="116" spans="3:6" x14ac:dyDescent="0.25">
      <c r="C116" s="4" t="s">
        <v>333</v>
      </c>
      <c r="D116" s="5">
        <v>1</v>
      </c>
      <c r="E116" s="5">
        <v>0</v>
      </c>
    </row>
    <row r="117" spans="3:6" x14ac:dyDescent="0.25">
      <c r="C117" s="4">
        <v>1</v>
      </c>
      <c r="D117" s="3">
        <f ca="1" xml:space="preserve"> COUNTIF( OFFSET($A$1, 1 - 1, 61 - 1, 67, 1), 1 )</f>
        <v>2</v>
      </c>
      <c r="E117" s="3">
        <f ca="1" xml:space="preserve"> COUNTIF( OFFSET($A$1, 1 - 1, 61 - 1, 67, 1), 2 )</f>
        <v>7</v>
      </c>
    </row>
    <row r="118" spans="3:6" x14ac:dyDescent="0.25">
      <c r="C118" s="4">
        <v>0</v>
      </c>
      <c r="D118" s="3">
        <f ca="1" xml:space="preserve"> COUNTIF( OFFSET($A$1, 1 - 1, 61 - 1, 67, 1), 3 )</f>
        <v>2</v>
      </c>
      <c r="E118" s="3">
        <f ca="1" xml:space="preserve"> COUNTIF( OFFSET($A$1, 1 - 1, 61 - 1, 67, 1), 4 )</f>
        <v>55</v>
      </c>
    </row>
    <row r="120" spans="3:6" ht="15.75" x14ac:dyDescent="0.25">
      <c r="C120" s="6" t="s">
        <v>334</v>
      </c>
      <c r="D120" s="7"/>
      <c r="E120" s="7"/>
      <c r="F120" s="8"/>
    </row>
    <row r="121" spans="3:6" x14ac:dyDescent="0.25">
      <c r="C121" s="5" t="s">
        <v>294</v>
      </c>
      <c r="D121" s="5" t="s">
        <v>335</v>
      </c>
      <c r="E121" s="5" t="s">
        <v>336</v>
      </c>
      <c r="F121" s="5" t="s">
        <v>337</v>
      </c>
    </row>
    <row r="122" spans="3:6" x14ac:dyDescent="0.25">
      <c r="C122" s="4">
        <v>1</v>
      </c>
      <c r="D122" s="3">
        <f ca="1">SUM(OFFSET($A$1, 117 - 1, 4 - 1, 1, 2))</f>
        <v>9</v>
      </c>
      <c r="E122" s="3">
        <f ca="1">SUM(OFFSET($A$1, 117 - 1, 4 - 1, 1, 2)) - OFFSET($A$1, 117 - 1, 4 - 1)</f>
        <v>7</v>
      </c>
      <c r="F122" s="3">
        <f ca="1">IF(OFFSET($A$1, 122 - 1, 4 - 1)=0,"Undefined",((OFFSET($A$1, 122 - 1, 5 - 1))*100) / (OFFSET($A$1, 122 - 1, 4 - 1)))</f>
        <v>77.777777777777771</v>
      </c>
    </row>
    <row r="123" spans="3:6" x14ac:dyDescent="0.25">
      <c r="C123" s="4">
        <v>0</v>
      </c>
      <c r="D123" s="3">
        <f ca="1">SUM(OFFSET($A$1, 118 - 1, 4 - 1, 1, 2))</f>
        <v>57</v>
      </c>
      <c r="E123" s="3">
        <f ca="1">SUM(OFFSET($A$1, 118 - 1, 4 - 1, 1, 2)) - OFFSET($A$1, 118 - 1, 5 - 1)</f>
        <v>2</v>
      </c>
      <c r="F123" s="3">
        <f ca="1">IF(OFFSET($A$1, 123 - 1, 4 - 1)=0,"Undefined",((OFFSET($A$1, 123 - 1, 5 - 1))*100) / (OFFSET($A$1, 123 - 1, 4 - 1)))</f>
        <v>3.5087719298245612</v>
      </c>
    </row>
    <row r="124" spans="3:6" x14ac:dyDescent="0.25">
      <c r="C124" s="4" t="s">
        <v>338</v>
      </c>
      <c r="D124" s="3">
        <f ca="1">SUM(OFFSET($A$1, 122 - 1, 4 - 1, 2, 1))</f>
        <v>66</v>
      </c>
      <c r="E124" s="3">
        <f ca="1">SUM(OFFSET($A$1, 122 - 1, 5 - 1, 2, 1))</f>
        <v>9</v>
      </c>
      <c r="F124" s="3">
        <f ca="1">IF(OFFSET($A$1, 124 - 1, 4 - 1)=0,"Undefined",((OFFSET($A$1, 124 - 1, 5 - 1))*100) / (OFFSET($A$1, 124 - 1, 4 - 1)))</f>
        <v>13.636363636363637</v>
      </c>
    </row>
    <row r="126" spans="3:6" ht="15.75" x14ac:dyDescent="0.25">
      <c r="C126" s="6" t="s">
        <v>339</v>
      </c>
      <c r="D126" s="7"/>
      <c r="E126" s="8"/>
    </row>
    <row r="127" spans="3:6" x14ac:dyDescent="0.25">
      <c r="C127" s="9" t="s">
        <v>340</v>
      </c>
      <c r="D127" s="11"/>
      <c r="E127" s="22">
        <v>1</v>
      </c>
    </row>
    <row r="128" spans="3:6" x14ac:dyDescent="0.25">
      <c r="C128" s="9" t="s">
        <v>341</v>
      </c>
      <c r="D128" s="11"/>
      <c r="E128" s="22">
        <f ca="1">IF((OFFSET($A$1, 117 - 1, 4 - 1) + OFFSET($A$1, 118 - 1, 4 - 1)) = 0,"Undefined",OFFSET($A$1, 117 - 1, 4 - 1)/(OFFSET($A$1, 117 - 1, 4 - 1) + OFFSET($A$1, 118 - 1, 4 - 1)))</f>
        <v>0.5</v>
      </c>
    </row>
    <row r="129" spans="3:5" x14ac:dyDescent="0.25">
      <c r="C129" s="9" t="s">
        <v>342</v>
      </c>
      <c r="D129" s="11"/>
      <c r="E129" s="22">
        <f ca="1">IF((OFFSET($A$1, 117 - 1, 4 - 1) + OFFSET($A$1, 117 - 1, 5 - 1)) = 0,"Undefined",OFFSET($A$1, 117 - 1, 4 - 1)/(OFFSET($A$1, 117 - 1, 4 - 1) + OFFSET($A$1, 117 - 1, 5 - 1)))</f>
        <v>0.22222222222222221</v>
      </c>
    </row>
    <row r="130" spans="3:5" x14ac:dyDescent="0.25">
      <c r="C130" s="9" t="s">
        <v>343</v>
      </c>
      <c r="D130" s="11"/>
      <c r="E130" s="22">
        <f ca="1">IF((OFFSET($A$1, 118 - 1, 4 - 1) + OFFSET($A$1, 118 - 1, 5 - 1)) = 0,"Undefined",OFFSET($A$1, 118 - 1, 5 - 1)/(OFFSET($A$1, 118 - 1, 4 - 1) + OFFSET($A$1, 118 - 1, 5 - 1)))</f>
        <v>0.96491228070175439</v>
      </c>
    </row>
    <row r="131" spans="3:5" x14ac:dyDescent="0.25">
      <c r="C131" s="9" t="s">
        <v>344</v>
      </c>
      <c r="D131" s="11"/>
      <c r="E131" s="22">
        <f ca="1">IF(OR(OFFSET($A$1, 128 - 1, 5 - 1)="Undefined",OFFSET($A$1, 129 - 1, 5 - 1)="Undefined"),"Undefined",IF((OFFSET($A$1, 128 - 1, 5 - 1) + OFFSET($A$1, 129 - 1, 5 - 1))=0,"Undefined",2*OFFSET($A$1, 128 - 1, 5 - 1)*OFFSET($A$1, 129 - 1, 5 - 1)/(OFFSET($A$1, 128 - 1, 5 - 1)+OFFSET($A$1, 129 - 1, 5 - 1))))</f>
        <v>0.30769230769230765</v>
      </c>
    </row>
  </sheetData>
  <mergeCells count="82">
    <mergeCell ref="B3:K3"/>
    <mergeCell ref="N3:Q3"/>
    <mergeCell ref="F4:G4"/>
    <mergeCell ref="H4:I4"/>
    <mergeCell ref="J4:K4"/>
    <mergeCell ref="B5:C5"/>
    <mergeCell ref="D5:E5"/>
    <mergeCell ref="F5:G5"/>
    <mergeCell ref="H5:I5"/>
    <mergeCell ref="J5:K5"/>
    <mergeCell ref="C127:D127"/>
    <mergeCell ref="C128:D128"/>
    <mergeCell ref="C129:D129"/>
    <mergeCell ref="C130:D130"/>
    <mergeCell ref="C131:D131"/>
    <mergeCell ref="B4:C4"/>
    <mergeCell ref="D4:E4"/>
    <mergeCell ref="C112:F112"/>
    <mergeCell ref="H112:M112"/>
    <mergeCell ref="C114:E114"/>
    <mergeCell ref="D115:E115"/>
    <mergeCell ref="C120:F120"/>
    <mergeCell ref="C126:E126"/>
    <mergeCell ref="C102:E102"/>
    <mergeCell ref="C103:D103"/>
    <mergeCell ref="C104:D104"/>
    <mergeCell ref="C105:D105"/>
    <mergeCell ref="C106:D106"/>
    <mergeCell ref="C107:D107"/>
    <mergeCell ref="H75:K75"/>
    <mergeCell ref="C88:F88"/>
    <mergeCell ref="H88:M88"/>
    <mergeCell ref="C90:E90"/>
    <mergeCell ref="D91:E91"/>
    <mergeCell ref="C96:F96"/>
    <mergeCell ref="C39:G39"/>
    <mergeCell ref="C40:G40"/>
    <mergeCell ref="C45:G45"/>
    <mergeCell ref="C54:E54"/>
    <mergeCell ref="C56:D56"/>
    <mergeCell ref="E56:F56"/>
    <mergeCell ref="G32:J32"/>
    <mergeCell ref="G33:J33"/>
    <mergeCell ref="G34:J34"/>
    <mergeCell ref="C36:G36"/>
    <mergeCell ref="C37:G37"/>
    <mergeCell ref="C38:G38"/>
    <mergeCell ref="C31:F31"/>
    <mergeCell ref="C32:F32"/>
    <mergeCell ref="C33:F33"/>
    <mergeCell ref="C34:F34"/>
    <mergeCell ref="G26:J26"/>
    <mergeCell ref="G27:J27"/>
    <mergeCell ref="G28:J28"/>
    <mergeCell ref="G29:J29"/>
    <mergeCell ref="G30:J30"/>
    <mergeCell ref="G31:J31"/>
    <mergeCell ref="C25:J25"/>
    <mergeCell ref="C26:F26"/>
    <mergeCell ref="C27:F27"/>
    <mergeCell ref="C28:F28"/>
    <mergeCell ref="C29:F29"/>
    <mergeCell ref="C30:F30"/>
    <mergeCell ref="C20:G20"/>
    <mergeCell ref="C21:D21"/>
    <mergeCell ref="C22:D22"/>
    <mergeCell ref="C23:D23"/>
    <mergeCell ref="E21:G21"/>
    <mergeCell ref="E23:G23"/>
    <mergeCell ref="C18:F18"/>
    <mergeCell ref="G13:K13"/>
    <mergeCell ref="G14:K14"/>
    <mergeCell ref="G15:K15"/>
    <mergeCell ref="G16:K16"/>
    <mergeCell ref="G17:K17"/>
    <mergeCell ref="G18:K18"/>
    <mergeCell ref="C12:K12"/>
    <mergeCell ref="C13:F13"/>
    <mergeCell ref="C14:F14"/>
    <mergeCell ref="C15:F15"/>
    <mergeCell ref="C16:F16"/>
    <mergeCell ref="C17:F17"/>
  </mergeCells>
  <hyperlinks>
    <hyperlink ref="C77" location="B77:B77" tooltip="603" display="Choose Subset"/>
    <hyperlink ref="C78" location="B78:B78" tooltip="603" display="Choose Subset"/>
    <hyperlink ref="C79" location="B79:B79" tooltip="603" display="Choose Subset"/>
    <hyperlink ref="C80" location="B80:B80" tooltip="603" display="Choose Subset"/>
    <hyperlink ref="C81" location="B81:B81" tooltip="603" display="Choose Subset"/>
    <hyperlink ref="C82" location="B82:B82" tooltip="603" display="Choose Subset"/>
    <hyperlink ref="B4" location="'LR_Output'!$B$10:$B$10" display="Inputs"/>
    <hyperlink ref="D4" location="'LR_Output'!$B$43:$B$43" display="Prior Class Prob."/>
    <hyperlink ref="F4" location="'LR_Output'!$B$52:$B$52" display="Predictors"/>
    <hyperlink ref="H4" location="'LR_Output'!$B$64:$B$64" display="Regress. Model"/>
    <hyperlink ref="J4" location="'LR_Output'!$B$73:$B$73" display="Variable Selection"/>
    <hyperlink ref="B5" location="'LR_Output'!$B$86:$B$86" display="Train. Score Summary"/>
    <hyperlink ref="D5" location="'LR_Output'!$B$110:$B$110" display="Valid. Score Summary"/>
    <hyperlink ref="F5" location="'LR_TrainingLiftChart'!$B$10:$B$10" display="Training Lift Chart"/>
    <hyperlink ref="H5" location="'LR_ValidationLiftChart'!$B$10:$B$10" display="Validation Lift Chart"/>
  </hyperlinks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B108"/>
  <sheetViews>
    <sheetView showGridLines="0" workbookViewId="0"/>
  </sheetViews>
  <sheetFormatPr defaultRowHeight="15" x14ac:dyDescent="0.25"/>
  <cols>
    <col min="14" max="14" width="13.28515625" bestFit="1" customWidth="1"/>
    <col min="52" max="52" width="8.140625" customWidth="1"/>
    <col min="53" max="53" width="15" bestFit="1" customWidth="1"/>
    <col min="54" max="54" width="12.140625" bestFit="1" customWidth="1"/>
    <col min="55" max="55" width="45.42578125" bestFit="1" customWidth="1"/>
    <col min="56" max="56" width="27.7109375" bestFit="1" customWidth="1"/>
    <col min="57" max="57" width="6.42578125" customWidth="1"/>
    <col min="58" max="58" width="22.42578125" bestFit="1" customWidth="1"/>
    <col min="78" max="80" width="12" bestFit="1" customWidth="1"/>
  </cols>
  <sheetData>
    <row r="1" spans="2:80" ht="18.75" x14ac:dyDescent="0.3">
      <c r="B1" s="2" t="s">
        <v>258</v>
      </c>
      <c r="N1" t="s">
        <v>210</v>
      </c>
      <c r="BZ1" s="5" t="s">
        <v>241</v>
      </c>
      <c r="CA1" s="5" t="s">
        <v>242</v>
      </c>
      <c r="CB1" s="5" t="s">
        <v>243</v>
      </c>
    </row>
    <row r="2" spans="2:80" x14ac:dyDescent="0.25">
      <c r="BZ2">
        <v>0</v>
      </c>
      <c r="CA2">
        <v>0</v>
      </c>
      <c r="CB2">
        <v>0</v>
      </c>
    </row>
    <row r="3" spans="2:80" ht="15.75" x14ac:dyDescent="0.25">
      <c r="B3" s="6" t="s">
        <v>190</v>
      </c>
      <c r="C3" s="7"/>
      <c r="D3" s="7"/>
      <c r="E3" s="7"/>
      <c r="F3" s="7"/>
      <c r="G3" s="7"/>
      <c r="H3" s="7"/>
      <c r="I3" s="7"/>
      <c r="J3" s="7"/>
      <c r="K3" s="8"/>
      <c r="N3" s="6" t="s">
        <v>191</v>
      </c>
      <c r="O3" s="7"/>
      <c r="P3" s="7"/>
      <c r="Q3" s="8"/>
      <c r="AZ3" s="5" t="s">
        <v>234</v>
      </c>
      <c r="BA3" s="5" t="s">
        <v>235</v>
      </c>
      <c r="BB3" s="5" t="s">
        <v>236</v>
      </c>
      <c r="BC3" s="5" t="s">
        <v>237</v>
      </c>
      <c r="BD3" s="5" t="s">
        <v>238</v>
      </c>
      <c r="BE3" s="5" t="s">
        <v>239</v>
      </c>
      <c r="BF3" s="5" t="s">
        <v>240</v>
      </c>
      <c r="BZ3">
        <v>0</v>
      </c>
      <c r="CA3">
        <v>4.7619047619047616E-2</v>
      </c>
      <c r="CB3">
        <v>0</v>
      </c>
    </row>
    <row r="4" spans="2:80" x14ac:dyDescent="0.25">
      <c r="B4" s="18" t="s">
        <v>249</v>
      </c>
      <c r="C4" s="14"/>
      <c r="D4" s="18" t="s">
        <v>250</v>
      </c>
      <c r="E4" s="14"/>
      <c r="F4" s="18" t="s">
        <v>251</v>
      </c>
      <c r="G4" s="14"/>
      <c r="H4" s="18" t="s">
        <v>252</v>
      </c>
      <c r="I4" s="14"/>
      <c r="J4" s="18" t="s">
        <v>253</v>
      </c>
      <c r="K4" s="14"/>
      <c r="N4" s="5" t="s">
        <v>232</v>
      </c>
      <c r="O4" s="5" t="s">
        <v>233</v>
      </c>
      <c r="P4" s="5" t="s">
        <v>193</v>
      </c>
      <c r="Q4" s="5" t="s">
        <v>194</v>
      </c>
      <c r="AZ4" s="19">
        <v>1</v>
      </c>
      <c r="BA4" s="19">
        <v>0.98318848171104267</v>
      </c>
      <c r="BB4" s="19">
        <v>1</v>
      </c>
      <c r="BC4" s="19">
        <v>1</v>
      </c>
      <c r="BD4" s="19">
        <v>0.2</v>
      </c>
      <c r="BE4">
        <v>1</v>
      </c>
      <c r="BF4">
        <v>4.5</v>
      </c>
      <c r="BZ4">
        <v>0</v>
      </c>
      <c r="CA4">
        <v>0.14285714285714285</v>
      </c>
      <c r="CB4">
        <v>0</v>
      </c>
    </row>
    <row r="5" spans="2:80" x14ac:dyDescent="0.25">
      <c r="B5" s="18" t="s">
        <v>254</v>
      </c>
      <c r="C5" s="14"/>
      <c r="D5" s="18" t="s">
        <v>255</v>
      </c>
      <c r="E5" s="14"/>
      <c r="F5" s="18" t="s">
        <v>256</v>
      </c>
      <c r="G5" s="14"/>
      <c r="H5" s="18" t="s">
        <v>257</v>
      </c>
      <c r="I5" s="14"/>
      <c r="J5" s="12"/>
      <c r="K5" s="14"/>
      <c r="N5" s="3">
        <v>0</v>
      </c>
      <c r="O5" s="3">
        <v>2</v>
      </c>
      <c r="P5" s="3">
        <v>1</v>
      </c>
      <c r="Q5" s="3">
        <v>3</v>
      </c>
      <c r="AZ5" s="19">
        <v>2</v>
      </c>
      <c r="BA5" s="19">
        <v>0.93211130181262958</v>
      </c>
      <c r="BB5" s="19">
        <v>1</v>
      </c>
      <c r="BC5" s="19">
        <v>2</v>
      </c>
      <c r="BD5" s="19">
        <v>0.4</v>
      </c>
      <c r="BE5">
        <v>2</v>
      </c>
      <c r="BF5">
        <v>3</v>
      </c>
      <c r="BZ5">
        <v>0</v>
      </c>
      <c r="CA5">
        <v>0.2857142857142857</v>
      </c>
      <c r="CB5">
        <v>0</v>
      </c>
    </row>
    <row r="6" spans="2:80" x14ac:dyDescent="0.25">
      <c r="AZ6" s="19">
        <v>3</v>
      </c>
      <c r="BA6" s="19">
        <v>0.93211130181262958</v>
      </c>
      <c r="BB6" s="19">
        <v>1</v>
      </c>
      <c r="BC6" s="19">
        <v>3</v>
      </c>
      <c r="BD6" s="19">
        <v>0.60000000000000009</v>
      </c>
      <c r="BE6">
        <v>3</v>
      </c>
      <c r="BF6">
        <v>1.5</v>
      </c>
      <c r="BZ6">
        <v>0</v>
      </c>
      <c r="CA6">
        <v>0.38095238095238093</v>
      </c>
      <c r="CB6">
        <v>0</v>
      </c>
    </row>
    <row r="7" spans="2:80" x14ac:dyDescent="0.25">
      <c r="AZ7" s="19">
        <v>4</v>
      </c>
      <c r="BA7" s="19">
        <v>0.91212197511962823</v>
      </c>
      <c r="BB7" s="19">
        <v>1</v>
      </c>
      <c r="BC7" s="19">
        <v>4</v>
      </c>
      <c r="BD7" s="19">
        <v>0.8</v>
      </c>
      <c r="BE7">
        <v>4</v>
      </c>
      <c r="BF7">
        <v>1</v>
      </c>
      <c r="BZ7">
        <v>0</v>
      </c>
      <c r="CA7">
        <v>0.42857142857142855</v>
      </c>
      <c r="CB7">
        <v>0</v>
      </c>
    </row>
    <row r="8" spans="2:80" x14ac:dyDescent="0.25">
      <c r="AZ8" s="19">
        <v>5</v>
      </c>
      <c r="BA8" s="19">
        <v>0.91212197511962823</v>
      </c>
      <c r="BB8" s="19">
        <v>1</v>
      </c>
      <c r="BC8" s="19">
        <v>5</v>
      </c>
      <c r="BD8" s="19">
        <v>1</v>
      </c>
      <c r="BE8">
        <v>5</v>
      </c>
      <c r="BF8">
        <v>0.5</v>
      </c>
      <c r="BZ8">
        <v>1.1904761904761904E-2</v>
      </c>
      <c r="CA8">
        <v>0.42857142857142855</v>
      </c>
      <c r="CB8">
        <v>1.1904761904761904E-2</v>
      </c>
    </row>
    <row r="9" spans="2:80" x14ac:dyDescent="0.25">
      <c r="AZ9" s="19">
        <v>6</v>
      </c>
      <c r="BA9" s="19">
        <v>0.91212197511962823</v>
      </c>
      <c r="BB9" s="19">
        <v>1</v>
      </c>
      <c r="BC9" s="19">
        <v>6</v>
      </c>
      <c r="BD9" s="19">
        <v>1.2000000000000002</v>
      </c>
      <c r="BE9">
        <v>6</v>
      </c>
      <c r="BF9">
        <v>0</v>
      </c>
      <c r="BZ9">
        <v>2.3809523809523808E-2</v>
      </c>
      <c r="CA9">
        <v>0.47619047619047616</v>
      </c>
      <c r="CB9">
        <v>2.3809523809523808E-2</v>
      </c>
    </row>
    <row r="10" spans="2:80" x14ac:dyDescent="0.25">
      <c r="AZ10" s="19">
        <v>7</v>
      </c>
      <c r="BA10" s="19">
        <v>0.86492033003400359</v>
      </c>
      <c r="BB10" s="19">
        <v>1</v>
      </c>
      <c r="BC10" s="19">
        <v>7</v>
      </c>
      <c r="BD10" s="19">
        <v>1.4000000000000001</v>
      </c>
      <c r="BE10">
        <v>7</v>
      </c>
      <c r="BF10">
        <v>0</v>
      </c>
      <c r="BZ10">
        <v>3.5714285714285712E-2</v>
      </c>
      <c r="CA10">
        <v>0.52380952380952384</v>
      </c>
      <c r="CB10">
        <v>3.5714285714285712E-2</v>
      </c>
    </row>
    <row r="11" spans="2:80" x14ac:dyDescent="0.25">
      <c r="AZ11" s="19">
        <v>8</v>
      </c>
      <c r="BA11" s="19">
        <v>0.86492033003400359</v>
      </c>
      <c r="BB11" s="19">
        <v>1</v>
      </c>
      <c r="BC11" s="19">
        <v>8</v>
      </c>
      <c r="BD11" s="19">
        <v>1.6</v>
      </c>
      <c r="BE11">
        <v>8</v>
      </c>
      <c r="BF11">
        <v>0</v>
      </c>
      <c r="BZ11">
        <v>3.5714285714285712E-2</v>
      </c>
      <c r="CA11">
        <v>0.61904761904761907</v>
      </c>
      <c r="CB11">
        <v>3.5714285714285712E-2</v>
      </c>
    </row>
    <row r="12" spans="2:80" x14ac:dyDescent="0.25">
      <c r="AZ12" s="19">
        <v>9</v>
      </c>
      <c r="BA12" s="19">
        <v>0.83936083362001224</v>
      </c>
      <c r="BB12" s="19">
        <v>1</v>
      </c>
      <c r="BC12" s="19">
        <v>9</v>
      </c>
      <c r="BD12" s="19">
        <v>1.8</v>
      </c>
      <c r="BE12">
        <v>9</v>
      </c>
      <c r="BF12">
        <v>0</v>
      </c>
      <c r="BZ12">
        <v>3.5714285714285712E-2</v>
      </c>
      <c r="CA12">
        <v>0.66666666666666663</v>
      </c>
      <c r="CB12">
        <v>3.5714285714285712E-2</v>
      </c>
    </row>
    <row r="13" spans="2:80" x14ac:dyDescent="0.25">
      <c r="AZ13" s="19">
        <v>10</v>
      </c>
      <c r="BA13" s="19">
        <v>0.79798072657133057</v>
      </c>
      <c r="BB13" s="19">
        <v>0</v>
      </c>
      <c r="BC13" s="19">
        <v>9</v>
      </c>
      <c r="BD13" s="19">
        <v>2</v>
      </c>
      <c r="BE13">
        <v>10</v>
      </c>
      <c r="BF13">
        <v>0</v>
      </c>
      <c r="BZ13">
        <v>4.7619047619047616E-2</v>
      </c>
      <c r="CA13">
        <v>0.66666666666666663</v>
      </c>
      <c r="CB13">
        <v>4.7619047619047616E-2</v>
      </c>
    </row>
    <row r="14" spans="2:80" x14ac:dyDescent="0.25">
      <c r="AZ14" s="20">
        <v>11</v>
      </c>
      <c r="BA14" s="20">
        <v>0.79798072657133046</v>
      </c>
      <c r="BB14" s="20">
        <v>1</v>
      </c>
      <c r="BC14" s="20">
        <v>10</v>
      </c>
      <c r="BD14" s="20">
        <v>2.2000000000000002</v>
      </c>
      <c r="BZ14">
        <v>5.9523809523809521E-2</v>
      </c>
      <c r="CA14">
        <v>0.76190476190476186</v>
      </c>
      <c r="CB14">
        <v>5.9523809523809521E-2</v>
      </c>
    </row>
    <row r="15" spans="2:80" x14ac:dyDescent="0.25">
      <c r="AZ15" s="20">
        <v>12</v>
      </c>
      <c r="BA15" s="20">
        <v>0.79798072657133046</v>
      </c>
      <c r="BB15" s="20">
        <v>0</v>
      </c>
      <c r="BC15" s="20">
        <v>10</v>
      </c>
      <c r="BD15" s="20">
        <v>2.4000000000000004</v>
      </c>
      <c r="BZ15">
        <v>8.3333333333333329E-2</v>
      </c>
      <c r="CA15">
        <v>0.76190476190476186</v>
      </c>
      <c r="CB15">
        <v>8.3333333333333329E-2</v>
      </c>
    </row>
    <row r="16" spans="2:80" x14ac:dyDescent="0.25">
      <c r="AZ16" s="20">
        <v>13</v>
      </c>
      <c r="BA16" s="20">
        <v>0.76322250292774019</v>
      </c>
      <c r="BB16" s="20">
        <v>0</v>
      </c>
      <c r="BC16" s="20">
        <v>10</v>
      </c>
      <c r="BD16" s="20">
        <v>2.6</v>
      </c>
      <c r="BZ16">
        <v>9.5238095238095233E-2</v>
      </c>
      <c r="CA16">
        <v>0.80952380952380953</v>
      </c>
      <c r="CB16">
        <v>9.5238095238095233E-2</v>
      </c>
    </row>
    <row r="17" spans="52:80" x14ac:dyDescent="0.25">
      <c r="AZ17" s="20">
        <v>14</v>
      </c>
      <c r="BA17" s="20">
        <v>0.76322250292774019</v>
      </c>
      <c r="BB17" s="20">
        <v>1</v>
      </c>
      <c r="BC17" s="20">
        <v>11</v>
      </c>
      <c r="BD17" s="20">
        <v>2.8000000000000003</v>
      </c>
      <c r="BZ17">
        <v>0.10714285714285714</v>
      </c>
      <c r="CA17">
        <v>0.80952380952380953</v>
      </c>
      <c r="CB17">
        <v>0.10714285714285714</v>
      </c>
    </row>
    <row r="18" spans="52:80" x14ac:dyDescent="0.25">
      <c r="AZ18" s="20">
        <v>15</v>
      </c>
      <c r="BA18" s="20">
        <v>0.64814866033700547</v>
      </c>
      <c r="BB18" s="20">
        <v>1</v>
      </c>
      <c r="BC18" s="20">
        <v>12</v>
      </c>
      <c r="BD18" s="20">
        <v>3</v>
      </c>
      <c r="BZ18">
        <v>0.11904761904761904</v>
      </c>
      <c r="CA18">
        <v>0.80952380952380953</v>
      </c>
      <c r="CB18">
        <v>0.11904761904761904</v>
      </c>
    </row>
    <row r="19" spans="52:80" x14ac:dyDescent="0.25">
      <c r="AZ19" s="20">
        <v>16</v>
      </c>
      <c r="BA19" s="20">
        <v>0.64814866033700547</v>
      </c>
      <c r="BB19" s="20">
        <v>1</v>
      </c>
      <c r="BC19" s="20">
        <v>13</v>
      </c>
      <c r="BD19" s="20">
        <v>3.2</v>
      </c>
      <c r="BZ19">
        <v>0.11904761904761904</v>
      </c>
      <c r="CA19">
        <v>0.8571428571428571</v>
      </c>
      <c r="CB19">
        <v>0.11904761904761904</v>
      </c>
    </row>
    <row r="20" spans="52:80" x14ac:dyDescent="0.25">
      <c r="AZ20" s="20">
        <v>17</v>
      </c>
      <c r="BA20" s="20">
        <v>0.60051675645741398</v>
      </c>
      <c r="BB20" s="20">
        <v>1</v>
      </c>
      <c r="BC20" s="20">
        <v>14</v>
      </c>
      <c r="BD20" s="20">
        <v>3.4000000000000004</v>
      </c>
      <c r="BZ20">
        <v>0.13095238095238096</v>
      </c>
      <c r="CA20">
        <v>0.8571428571428571</v>
      </c>
      <c r="CB20">
        <v>0.13095238095238096</v>
      </c>
    </row>
    <row r="21" spans="52:80" x14ac:dyDescent="0.25">
      <c r="AZ21" s="20">
        <v>18</v>
      </c>
      <c r="BA21" s="20">
        <v>0.53192152883092692</v>
      </c>
      <c r="BB21" s="20">
        <v>0</v>
      </c>
      <c r="BC21" s="20">
        <v>14</v>
      </c>
      <c r="BD21" s="20">
        <v>3.6</v>
      </c>
      <c r="BZ21">
        <v>0.14285714285714285</v>
      </c>
      <c r="CA21">
        <v>0.90476190476190477</v>
      </c>
      <c r="CB21">
        <v>0.14285714285714285</v>
      </c>
    </row>
    <row r="22" spans="52:80" x14ac:dyDescent="0.25">
      <c r="AZ22" s="20">
        <v>19</v>
      </c>
      <c r="BA22" s="20">
        <v>0.48115079125216564</v>
      </c>
      <c r="BB22" s="20">
        <v>1</v>
      </c>
      <c r="BC22" s="20">
        <v>15</v>
      </c>
      <c r="BD22" s="20">
        <v>3.8000000000000003</v>
      </c>
      <c r="BZ22">
        <v>0.16666666666666666</v>
      </c>
      <c r="CA22">
        <v>0.95238095238095233</v>
      </c>
      <c r="CB22">
        <v>0.16666666666666666</v>
      </c>
    </row>
    <row r="23" spans="52:80" x14ac:dyDescent="0.25">
      <c r="AZ23" s="20">
        <v>20</v>
      </c>
      <c r="BA23" s="20">
        <v>0.48115079125216564</v>
      </c>
      <c r="BB23" s="20">
        <v>0</v>
      </c>
      <c r="BC23" s="20">
        <v>15</v>
      </c>
      <c r="BD23" s="20">
        <v>4</v>
      </c>
      <c r="BZ23">
        <v>0.17857142857142858</v>
      </c>
      <c r="CA23">
        <v>0.95238095238095233</v>
      </c>
      <c r="CB23">
        <v>0.17857142857142858</v>
      </c>
    </row>
    <row r="24" spans="52:80" x14ac:dyDescent="0.25">
      <c r="AZ24" s="19">
        <v>21</v>
      </c>
      <c r="BA24" s="19">
        <v>0.48115079125216564</v>
      </c>
      <c r="BB24" s="19">
        <v>1</v>
      </c>
      <c r="BC24" s="19">
        <v>16</v>
      </c>
      <c r="BD24" s="19">
        <v>4.2</v>
      </c>
      <c r="BZ24">
        <v>0.19047619047619047</v>
      </c>
      <c r="CA24">
        <v>0.95238095238095233</v>
      </c>
      <c r="CB24">
        <v>0.19047619047619047</v>
      </c>
    </row>
    <row r="25" spans="52:80" x14ac:dyDescent="0.25">
      <c r="AZ25" s="19">
        <v>22</v>
      </c>
      <c r="BA25" s="19">
        <v>0.41212411630333212</v>
      </c>
      <c r="BB25" s="19">
        <v>0</v>
      </c>
      <c r="BC25" s="19">
        <v>16</v>
      </c>
      <c r="BD25" s="19">
        <v>4.4000000000000004</v>
      </c>
      <c r="BZ25">
        <v>0.22619047619047619</v>
      </c>
      <c r="CA25">
        <v>0.95238095238095233</v>
      </c>
      <c r="CB25">
        <v>0.22619047619047619</v>
      </c>
    </row>
    <row r="26" spans="52:80" x14ac:dyDescent="0.25">
      <c r="AZ26" s="19">
        <v>23</v>
      </c>
      <c r="BA26" s="19">
        <v>0.41212411630333212</v>
      </c>
      <c r="BB26" s="19">
        <v>0</v>
      </c>
      <c r="BC26" s="19">
        <v>16</v>
      </c>
      <c r="BD26" s="19">
        <v>4.6000000000000005</v>
      </c>
      <c r="BZ26">
        <v>0.25</v>
      </c>
      <c r="CA26">
        <v>0.95238095238095233</v>
      </c>
      <c r="CB26">
        <v>0.25</v>
      </c>
    </row>
    <row r="27" spans="52:80" x14ac:dyDescent="0.25">
      <c r="AZ27" s="19">
        <v>24</v>
      </c>
      <c r="BA27" s="19">
        <v>0.30190504314012601</v>
      </c>
      <c r="BB27" s="19">
        <v>1</v>
      </c>
      <c r="BC27" s="19">
        <v>17</v>
      </c>
      <c r="BD27" s="19">
        <v>4.8000000000000007</v>
      </c>
      <c r="BZ27">
        <v>0.2857142857142857</v>
      </c>
      <c r="CA27">
        <v>0.95238095238095233</v>
      </c>
      <c r="CB27">
        <v>0.2857142857142857</v>
      </c>
    </row>
    <row r="28" spans="52:80" x14ac:dyDescent="0.25">
      <c r="AZ28" s="19">
        <v>25</v>
      </c>
      <c r="BA28" s="19">
        <v>0.30190504314012601</v>
      </c>
      <c r="BB28" s="19">
        <v>0</v>
      </c>
      <c r="BC28" s="19">
        <v>17</v>
      </c>
      <c r="BD28" s="19">
        <v>5</v>
      </c>
      <c r="BZ28">
        <v>0.29761904761904762</v>
      </c>
      <c r="CA28">
        <v>0.95238095238095233</v>
      </c>
      <c r="CB28">
        <v>0.29761904761904762</v>
      </c>
    </row>
    <row r="29" spans="52:80" x14ac:dyDescent="0.25">
      <c r="AZ29" s="19">
        <v>26</v>
      </c>
      <c r="BA29" s="19">
        <v>0.26085388519462543</v>
      </c>
      <c r="BB29" s="19">
        <v>0</v>
      </c>
      <c r="BC29" s="19">
        <v>17</v>
      </c>
      <c r="BD29" s="19">
        <v>5.2</v>
      </c>
      <c r="BZ29">
        <v>0.30952380952380953</v>
      </c>
      <c r="CA29">
        <v>0.95238095238095233</v>
      </c>
      <c r="CB29">
        <v>0.30952380952380953</v>
      </c>
    </row>
    <row r="30" spans="52:80" x14ac:dyDescent="0.25">
      <c r="AZ30" s="19">
        <v>27</v>
      </c>
      <c r="BA30" s="19">
        <v>0.24638221057443288</v>
      </c>
      <c r="BB30" s="19">
        <v>0</v>
      </c>
      <c r="BC30" s="19">
        <v>17</v>
      </c>
      <c r="BD30" s="19">
        <v>5.4</v>
      </c>
      <c r="BZ30">
        <v>0.40476190476190477</v>
      </c>
      <c r="CA30">
        <v>1</v>
      </c>
      <c r="CB30">
        <v>0.40476190476190477</v>
      </c>
    </row>
    <row r="31" spans="52:80" x14ac:dyDescent="0.25">
      <c r="AZ31" s="19">
        <v>28</v>
      </c>
      <c r="BA31" s="19">
        <v>0.21060310263472926</v>
      </c>
      <c r="BB31" s="19">
        <v>1</v>
      </c>
      <c r="BC31" s="19">
        <v>18</v>
      </c>
      <c r="BD31" s="19">
        <v>5.6000000000000005</v>
      </c>
      <c r="BZ31">
        <v>0.41666666666666669</v>
      </c>
      <c r="CA31">
        <v>1</v>
      </c>
      <c r="CB31">
        <v>0.41666666666666669</v>
      </c>
    </row>
    <row r="32" spans="52:80" x14ac:dyDescent="0.25">
      <c r="AZ32" s="19">
        <v>29</v>
      </c>
      <c r="BA32" s="19">
        <v>0.19817180610473076</v>
      </c>
      <c r="BB32" s="19">
        <v>0</v>
      </c>
      <c r="BC32" s="19">
        <v>18</v>
      </c>
      <c r="BD32" s="19">
        <v>5.8000000000000007</v>
      </c>
      <c r="BZ32">
        <v>0.42857142857142855</v>
      </c>
      <c r="CA32">
        <v>1</v>
      </c>
      <c r="CB32">
        <v>0.42857142857142855</v>
      </c>
    </row>
    <row r="33" spans="9:80" x14ac:dyDescent="0.25">
      <c r="AZ33" s="19">
        <v>30</v>
      </c>
      <c r="BA33" s="19">
        <v>0.1678345502816754</v>
      </c>
      <c r="BB33" s="19">
        <v>0</v>
      </c>
      <c r="BC33" s="19">
        <v>18</v>
      </c>
      <c r="BD33" s="19">
        <v>6</v>
      </c>
      <c r="BZ33">
        <v>0.45238095238095238</v>
      </c>
      <c r="CA33">
        <v>1</v>
      </c>
      <c r="CB33">
        <v>0.45238095238095238</v>
      </c>
    </row>
    <row r="34" spans="9:80" x14ac:dyDescent="0.25">
      <c r="AZ34" s="20">
        <v>31</v>
      </c>
      <c r="BA34" s="20">
        <v>0.1678345502816754</v>
      </c>
      <c r="BB34" s="20">
        <v>1</v>
      </c>
      <c r="BC34" s="20">
        <v>19</v>
      </c>
      <c r="BD34" s="20">
        <v>6.2</v>
      </c>
      <c r="BZ34">
        <v>0.52380952380952384</v>
      </c>
      <c r="CA34">
        <v>1</v>
      </c>
      <c r="CB34">
        <v>0.52380952380952384</v>
      </c>
    </row>
    <row r="35" spans="9:80" x14ac:dyDescent="0.25">
      <c r="AZ35" s="20">
        <v>32</v>
      </c>
      <c r="BA35" s="20">
        <v>0.14132294827706593</v>
      </c>
      <c r="BB35" s="20">
        <v>1</v>
      </c>
      <c r="BC35" s="20">
        <v>20</v>
      </c>
      <c r="BD35" s="20">
        <v>6.4</v>
      </c>
      <c r="BZ35">
        <v>0.6785714285714286</v>
      </c>
      <c r="CA35">
        <v>1</v>
      </c>
      <c r="CB35">
        <v>0.6785714285714286</v>
      </c>
    </row>
    <row r="36" spans="9:80" x14ac:dyDescent="0.25">
      <c r="AZ36" s="20">
        <v>33</v>
      </c>
      <c r="BA36" s="20">
        <v>0.14132294827706593</v>
      </c>
      <c r="BB36" s="20">
        <v>0</v>
      </c>
      <c r="BC36" s="20">
        <v>20</v>
      </c>
      <c r="BD36" s="20">
        <v>6.6000000000000005</v>
      </c>
      <c r="BZ36">
        <v>0.73809523809523814</v>
      </c>
      <c r="CA36">
        <v>1</v>
      </c>
      <c r="CB36">
        <v>0.73809523809523814</v>
      </c>
    </row>
    <row r="37" spans="9:80" x14ac:dyDescent="0.25">
      <c r="AZ37" s="20">
        <v>34</v>
      </c>
      <c r="BA37" s="20">
        <v>0.14132294827706593</v>
      </c>
      <c r="BB37" s="20">
        <v>0</v>
      </c>
      <c r="BC37" s="20">
        <v>20</v>
      </c>
      <c r="BD37" s="20">
        <v>6.8000000000000007</v>
      </c>
      <c r="BZ37">
        <v>0.75</v>
      </c>
      <c r="CA37">
        <v>1</v>
      </c>
      <c r="CB37">
        <v>0.75</v>
      </c>
    </row>
    <row r="38" spans="9:80" x14ac:dyDescent="0.25">
      <c r="I38" s="5" t="s">
        <v>244</v>
      </c>
      <c r="J38" s="5" t="s">
        <v>245</v>
      </c>
      <c r="K38" s="5" t="s">
        <v>246</v>
      </c>
      <c r="L38" s="5" t="s">
        <v>247</v>
      </c>
      <c r="M38" s="5" t="s">
        <v>248</v>
      </c>
      <c r="AZ38" s="20">
        <v>35</v>
      </c>
      <c r="BA38" s="20">
        <v>0.11840333023230293</v>
      </c>
      <c r="BB38" s="20">
        <v>0</v>
      </c>
      <c r="BC38" s="20">
        <v>20</v>
      </c>
      <c r="BD38" s="20">
        <v>7</v>
      </c>
      <c r="BZ38">
        <v>0.76190476190476186</v>
      </c>
      <c r="CA38">
        <v>1</v>
      </c>
      <c r="CB38">
        <v>0.76190476190476186</v>
      </c>
    </row>
    <row r="39" spans="9:80" x14ac:dyDescent="0.25">
      <c r="I39" s="4">
        <v>1</v>
      </c>
      <c r="J39" s="3">
        <v>0.9</v>
      </c>
      <c r="K39" s="3">
        <v>0.31622776601683794</v>
      </c>
      <c r="L39" s="3">
        <v>0</v>
      </c>
      <c r="M39" s="3">
        <v>1</v>
      </c>
      <c r="AZ39" s="20">
        <v>36</v>
      </c>
      <c r="BA39" s="20">
        <v>0.1184033302323029</v>
      </c>
      <c r="BB39" s="20">
        <v>0</v>
      </c>
      <c r="BC39" s="20">
        <v>20</v>
      </c>
      <c r="BD39" s="20">
        <v>7.2</v>
      </c>
      <c r="BZ39">
        <v>0.83333333333333337</v>
      </c>
      <c r="CA39">
        <v>1</v>
      </c>
      <c r="CB39">
        <v>0.83333333333333337</v>
      </c>
    </row>
    <row r="40" spans="9:80" x14ac:dyDescent="0.25">
      <c r="I40" s="4">
        <v>2</v>
      </c>
      <c r="J40" s="3">
        <v>0.6</v>
      </c>
      <c r="K40" s="3">
        <v>0.51639777949432231</v>
      </c>
      <c r="L40" s="3">
        <v>0</v>
      </c>
      <c r="M40" s="3">
        <v>1</v>
      </c>
      <c r="AZ40" s="20">
        <v>37</v>
      </c>
      <c r="BA40" s="20">
        <v>0.11065146435226708</v>
      </c>
      <c r="BB40" s="20">
        <v>0</v>
      </c>
      <c r="BC40" s="20">
        <v>20</v>
      </c>
      <c r="BD40" s="20">
        <v>7.4</v>
      </c>
      <c r="BZ40">
        <v>0.86904761904761907</v>
      </c>
      <c r="CA40">
        <v>1</v>
      </c>
      <c r="CB40">
        <v>0.86904761904761907</v>
      </c>
    </row>
    <row r="41" spans="9:80" x14ac:dyDescent="0.25">
      <c r="I41" s="4">
        <v>3</v>
      </c>
      <c r="J41" s="3">
        <v>0.3</v>
      </c>
      <c r="K41" s="3">
        <v>0.48304589153964794</v>
      </c>
      <c r="L41" s="3">
        <v>0</v>
      </c>
      <c r="M41" s="3">
        <v>1</v>
      </c>
      <c r="AZ41" s="20">
        <v>38</v>
      </c>
      <c r="BA41" s="20">
        <v>0.11065146435226708</v>
      </c>
      <c r="BB41" s="20">
        <v>0</v>
      </c>
      <c r="BC41" s="20">
        <v>20</v>
      </c>
      <c r="BD41" s="20">
        <v>7.6000000000000005</v>
      </c>
      <c r="BZ41">
        <v>0.88095238095238093</v>
      </c>
      <c r="CA41">
        <v>1</v>
      </c>
      <c r="CB41">
        <v>0.88095238095238093</v>
      </c>
    </row>
    <row r="42" spans="9:80" x14ac:dyDescent="0.25">
      <c r="I42" s="4">
        <v>4</v>
      </c>
      <c r="J42" s="3">
        <v>0.2</v>
      </c>
      <c r="K42" s="3">
        <v>0.42163702135578396</v>
      </c>
      <c r="L42" s="3">
        <v>0</v>
      </c>
      <c r="M42" s="3">
        <v>1</v>
      </c>
      <c r="AZ42" s="20">
        <v>39</v>
      </c>
      <c r="BA42" s="20">
        <v>0.11065146435226708</v>
      </c>
      <c r="BB42" s="20">
        <v>0</v>
      </c>
      <c r="BC42" s="20">
        <v>20</v>
      </c>
      <c r="BD42" s="20">
        <v>7.8000000000000007</v>
      </c>
      <c r="BZ42">
        <v>0.8928571428571429</v>
      </c>
      <c r="CA42">
        <v>1</v>
      </c>
      <c r="CB42">
        <v>0.8928571428571429</v>
      </c>
    </row>
    <row r="43" spans="9:80" x14ac:dyDescent="0.25">
      <c r="I43" s="4">
        <v>5</v>
      </c>
      <c r="J43" s="3">
        <v>0.1</v>
      </c>
      <c r="K43" s="3">
        <v>0.31622776601683794</v>
      </c>
      <c r="L43" s="3">
        <v>0</v>
      </c>
      <c r="M43" s="3">
        <v>1</v>
      </c>
      <c r="AZ43" s="20">
        <v>40</v>
      </c>
      <c r="BA43" s="20">
        <v>9.2172169115320862E-2</v>
      </c>
      <c r="BB43" s="20">
        <v>0</v>
      </c>
      <c r="BC43" s="20">
        <v>20</v>
      </c>
      <c r="BD43" s="20">
        <v>8</v>
      </c>
      <c r="BZ43">
        <v>0.90476190476190477</v>
      </c>
      <c r="CA43">
        <v>1</v>
      </c>
      <c r="CB43">
        <v>0.90476190476190477</v>
      </c>
    </row>
    <row r="44" spans="9:80" x14ac:dyDescent="0.25">
      <c r="I44" s="4">
        <v>6</v>
      </c>
      <c r="J44" s="3">
        <v>0</v>
      </c>
      <c r="K44" s="3">
        <v>0</v>
      </c>
      <c r="L44" s="3">
        <v>0</v>
      </c>
      <c r="M44" s="3">
        <v>0</v>
      </c>
      <c r="AZ44" s="19">
        <v>41</v>
      </c>
      <c r="BA44" s="19">
        <v>9.2172169115320862E-2</v>
      </c>
      <c r="BB44" s="19">
        <v>0</v>
      </c>
      <c r="BC44" s="19">
        <v>20</v>
      </c>
      <c r="BD44" s="19">
        <v>8.2000000000000011</v>
      </c>
      <c r="BZ44">
        <v>0.91666666666666663</v>
      </c>
      <c r="CA44">
        <v>1</v>
      </c>
      <c r="CB44">
        <v>0.91666666666666663</v>
      </c>
    </row>
    <row r="45" spans="9:80" x14ac:dyDescent="0.25">
      <c r="I45" s="4">
        <v>7</v>
      </c>
      <c r="J45" s="3">
        <v>0</v>
      </c>
      <c r="K45" s="3">
        <v>0</v>
      </c>
      <c r="L45" s="3">
        <v>0</v>
      </c>
      <c r="M45" s="3">
        <v>0</v>
      </c>
      <c r="AZ45" s="19">
        <v>42</v>
      </c>
      <c r="BA45" s="19">
        <v>7.1282402524274091E-2</v>
      </c>
      <c r="BB45" s="19">
        <v>0</v>
      </c>
      <c r="BC45" s="19">
        <v>20</v>
      </c>
      <c r="BD45" s="19">
        <v>8.4</v>
      </c>
      <c r="BZ45">
        <v>0.94047619047619047</v>
      </c>
      <c r="CA45">
        <v>1</v>
      </c>
      <c r="CB45">
        <v>0.94047619047619047</v>
      </c>
    </row>
    <row r="46" spans="9:80" x14ac:dyDescent="0.25">
      <c r="I46" s="4">
        <v>8</v>
      </c>
      <c r="J46" s="3">
        <v>0</v>
      </c>
      <c r="K46" s="3">
        <v>0</v>
      </c>
      <c r="L46" s="3">
        <v>0</v>
      </c>
      <c r="M46" s="3">
        <v>0</v>
      </c>
      <c r="AZ46" s="19">
        <v>43</v>
      </c>
      <c r="BA46" s="19">
        <v>7.1282402524274091E-2</v>
      </c>
      <c r="BB46" s="19">
        <v>0</v>
      </c>
      <c r="BC46" s="19">
        <v>20</v>
      </c>
      <c r="BD46" s="19">
        <v>8.6</v>
      </c>
      <c r="BZ46">
        <v>0.95238095238095233</v>
      </c>
      <c r="CA46">
        <v>1</v>
      </c>
      <c r="CB46">
        <v>0.95238095238095233</v>
      </c>
    </row>
    <row r="47" spans="9:80" x14ac:dyDescent="0.25">
      <c r="I47" s="4">
        <v>9</v>
      </c>
      <c r="J47" s="3">
        <v>0</v>
      </c>
      <c r="K47" s="3">
        <v>0</v>
      </c>
      <c r="L47" s="3">
        <v>0</v>
      </c>
      <c r="M47" s="3">
        <v>0</v>
      </c>
      <c r="AZ47" s="19">
        <v>44</v>
      </c>
      <c r="BA47" s="19">
        <v>7.1282402524274091E-2</v>
      </c>
      <c r="BB47" s="19">
        <v>0</v>
      </c>
      <c r="BC47" s="19">
        <v>20</v>
      </c>
      <c r="BD47" s="19">
        <v>8.8000000000000007</v>
      </c>
      <c r="BZ47">
        <v>0.9642857142857143</v>
      </c>
      <c r="CA47">
        <v>1</v>
      </c>
      <c r="CB47">
        <v>0.9642857142857143</v>
      </c>
    </row>
    <row r="48" spans="9:80" x14ac:dyDescent="0.25">
      <c r="I48" s="4">
        <v>10</v>
      </c>
      <c r="J48" s="3">
        <v>0</v>
      </c>
      <c r="K48" s="3">
        <v>0</v>
      </c>
      <c r="L48" s="3">
        <v>0</v>
      </c>
      <c r="M48" s="3">
        <v>0</v>
      </c>
      <c r="AZ48" s="19">
        <v>45</v>
      </c>
      <c r="BA48" s="19">
        <v>5.8942168729575521E-2</v>
      </c>
      <c r="BB48" s="19">
        <v>0</v>
      </c>
      <c r="BC48" s="19">
        <v>20</v>
      </c>
      <c r="BD48" s="19">
        <v>9</v>
      </c>
      <c r="BZ48">
        <v>0.98809523809523814</v>
      </c>
      <c r="CA48">
        <v>1</v>
      </c>
      <c r="CB48">
        <v>0.98809523809523814</v>
      </c>
    </row>
    <row r="49" spans="52:80" x14ac:dyDescent="0.25">
      <c r="AZ49" s="19">
        <v>46</v>
      </c>
      <c r="BA49" s="19">
        <v>5.4841059881313048E-2</v>
      </c>
      <c r="BB49" s="19">
        <v>0</v>
      </c>
      <c r="BC49" s="19">
        <v>20</v>
      </c>
      <c r="BD49" s="19">
        <v>9.2000000000000011</v>
      </c>
      <c r="BZ49">
        <v>1</v>
      </c>
      <c r="CA49">
        <v>1</v>
      </c>
      <c r="CB49">
        <v>1</v>
      </c>
    </row>
    <row r="50" spans="52:80" x14ac:dyDescent="0.25">
      <c r="AZ50" s="19">
        <v>47</v>
      </c>
      <c r="BA50" s="19">
        <v>4.5208557988705579E-2</v>
      </c>
      <c r="BB50" s="19">
        <v>0</v>
      </c>
      <c r="BC50" s="19">
        <v>20</v>
      </c>
      <c r="BD50" s="19">
        <v>9.4</v>
      </c>
    </row>
    <row r="51" spans="52:80" x14ac:dyDescent="0.25">
      <c r="AZ51" s="19">
        <v>48</v>
      </c>
      <c r="BA51" s="19">
        <v>4.5208557988705579E-2</v>
      </c>
      <c r="BB51" s="19">
        <v>0</v>
      </c>
      <c r="BC51" s="19">
        <v>20</v>
      </c>
      <c r="BD51" s="19">
        <v>9.6000000000000014</v>
      </c>
    </row>
    <row r="52" spans="52:80" x14ac:dyDescent="0.25">
      <c r="AZ52" s="19">
        <v>49</v>
      </c>
      <c r="BA52" s="19">
        <v>4.5208557988705579E-2</v>
      </c>
      <c r="BB52" s="19">
        <v>0</v>
      </c>
      <c r="BC52" s="19">
        <v>20</v>
      </c>
      <c r="BD52" s="19">
        <v>9.8000000000000007</v>
      </c>
    </row>
    <row r="53" spans="52:80" x14ac:dyDescent="0.25">
      <c r="AZ53" s="19">
        <v>50</v>
      </c>
      <c r="BA53" s="19">
        <v>4.5208557988705579E-2</v>
      </c>
      <c r="BB53" s="19">
        <v>1</v>
      </c>
      <c r="BC53" s="19">
        <v>21</v>
      </c>
      <c r="BD53" s="19">
        <v>10</v>
      </c>
    </row>
    <row r="54" spans="52:80" x14ac:dyDescent="0.25">
      <c r="AZ54" s="20">
        <v>51</v>
      </c>
      <c r="BA54" s="20">
        <v>4.5208557988705579E-2</v>
      </c>
      <c r="BB54" s="20">
        <v>0</v>
      </c>
      <c r="BC54" s="20">
        <v>21</v>
      </c>
      <c r="BD54" s="20">
        <v>10.200000000000001</v>
      </c>
    </row>
    <row r="55" spans="52:80" x14ac:dyDescent="0.25">
      <c r="AZ55" s="20">
        <v>52</v>
      </c>
      <c r="BA55" s="20">
        <v>4.5208557988705579E-2</v>
      </c>
      <c r="BB55" s="20">
        <v>0</v>
      </c>
      <c r="BC55" s="20">
        <v>21</v>
      </c>
      <c r="BD55" s="20">
        <v>10.4</v>
      </c>
    </row>
    <row r="56" spans="52:80" x14ac:dyDescent="0.25">
      <c r="AZ56" s="20">
        <v>53</v>
      </c>
      <c r="BA56" s="20">
        <v>4.5208557988705579E-2</v>
      </c>
      <c r="BB56" s="20">
        <v>0</v>
      </c>
      <c r="BC56" s="20">
        <v>21</v>
      </c>
      <c r="BD56" s="20">
        <v>10.600000000000001</v>
      </c>
    </row>
    <row r="57" spans="52:80" x14ac:dyDescent="0.25">
      <c r="AZ57" s="20">
        <v>54</v>
      </c>
      <c r="BA57" s="20">
        <v>4.5208557988705579E-2</v>
      </c>
      <c r="BB57" s="20">
        <v>0</v>
      </c>
      <c r="BC57" s="20">
        <v>21</v>
      </c>
      <c r="BD57" s="20">
        <v>10.8</v>
      </c>
    </row>
    <row r="58" spans="52:80" x14ac:dyDescent="0.25">
      <c r="AZ58" s="20">
        <v>55</v>
      </c>
      <c r="BA58" s="20">
        <v>4.5208557988705579E-2</v>
      </c>
      <c r="BB58" s="20">
        <v>0</v>
      </c>
      <c r="BC58" s="20">
        <v>21</v>
      </c>
      <c r="BD58" s="20">
        <v>11</v>
      </c>
    </row>
    <row r="59" spans="52:80" x14ac:dyDescent="0.25">
      <c r="AZ59" s="20">
        <v>56</v>
      </c>
      <c r="BA59" s="20">
        <v>3.4557390307132202E-2</v>
      </c>
      <c r="BB59" s="20">
        <v>0</v>
      </c>
      <c r="BC59" s="20">
        <v>21</v>
      </c>
      <c r="BD59" s="20">
        <v>11.200000000000001</v>
      </c>
    </row>
    <row r="60" spans="52:80" x14ac:dyDescent="0.25">
      <c r="AZ60" s="20">
        <v>57</v>
      </c>
      <c r="BA60" s="20">
        <v>2.8380614261718978E-2</v>
      </c>
      <c r="BB60" s="20">
        <v>0</v>
      </c>
      <c r="BC60" s="20">
        <v>21</v>
      </c>
      <c r="BD60" s="20">
        <v>11.4</v>
      </c>
    </row>
    <row r="61" spans="52:80" x14ac:dyDescent="0.25">
      <c r="AZ61" s="20">
        <v>58</v>
      </c>
      <c r="BA61" s="20">
        <v>2.1604411675304205E-2</v>
      </c>
      <c r="BB61" s="20">
        <v>0</v>
      </c>
      <c r="BC61" s="20">
        <v>21</v>
      </c>
      <c r="BD61" s="20">
        <v>11.600000000000001</v>
      </c>
    </row>
    <row r="62" spans="52:80" x14ac:dyDescent="0.25">
      <c r="AZ62" s="20">
        <v>59</v>
      </c>
      <c r="BA62" s="20">
        <v>2.1604411675304205E-2</v>
      </c>
      <c r="BB62" s="20">
        <v>0</v>
      </c>
      <c r="BC62" s="20">
        <v>21</v>
      </c>
      <c r="BD62" s="20">
        <v>11.8</v>
      </c>
    </row>
    <row r="63" spans="52:80" x14ac:dyDescent="0.25">
      <c r="AZ63" s="20">
        <v>60</v>
      </c>
      <c r="BA63" s="20">
        <v>1.7700399554008261E-2</v>
      </c>
      <c r="BB63" s="20">
        <v>0</v>
      </c>
      <c r="BC63" s="20">
        <v>21</v>
      </c>
      <c r="BD63" s="20">
        <v>12</v>
      </c>
    </row>
    <row r="64" spans="52:80" x14ac:dyDescent="0.25">
      <c r="AZ64" s="19">
        <v>61</v>
      </c>
      <c r="BA64" s="19">
        <v>1.7700399554008261E-2</v>
      </c>
      <c r="BB64" s="19">
        <v>0</v>
      </c>
      <c r="BC64" s="19">
        <v>21</v>
      </c>
      <c r="BD64" s="19">
        <v>12.200000000000001</v>
      </c>
    </row>
    <row r="65" spans="52:56" x14ac:dyDescent="0.25">
      <c r="AZ65" s="19">
        <v>62</v>
      </c>
      <c r="BA65" s="19">
        <v>1.7700399554008261E-2</v>
      </c>
      <c r="BB65" s="19">
        <v>0</v>
      </c>
      <c r="BC65" s="19">
        <v>21</v>
      </c>
      <c r="BD65" s="19">
        <v>12.4</v>
      </c>
    </row>
    <row r="66" spans="52:56" x14ac:dyDescent="0.25">
      <c r="AZ66" s="19">
        <v>63</v>
      </c>
      <c r="BA66" s="19">
        <v>1.7700399554008261E-2</v>
      </c>
      <c r="BB66" s="19">
        <v>0</v>
      </c>
      <c r="BC66" s="19">
        <v>21</v>
      </c>
      <c r="BD66" s="19">
        <v>12.600000000000001</v>
      </c>
    </row>
    <row r="67" spans="52:56" x14ac:dyDescent="0.25">
      <c r="AZ67" s="19">
        <v>64</v>
      </c>
      <c r="BA67" s="19">
        <v>1.7700399554008261E-2</v>
      </c>
      <c r="BB67" s="19">
        <v>0</v>
      </c>
      <c r="BC67" s="19">
        <v>21</v>
      </c>
      <c r="BD67" s="19">
        <v>12.8</v>
      </c>
    </row>
    <row r="68" spans="52:56" x14ac:dyDescent="0.25">
      <c r="AZ68" s="19">
        <v>65</v>
      </c>
      <c r="BA68" s="19">
        <v>1.7700399554008261E-2</v>
      </c>
      <c r="BB68" s="19">
        <v>0</v>
      </c>
      <c r="BC68" s="19">
        <v>21</v>
      </c>
      <c r="BD68" s="19">
        <v>13</v>
      </c>
    </row>
    <row r="69" spans="52:56" x14ac:dyDescent="0.25">
      <c r="AZ69" s="19">
        <v>66</v>
      </c>
      <c r="BA69" s="19">
        <v>1.3438952087404268E-2</v>
      </c>
      <c r="BB69" s="19">
        <v>0</v>
      </c>
      <c r="BC69" s="19">
        <v>21</v>
      </c>
      <c r="BD69" s="19">
        <v>13.200000000000001</v>
      </c>
    </row>
    <row r="70" spans="52:56" x14ac:dyDescent="0.25">
      <c r="AZ70" s="19">
        <v>67</v>
      </c>
      <c r="BA70" s="19">
        <v>1.3438952087404268E-2</v>
      </c>
      <c r="BB70" s="19">
        <v>0</v>
      </c>
      <c r="BC70" s="19">
        <v>21</v>
      </c>
      <c r="BD70" s="19">
        <v>13.4</v>
      </c>
    </row>
    <row r="71" spans="52:56" x14ac:dyDescent="0.25">
      <c r="AZ71" s="19">
        <v>68</v>
      </c>
      <c r="BA71" s="19">
        <v>1.3438952087404268E-2</v>
      </c>
      <c r="BB71" s="19">
        <v>0</v>
      </c>
      <c r="BC71" s="19">
        <v>21</v>
      </c>
      <c r="BD71" s="19">
        <v>13.600000000000001</v>
      </c>
    </row>
    <row r="72" spans="52:56" x14ac:dyDescent="0.25">
      <c r="AZ72" s="19">
        <v>69</v>
      </c>
      <c r="BA72" s="19">
        <v>1.3438952087404268E-2</v>
      </c>
      <c r="BB72" s="19">
        <v>0</v>
      </c>
      <c r="BC72" s="19">
        <v>21</v>
      </c>
      <c r="BD72" s="19">
        <v>13.8</v>
      </c>
    </row>
    <row r="73" spans="52:56" x14ac:dyDescent="0.25">
      <c r="AZ73" s="19">
        <v>70</v>
      </c>
      <c r="BA73" s="19">
        <v>1.3438952087404268E-2</v>
      </c>
      <c r="BB73" s="19">
        <v>0</v>
      </c>
      <c r="BC73" s="19">
        <v>21</v>
      </c>
      <c r="BD73" s="19">
        <v>14</v>
      </c>
    </row>
    <row r="74" spans="52:56" x14ac:dyDescent="0.25">
      <c r="AZ74" s="20">
        <v>71</v>
      </c>
      <c r="BA74" s="20">
        <v>1.3438952087404268E-2</v>
      </c>
      <c r="BB74" s="20">
        <v>0</v>
      </c>
      <c r="BC74" s="20">
        <v>21</v>
      </c>
      <c r="BD74" s="20">
        <v>14.200000000000001</v>
      </c>
    </row>
    <row r="75" spans="52:56" x14ac:dyDescent="0.25">
      <c r="AZ75" s="20">
        <v>72</v>
      </c>
      <c r="BA75" s="20">
        <v>1.3438952087404268E-2</v>
      </c>
      <c r="BB75" s="20">
        <v>0</v>
      </c>
      <c r="BC75" s="20">
        <v>21</v>
      </c>
      <c r="BD75" s="20">
        <v>14.4</v>
      </c>
    </row>
    <row r="76" spans="52:56" x14ac:dyDescent="0.25">
      <c r="AZ76" s="20">
        <v>73</v>
      </c>
      <c r="BA76" s="20">
        <v>1.3438952087404268E-2</v>
      </c>
      <c r="BB76" s="20">
        <v>0</v>
      </c>
      <c r="BC76" s="20">
        <v>21</v>
      </c>
      <c r="BD76" s="20">
        <v>14.600000000000001</v>
      </c>
    </row>
    <row r="77" spans="52:56" x14ac:dyDescent="0.25">
      <c r="AZ77" s="20">
        <v>74</v>
      </c>
      <c r="BA77" s="20">
        <v>1.3438952087404268E-2</v>
      </c>
      <c r="BB77" s="20">
        <v>0</v>
      </c>
      <c r="BC77" s="20">
        <v>21</v>
      </c>
      <c r="BD77" s="20">
        <v>14.8</v>
      </c>
    </row>
    <row r="78" spans="52:56" x14ac:dyDescent="0.25">
      <c r="AZ78" s="20">
        <v>75</v>
      </c>
      <c r="BA78" s="20">
        <v>1.3438952087404268E-2</v>
      </c>
      <c r="BB78" s="20">
        <v>0</v>
      </c>
      <c r="BC78" s="20">
        <v>21</v>
      </c>
      <c r="BD78" s="20">
        <v>15</v>
      </c>
    </row>
    <row r="79" spans="52:56" x14ac:dyDescent="0.25">
      <c r="AZ79" s="20">
        <v>76</v>
      </c>
      <c r="BA79" s="20">
        <v>1.3438952087404268E-2</v>
      </c>
      <c r="BB79" s="20">
        <v>0</v>
      </c>
      <c r="BC79" s="20">
        <v>21</v>
      </c>
      <c r="BD79" s="20">
        <v>15.200000000000001</v>
      </c>
    </row>
    <row r="80" spans="52:56" x14ac:dyDescent="0.25">
      <c r="AZ80" s="20">
        <v>77</v>
      </c>
      <c r="BA80" s="20">
        <v>1.3438952087404268E-2</v>
      </c>
      <c r="BB80" s="20">
        <v>0</v>
      </c>
      <c r="BC80" s="20">
        <v>21</v>
      </c>
      <c r="BD80" s="20">
        <v>15.4</v>
      </c>
    </row>
    <row r="81" spans="52:56" x14ac:dyDescent="0.25">
      <c r="AZ81" s="20">
        <v>78</v>
      </c>
      <c r="BA81" s="20">
        <v>1.3438952087404268E-2</v>
      </c>
      <c r="BB81" s="20">
        <v>0</v>
      </c>
      <c r="BC81" s="20">
        <v>21</v>
      </c>
      <c r="BD81" s="20">
        <v>15.600000000000001</v>
      </c>
    </row>
    <row r="82" spans="52:56" x14ac:dyDescent="0.25">
      <c r="AZ82" s="20">
        <v>79</v>
      </c>
      <c r="BA82" s="20">
        <v>8.3333692094780497E-3</v>
      </c>
      <c r="BB82" s="20">
        <v>0</v>
      </c>
      <c r="BC82" s="20">
        <v>21</v>
      </c>
      <c r="BD82" s="20">
        <v>15.8</v>
      </c>
    </row>
    <row r="83" spans="52:56" x14ac:dyDescent="0.25">
      <c r="AZ83" s="20">
        <v>80</v>
      </c>
      <c r="BA83" s="20">
        <v>8.3333692094780497E-3</v>
      </c>
      <c r="BB83" s="20">
        <v>0</v>
      </c>
      <c r="BC83" s="20">
        <v>21</v>
      </c>
      <c r="BD83" s="20">
        <v>16</v>
      </c>
    </row>
    <row r="84" spans="52:56" x14ac:dyDescent="0.25">
      <c r="AZ84" s="19">
        <v>81</v>
      </c>
      <c r="BA84" s="19">
        <v>8.3333692094780497E-3</v>
      </c>
      <c r="BB84" s="19">
        <v>0</v>
      </c>
      <c r="BC84" s="19">
        <v>21</v>
      </c>
      <c r="BD84" s="19">
        <v>16.2</v>
      </c>
    </row>
    <row r="85" spans="52:56" x14ac:dyDescent="0.25">
      <c r="AZ85" s="19">
        <v>82</v>
      </c>
      <c r="BA85" s="19">
        <v>8.3333692094780497E-3</v>
      </c>
      <c r="BB85" s="19">
        <v>0</v>
      </c>
      <c r="BC85" s="19">
        <v>21</v>
      </c>
      <c r="BD85" s="19">
        <v>16.400000000000002</v>
      </c>
    </row>
    <row r="86" spans="52:56" x14ac:dyDescent="0.25">
      <c r="AZ86" s="19">
        <v>83</v>
      </c>
      <c r="BA86" s="19">
        <v>8.3333692094780497E-3</v>
      </c>
      <c r="BB86" s="19">
        <v>0</v>
      </c>
      <c r="BC86" s="19">
        <v>21</v>
      </c>
      <c r="BD86" s="19">
        <v>16.600000000000001</v>
      </c>
    </row>
    <row r="87" spans="52:56" x14ac:dyDescent="0.25">
      <c r="AZ87" s="19">
        <v>84</v>
      </c>
      <c r="BA87" s="19">
        <v>5.1573050710925989E-3</v>
      </c>
      <c r="BB87" s="19">
        <v>0</v>
      </c>
      <c r="BC87" s="19">
        <v>21</v>
      </c>
      <c r="BD87" s="19">
        <v>16.8</v>
      </c>
    </row>
    <row r="88" spans="52:56" x14ac:dyDescent="0.25">
      <c r="AZ88" s="19">
        <v>85</v>
      </c>
      <c r="BA88" s="19">
        <v>4.2125609205921309E-3</v>
      </c>
      <c r="BB88" s="19">
        <v>0</v>
      </c>
      <c r="BC88" s="19">
        <v>21</v>
      </c>
      <c r="BD88" s="19">
        <v>17</v>
      </c>
    </row>
    <row r="89" spans="52:56" x14ac:dyDescent="0.25">
      <c r="AZ89" s="19">
        <v>86</v>
      </c>
      <c r="BA89" s="19">
        <v>3.1878304960592696E-3</v>
      </c>
      <c r="BB89" s="19">
        <v>0</v>
      </c>
      <c r="BC89" s="19">
        <v>21</v>
      </c>
      <c r="BD89" s="19">
        <v>17.2</v>
      </c>
    </row>
    <row r="90" spans="52:56" x14ac:dyDescent="0.25">
      <c r="AZ90" s="19">
        <v>87</v>
      </c>
      <c r="BA90" s="19">
        <v>3.1878304960592696E-3</v>
      </c>
      <c r="BB90" s="19">
        <v>0</v>
      </c>
      <c r="BC90" s="19">
        <v>21</v>
      </c>
      <c r="BD90" s="19">
        <v>17.400000000000002</v>
      </c>
    </row>
    <row r="91" spans="52:56" x14ac:dyDescent="0.25">
      <c r="AZ91" s="19">
        <v>88</v>
      </c>
      <c r="BA91" s="19">
        <v>3.1878304960592696E-3</v>
      </c>
      <c r="BB91" s="19">
        <v>0</v>
      </c>
      <c r="BC91" s="19">
        <v>21</v>
      </c>
      <c r="BD91" s="19">
        <v>17.600000000000001</v>
      </c>
    </row>
    <row r="92" spans="52:56" x14ac:dyDescent="0.25">
      <c r="AZ92" s="19">
        <v>89</v>
      </c>
      <c r="BA92" s="19">
        <v>3.1878304960592696E-3</v>
      </c>
      <c r="BB92" s="19">
        <v>0</v>
      </c>
      <c r="BC92" s="19">
        <v>21</v>
      </c>
      <c r="BD92" s="19">
        <v>17.8</v>
      </c>
    </row>
    <row r="93" spans="52:56" x14ac:dyDescent="0.25">
      <c r="AZ93" s="19">
        <v>90</v>
      </c>
      <c r="BA93" s="19">
        <v>3.1878304960592696E-3</v>
      </c>
      <c r="BB93" s="19">
        <v>0</v>
      </c>
      <c r="BC93" s="19">
        <v>21</v>
      </c>
      <c r="BD93" s="19">
        <v>18</v>
      </c>
    </row>
    <row r="94" spans="52:56" x14ac:dyDescent="0.25">
      <c r="AZ94" s="20">
        <v>91</v>
      </c>
      <c r="BA94" s="20">
        <v>3.1878304960592696E-3</v>
      </c>
      <c r="BB94" s="20">
        <v>0</v>
      </c>
      <c r="BC94" s="20">
        <v>21</v>
      </c>
      <c r="BD94" s="20">
        <v>18.2</v>
      </c>
    </row>
    <row r="95" spans="52:56" x14ac:dyDescent="0.25">
      <c r="AZ95" s="20">
        <v>92</v>
      </c>
      <c r="BA95" s="20">
        <v>1.9689714364082389E-3</v>
      </c>
      <c r="BB95" s="20">
        <v>0</v>
      </c>
      <c r="BC95" s="20">
        <v>21</v>
      </c>
      <c r="BD95" s="20">
        <v>18.400000000000002</v>
      </c>
    </row>
    <row r="96" spans="52:56" x14ac:dyDescent="0.25">
      <c r="AZ96" s="20">
        <v>93</v>
      </c>
      <c r="BA96" s="20">
        <v>1.9689714364082389E-3</v>
      </c>
      <c r="BB96" s="20">
        <v>0</v>
      </c>
      <c r="BC96" s="20">
        <v>21</v>
      </c>
      <c r="BD96" s="20">
        <v>18.600000000000001</v>
      </c>
    </row>
    <row r="97" spans="52:56" x14ac:dyDescent="0.25">
      <c r="AZ97" s="20">
        <v>94</v>
      </c>
      <c r="BA97" s="20">
        <v>1.9689714364082389E-3</v>
      </c>
      <c r="BB97" s="20">
        <v>0</v>
      </c>
      <c r="BC97" s="20">
        <v>21</v>
      </c>
      <c r="BD97" s="20">
        <v>18.8</v>
      </c>
    </row>
    <row r="98" spans="52:56" x14ac:dyDescent="0.25">
      <c r="AZ98" s="20">
        <v>95</v>
      </c>
      <c r="BA98" s="20">
        <v>3.6897396173244187E-4</v>
      </c>
      <c r="BB98" s="20">
        <v>0</v>
      </c>
      <c r="BC98" s="20">
        <v>21</v>
      </c>
      <c r="BD98" s="20">
        <v>19</v>
      </c>
    </row>
    <row r="99" spans="52:56" x14ac:dyDescent="0.25">
      <c r="AZ99" s="20">
        <v>96</v>
      </c>
      <c r="BA99" s="20">
        <v>1.4045006897918575E-4</v>
      </c>
      <c r="BB99" s="20">
        <v>0</v>
      </c>
      <c r="BC99" s="20">
        <v>21</v>
      </c>
      <c r="BD99" s="20">
        <v>19.200000000000003</v>
      </c>
    </row>
    <row r="100" spans="52:56" x14ac:dyDescent="0.25">
      <c r="AZ100" s="20">
        <v>97</v>
      </c>
      <c r="BA100" s="20">
        <v>6.5504378465764169E-5</v>
      </c>
      <c r="BB100" s="20">
        <v>0</v>
      </c>
      <c r="BC100" s="20">
        <v>21</v>
      </c>
      <c r="BD100" s="20">
        <v>19.400000000000002</v>
      </c>
    </row>
    <row r="101" spans="52:56" x14ac:dyDescent="0.25">
      <c r="AZ101" s="20">
        <v>98</v>
      </c>
      <c r="BA101" s="20">
        <v>7.1721924491056332E-6</v>
      </c>
      <c r="BB101" s="20">
        <v>0</v>
      </c>
      <c r="BC101" s="20">
        <v>21</v>
      </c>
      <c r="BD101" s="20">
        <v>19.600000000000001</v>
      </c>
    </row>
    <row r="102" spans="52:56" x14ac:dyDescent="0.25">
      <c r="AZ102" s="20">
        <v>99</v>
      </c>
      <c r="BA102" s="20">
        <v>5.421944068954285E-6</v>
      </c>
      <c r="BB102" s="20">
        <v>0</v>
      </c>
      <c r="BC102" s="20">
        <v>21</v>
      </c>
      <c r="BD102" s="20">
        <v>19.8</v>
      </c>
    </row>
    <row r="103" spans="52:56" x14ac:dyDescent="0.25">
      <c r="AZ103" s="20">
        <v>100</v>
      </c>
      <c r="BA103" s="20">
        <v>5.421944068954285E-6</v>
      </c>
      <c r="BB103" s="20">
        <v>0</v>
      </c>
      <c r="BC103" s="20">
        <v>21</v>
      </c>
      <c r="BD103" s="20">
        <v>20</v>
      </c>
    </row>
    <row r="104" spans="52:56" x14ac:dyDescent="0.25">
      <c r="AZ104">
        <v>101</v>
      </c>
      <c r="BA104">
        <v>2.0634001480377549E-6</v>
      </c>
      <c r="BB104">
        <v>0</v>
      </c>
      <c r="BC104">
        <v>21</v>
      </c>
      <c r="BD104">
        <v>20.200000000000003</v>
      </c>
    </row>
    <row r="105" spans="52:56" x14ac:dyDescent="0.25">
      <c r="AZ105">
        <v>102</v>
      </c>
      <c r="BA105">
        <v>1.5598614128214656E-6</v>
      </c>
      <c r="BB105">
        <v>0</v>
      </c>
      <c r="BC105">
        <v>21</v>
      </c>
      <c r="BD105">
        <v>20.400000000000002</v>
      </c>
    </row>
    <row r="106" spans="52:56" x14ac:dyDescent="0.25">
      <c r="AZ106">
        <v>103</v>
      </c>
      <c r="BA106">
        <v>5.9362666402367666E-7</v>
      </c>
      <c r="BB106">
        <v>0</v>
      </c>
      <c r="BC106">
        <v>21</v>
      </c>
      <c r="BD106">
        <v>20.6</v>
      </c>
    </row>
    <row r="107" spans="52:56" x14ac:dyDescent="0.25">
      <c r="AZ107">
        <v>104</v>
      </c>
      <c r="BA107">
        <v>5.9362666402367666E-7</v>
      </c>
      <c r="BB107">
        <v>0</v>
      </c>
      <c r="BC107">
        <v>21</v>
      </c>
      <c r="BD107">
        <v>20.8</v>
      </c>
    </row>
    <row r="108" spans="52:56" x14ac:dyDescent="0.25">
      <c r="AZ108">
        <v>105</v>
      </c>
      <c r="BA108">
        <v>3.6620728668807429E-7</v>
      </c>
      <c r="BB108">
        <v>0</v>
      </c>
      <c r="BC108">
        <v>21</v>
      </c>
      <c r="BD108">
        <v>21</v>
      </c>
    </row>
  </sheetData>
  <mergeCells count="12">
    <mergeCell ref="B3:K3"/>
    <mergeCell ref="N3:Q3"/>
    <mergeCell ref="B4:C4"/>
    <mergeCell ref="D4:E4"/>
    <mergeCell ref="F4:G4"/>
    <mergeCell ref="H4:I4"/>
    <mergeCell ref="J4:K4"/>
    <mergeCell ref="B5:C5"/>
    <mergeCell ref="D5:E5"/>
    <mergeCell ref="F5:G5"/>
    <mergeCell ref="H5:I5"/>
    <mergeCell ref="J5:K5"/>
  </mergeCells>
  <hyperlinks>
    <hyperlink ref="B4" location="'LR_Output'!$B$10:$B$10" display="Inputs"/>
    <hyperlink ref="D4" location="'LR_Output'!$B$43:$B$43" display="Prior Class Prob."/>
    <hyperlink ref="F4" location="'LR_Output'!$B$52:$B$52" display="Predictors"/>
    <hyperlink ref="H4" location="'LR_Output'!$B$64:$B$64" display="Regress. Model"/>
    <hyperlink ref="J4" location="'LR_Output'!$B$73:$B$73" display="Variable Selection"/>
    <hyperlink ref="B5" location="'LR_Output'!$B$86:$B$86" display="Train. Score Summary"/>
    <hyperlink ref="D5" location="'LR_Output'!$B$110:$B$110" display="Valid. Score Summary"/>
    <hyperlink ref="F5" location="'LR_TrainingLiftChart'!$B$10:$B$10" display="Training Lift Chart"/>
    <hyperlink ref="H5" location="'LR_ValidationLiftChart'!$B$10:$B$10" display="Validation Lift Chart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B69"/>
  <sheetViews>
    <sheetView showGridLines="0" workbookViewId="0"/>
  </sheetViews>
  <sheetFormatPr defaultRowHeight="15" x14ac:dyDescent="0.25"/>
  <cols>
    <col min="14" max="14" width="13.28515625" bestFit="1" customWidth="1"/>
    <col min="52" max="52" width="8.140625" customWidth="1"/>
    <col min="53" max="53" width="15" bestFit="1" customWidth="1"/>
    <col min="54" max="54" width="12.140625" bestFit="1" customWidth="1"/>
    <col min="55" max="55" width="45.42578125" bestFit="1" customWidth="1"/>
    <col min="56" max="56" width="27.7109375" bestFit="1" customWidth="1"/>
    <col min="57" max="57" width="6.42578125" customWidth="1"/>
    <col min="58" max="58" width="22.42578125" bestFit="1" customWidth="1"/>
    <col min="78" max="80" width="12" bestFit="1" customWidth="1"/>
  </cols>
  <sheetData>
    <row r="1" spans="2:80" ht="18.75" x14ac:dyDescent="0.3">
      <c r="B1" s="2" t="s">
        <v>231</v>
      </c>
      <c r="N1" t="s">
        <v>210</v>
      </c>
      <c r="BZ1" s="5" t="s">
        <v>241</v>
      </c>
      <c r="CA1" s="5" t="s">
        <v>242</v>
      </c>
      <c r="CB1" s="5" t="s">
        <v>243</v>
      </c>
    </row>
    <row r="2" spans="2:80" x14ac:dyDescent="0.25">
      <c r="BZ2">
        <v>0</v>
      </c>
      <c r="CA2">
        <v>0</v>
      </c>
      <c r="CB2">
        <v>0</v>
      </c>
    </row>
    <row r="3" spans="2:80" ht="15.75" x14ac:dyDescent="0.25">
      <c r="B3" s="6" t="s">
        <v>190</v>
      </c>
      <c r="C3" s="7"/>
      <c r="D3" s="7"/>
      <c r="E3" s="7"/>
      <c r="F3" s="7"/>
      <c r="G3" s="7"/>
      <c r="H3" s="7"/>
      <c r="I3" s="7"/>
      <c r="J3" s="7"/>
      <c r="K3" s="8"/>
      <c r="N3" s="6" t="s">
        <v>191</v>
      </c>
      <c r="O3" s="7"/>
      <c r="P3" s="7"/>
      <c r="Q3" s="8"/>
      <c r="AZ3" s="5" t="s">
        <v>234</v>
      </c>
      <c r="BA3" s="5" t="s">
        <v>235</v>
      </c>
      <c r="BB3" s="5" t="s">
        <v>236</v>
      </c>
      <c r="BC3" s="5" t="s">
        <v>237</v>
      </c>
      <c r="BD3" s="5" t="s">
        <v>238</v>
      </c>
      <c r="BE3" s="5" t="s">
        <v>239</v>
      </c>
      <c r="BF3" s="5" t="s">
        <v>240</v>
      </c>
      <c r="BZ3">
        <v>0</v>
      </c>
      <c r="CA3">
        <v>0.1111111111111111</v>
      </c>
      <c r="CB3">
        <v>0</v>
      </c>
    </row>
    <row r="4" spans="2:80" x14ac:dyDescent="0.25">
      <c r="B4" s="18" t="s">
        <v>249</v>
      </c>
      <c r="C4" s="14"/>
      <c r="D4" s="18" t="s">
        <v>250</v>
      </c>
      <c r="E4" s="14"/>
      <c r="F4" s="18" t="s">
        <v>251</v>
      </c>
      <c r="G4" s="14"/>
      <c r="H4" s="18" t="s">
        <v>252</v>
      </c>
      <c r="I4" s="14"/>
      <c r="J4" s="18" t="s">
        <v>253</v>
      </c>
      <c r="K4" s="14"/>
      <c r="N4" s="5" t="s">
        <v>232</v>
      </c>
      <c r="O4" s="5" t="s">
        <v>233</v>
      </c>
      <c r="P4" s="5" t="s">
        <v>193</v>
      </c>
      <c r="Q4" s="5" t="s">
        <v>194</v>
      </c>
      <c r="AZ4" s="19">
        <v>1</v>
      </c>
      <c r="BA4" s="19">
        <v>0.89440345855315417</v>
      </c>
      <c r="BB4" s="19">
        <v>1</v>
      </c>
      <c r="BC4" s="19">
        <v>1</v>
      </c>
      <c r="BD4" s="19">
        <v>0.13636363636363635</v>
      </c>
      <c r="BE4">
        <v>1</v>
      </c>
      <c r="BF4">
        <v>3.666666666666667</v>
      </c>
      <c r="BZ4">
        <v>3.5087719298245612E-2</v>
      </c>
      <c r="CA4">
        <v>0.1111111111111111</v>
      </c>
      <c r="CB4">
        <v>3.5087719298245612E-2</v>
      </c>
    </row>
    <row r="5" spans="2:80" x14ac:dyDescent="0.25">
      <c r="B5" s="18" t="s">
        <v>254</v>
      </c>
      <c r="C5" s="14"/>
      <c r="D5" s="18" t="s">
        <v>255</v>
      </c>
      <c r="E5" s="14"/>
      <c r="F5" s="18" t="s">
        <v>256</v>
      </c>
      <c r="G5" s="14"/>
      <c r="H5" s="18" t="s">
        <v>257</v>
      </c>
      <c r="I5" s="14"/>
      <c r="J5" s="12"/>
      <c r="K5" s="14"/>
      <c r="N5" s="3">
        <v>0</v>
      </c>
      <c r="O5" s="3">
        <v>2</v>
      </c>
      <c r="P5" s="3">
        <v>1</v>
      </c>
      <c r="Q5" s="3">
        <v>3</v>
      </c>
      <c r="AZ5" s="19">
        <v>2</v>
      </c>
      <c r="BA5" s="19">
        <v>0.76322250292774019</v>
      </c>
      <c r="BB5" s="19">
        <v>0</v>
      </c>
      <c r="BC5" s="19">
        <v>1</v>
      </c>
      <c r="BD5" s="19">
        <v>0.27272727272727271</v>
      </c>
      <c r="BE5">
        <v>2</v>
      </c>
      <c r="BF5">
        <v>1.2222222222222223</v>
      </c>
      <c r="BZ5">
        <v>3.5087719298245612E-2</v>
      </c>
      <c r="CA5">
        <v>0.22222222222222221</v>
      </c>
      <c r="CB5">
        <v>3.5087719298245612E-2</v>
      </c>
    </row>
    <row r="6" spans="2:80" x14ac:dyDescent="0.25">
      <c r="AZ6" s="19">
        <v>3</v>
      </c>
      <c r="BA6" s="19">
        <v>0.76322250292774019</v>
      </c>
      <c r="BB6" s="19">
        <v>0</v>
      </c>
      <c r="BC6" s="19">
        <v>1</v>
      </c>
      <c r="BD6" s="19">
        <v>0.40909090909090906</v>
      </c>
      <c r="BE6">
        <v>3</v>
      </c>
      <c r="BF6">
        <v>0</v>
      </c>
      <c r="BZ6">
        <v>5.2631578947368418E-2</v>
      </c>
      <c r="CA6">
        <v>0.22222222222222221</v>
      </c>
      <c r="CB6">
        <v>5.2631578947368418E-2</v>
      </c>
    </row>
    <row r="7" spans="2:80" x14ac:dyDescent="0.25">
      <c r="AZ7" s="19">
        <v>4</v>
      </c>
      <c r="BA7" s="19">
        <v>0.70902842426182888</v>
      </c>
      <c r="BB7" s="19">
        <v>1</v>
      </c>
      <c r="BC7" s="19">
        <v>2</v>
      </c>
      <c r="BD7" s="19">
        <v>0.54545454545454541</v>
      </c>
      <c r="BE7">
        <v>4</v>
      </c>
      <c r="BF7">
        <v>2.4444444444444446</v>
      </c>
      <c r="BZ7">
        <v>7.0175438596491224E-2</v>
      </c>
      <c r="CA7">
        <v>0.33333333333333331</v>
      </c>
      <c r="CB7">
        <v>7.0175438596491224E-2</v>
      </c>
    </row>
    <row r="8" spans="2:80" x14ac:dyDescent="0.25">
      <c r="AZ8" s="19">
        <v>5</v>
      </c>
      <c r="BA8" s="19">
        <v>0.48115079125216564</v>
      </c>
      <c r="BB8" s="19">
        <v>0</v>
      </c>
      <c r="BC8" s="19">
        <v>2</v>
      </c>
      <c r="BD8" s="19">
        <v>0.68181818181818177</v>
      </c>
      <c r="BE8">
        <v>5</v>
      </c>
      <c r="BF8">
        <v>2.4444444444444446</v>
      </c>
      <c r="BZ8">
        <v>8.771929824561403E-2</v>
      </c>
      <c r="CA8">
        <v>0.33333333333333331</v>
      </c>
      <c r="CB8">
        <v>8.771929824561403E-2</v>
      </c>
    </row>
    <row r="9" spans="2:80" x14ac:dyDescent="0.25">
      <c r="AZ9" s="19">
        <v>6</v>
      </c>
      <c r="BA9" s="19">
        <v>0.34638899148037872</v>
      </c>
      <c r="BB9" s="19">
        <v>1</v>
      </c>
      <c r="BC9" s="19">
        <v>3</v>
      </c>
      <c r="BD9" s="19">
        <v>0.81818181818181812</v>
      </c>
      <c r="BE9">
        <v>6</v>
      </c>
      <c r="BF9">
        <v>0</v>
      </c>
      <c r="BZ9">
        <v>0.10526315789473684</v>
      </c>
      <c r="CA9">
        <v>0.33333333333333331</v>
      </c>
      <c r="CB9">
        <v>0.10526315789473684</v>
      </c>
    </row>
    <row r="10" spans="2:80" x14ac:dyDescent="0.25">
      <c r="AZ10" s="20">
        <v>7</v>
      </c>
      <c r="BA10" s="20">
        <v>0.34638899148037872</v>
      </c>
      <c r="BB10" s="20">
        <v>0</v>
      </c>
      <c r="BC10" s="20">
        <v>3</v>
      </c>
      <c r="BD10" s="20">
        <v>0.95454545454545447</v>
      </c>
      <c r="BE10">
        <v>7</v>
      </c>
      <c r="BF10">
        <v>1.2222222222222223</v>
      </c>
      <c r="BZ10">
        <v>0.10526315789473684</v>
      </c>
      <c r="CA10">
        <v>0.44444444444444442</v>
      </c>
      <c r="CB10">
        <v>0.10526315789473684</v>
      </c>
    </row>
    <row r="11" spans="2:80" x14ac:dyDescent="0.25">
      <c r="AZ11" s="20">
        <v>8</v>
      </c>
      <c r="BA11" s="20">
        <v>0.30190504314012601</v>
      </c>
      <c r="BB11" s="20">
        <v>0</v>
      </c>
      <c r="BC11" s="20">
        <v>3</v>
      </c>
      <c r="BD11" s="20">
        <v>1.0909090909090908</v>
      </c>
      <c r="BE11">
        <v>8</v>
      </c>
      <c r="BF11">
        <v>0</v>
      </c>
      <c r="BZ11">
        <v>0.12280701754385964</v>
      </c>
      <c r="CA11">
        <v>0.44444444444444442</v>
      </c>
      <c r="CB11">
        <v>0.12280701754385964</v>
      </c>
    </row>
    <row r="12" spans="2:80" x14ac:dyDescent="0.25">
      <c r="AZ12" s="20">
        <v>9</v>
      </c>
      <c r="BA12" s="20">
        <v>0.24638221057443288</v>
      </c>
      <c r="BB12" s="20">
        <v>0</v>
      </c>
      <c r="BC12" s="20">
        <v>3</v>
      </c>
      <c r="BD12" s="20">
        <v>1.2272727272727271</v>
      </c>
      <c r="BE12">
        <v>9</v>
      </c>
      <c r="BF12">
        <v>0</v>
      </c>
      <c r="BZ12">
        <v>0.14035087719298245</v>
      </c>
      <c r="CA12">
        <v>0.44444444444444442</v>
      </c>
      <c r="CB12">
        <v>0.14035087719298245</v>
      </c>
    </row>
    <row r="13" spans="2:80" x14ac:dyDescent="0.25">
      <c r="AZ13" s="20">
        <v>10</v>
      </c>
      <c r="BA13" s="20">
        <v>0.21060310263472926</v>
      </c>
      <c r="BB13" s="20">
        <v>1</v>
      </c>
      <c r="BC13" s="20">
        <v>4</v>
      </c>
      <c r="BD13" s="20">
        <v>1.3636363636363635</v>
      </c>
      <c r="BE13">
        <v>10</v>
      </c>
      <c r="BF13">
        <v>0</v>
      </c>
      <c r="BZ13">
        <v>0.17543859649122806</v>
      </c>
      <c r="CA13">
        <v>0.44444444444444442</v>
      </c>
      <c r="CB13">
        <v>0.17543859649122806</v>
      </c>
    </row>
    <row r="14" spans="2:80" x14ac:dyDescent="0.25">
      <c r="AZ14" s="20">
        <v>11</v>
      </c>
      <c r="BA14" s="20">
        <v>0.19817180610473076</v>
      </c>
      <c r="BB14" s="20">
        <v>0</v>
      </c>
      <c r="BC14" s="20">
        <v>4</v>
      </c>
      <c r="BD14" s="20">
        <v>1.5</v>
      </c>
      <c r="BZ14">
        <v>0.21052631578947367</v>
      </c>
      <c r="CA14">
        <v>0.44444444444444442</v>
      </c>
      <c r="CB14">
        <v>0.21052631578947367</v>
      </c>
    </row>
    <row r="15" spans="2:80" x14ac:dyDescent="0.25">
      <c r="AZ15" s="20">
        <v>12</v>
      </c>
      <c r="BA15" s="20">
        <v>0.1678345502816754</v>
      </c>
      <c r="BB15" s="20">
        <v>0</v>
      </c>
      <c r="BC15" s="20">
        <v>4</v>
      </c>
      <c r="BD15" s="20">
        <v>1.6363636363636362</v>
      </c>
      <c r="BZ15">
        <v>0.24561403508771928</v>
      </c>
      <c r="CA15">
        <v>0.44444444444444442</v>
      </c>
      <c r="CB15">
        <v>0.24561403508771928</v>
      </c>
    </row>
    <row r="16" spans="2:80" x14ac:dyDescent="0.25">
      <c r="AZ16" s="19">
        <v>13</v>
      </c>
      <c r="BA16" s="19">
        <v>0.14132294827706593</v>
      </c>
      <c r="BB16" s="19">
        <v>0</v>
      </c>
      <c r="BC16" s="19">
        <v>4</v>
      </c>
      <c r="BD16" s="19">
        <v>1.7727272727272725</v>
      </c>
      <c r="BZ16">
        <v>0.2807017543859649</v>
      </c>
      <c r="CA16">
        <v>0.44444444444444442</v>
      </c>
      <c r="CB16">
        <v>0.2807017543859649</v>
      </c>
    </row>
    <row r="17" spans="52:80" x14ac:dyDescent="0.25">
      <c r="AZ17" s="19">
        <v>14</v>
      </c>
      <c r="BA17" s="19">
        <v>0.14132294827706593</v>
      </c>
      <c r="BB17" s="19">
        <v>0</v>
      </c>
      <c r="BC17" s="19">
        <v>4</v>
      </c>
      <c r="BD17" s="19">
        <v>1.9090909090909089</v>
      </c>
      <c r="BZ17">
        <v>0.2982456140350877</v>
      </c>
      <c r="CA17">
        <v>0.44444444444444442</v>
      </c>
      <c r="CB17">
        <v>0.2982456140350877</v>
      </c>
    </row>
    <row r="18" spans="52:80" x14ac:dyDescent="0.25">
      <c r="AZ18" s="19">
        <v>15</v>
      </c>
      <c r="BA18" s="19">
        <v>9.2172169115320862E-2</v>
      </c>
      <c r="BB18" s="19">
        <v>0</v>
      </c>
      <c r="BC18" s="19">
        <v>4</v>
      </c>
      <c r="BD18" s="19">
        <v>2.0454545454545454</v>
      </c>
      <c r="BZ18">
        <v>0.31578947368421051</v>
      </c>
      <c r="CA18">
        <v>0.55555555555555558</v>
      </c>
      <c r="CB18">
        <v>0.31578947368421051</v>
      </c>
    </row>
    <row r="19" spans="52:80" x14ac:dyDescent="0.25">
      <c r="AZ19" s="19">
        <v>16</v>
      </c>
      <c r="BA19" s="19">
        <v>9.2172169115320862E-2</v>
      </c>
      <c r="BB19" s="19">
        <v>0</v>
      </c>
      <c r="BC19" s="19">
        <v>4</v>
      </c>
      <c r="BD19" s="19">
        <v>2.1818181818181817</v>
      </c>
      <c r="BZ19">
        <v>0.31578947368421051</v>
      </c>
      <c r="CA19">
        <v>0.66666666666666663</v>
      </c>
      <c r="CB19">
        <v>0.31578947368421051</v>
      </c>
    </row>
    <row r="20" spans="52:80" x14ac:dyDescent="0.25">
      <c r="AZ20" s="19">
        <v>17</v>
      </c>
      <c r="BA20" s="19">
        <v>7.1282402524274091E-2</v>
      </c>
      <c r="BB20" s="19">
        <v>0</v>
      </c>
      <c r="BC20" s="19">
        <v>4</v>
      </c>
      <c r="BD20" s="19">
        <v>2.3181818181818179</v>
      </c>
      <c r="BZ20">
        <v>0.33333333333333331</v>
      </c>
      <c r="CA20">
        <v>0.77777777777777779</v>
      </c>
      <c r="CB20">
        <v>0.33333333333333331</v>
      </c>
    </row>
    <row r="21" spans="52:80" x14ac:dyDescent="0.25">
      <c r="AZ21" s="19">
        <v>18</v>
      </c>
      <c r="BA21" s="19">
        <v>7.1282402524274091E-2</v>
      </c>
      <c r="BB21" s="19">
        <v>0</v>
      </c>
      <c r="BC21" s="19">
        <v>4</v>
      </c>
      <c r="BD21" s="19">
        <v>2.4545454545454541</v>
      </c>
      <c r="BZ21">
        <v>0.36842105263157893</v>
      </c>
      <c r="CA21">
        <v>0.77777777777777779</v>
      </c>
      <c r="CB21">
        <v>0.36842105263157893</v>
      </c>
    </row>
    <row r="22" spans="52:80" x14ac:dyDescent="0.25">
      <c r="AZ22" s="20">
        <v>19</v>
      </c>
      <c r="BA22" s="20">
        <v>5.8942168729575521E-2</v>
      </c>
      <c r="BB22" s="20">
        <v>0</v>
      </c>
      <c r="BC22" s="20">
        <v>4</v>
      </c>
      <c r="BD22" s="20">
        <v>2.5909090909090908</v>
      </c>
      <c r="BZ22">
        <v>0.47368421052631576</v>
      </c>
      <c r="CA22">
        <v>0.88888888888888884</v>
      </c>
      <c r="CB22">
        <v>0.47368421052631576</v>
      </c>
    </row>
    <row r="23" spans="52:80" x14ac:dyDescent="0.25">
      <c r="AZ23" s="20">
        <v>20</v>
      </c>
      <c r="BA23" s="20">
        <v>5.8942168729575521E-2</v>
      </c>
      <c r="BB23" s="20">
        <v>0</v>
      </c>
      <c r="BC23" s="20">
        <v>4</v>
      </c>
      <c r="BD23" s="20">
        <v>2.7272727272727271</v>
      </c>
      <c r="BZ23">
        <v>0.49122807017543857</v>
      </c>
      <c r="CA23">
        <v>0.88888888888888884</v>
      </c>
      <c r="CB23">
        <v>0.49122807017543857</v>
      </c>
    </row>
    <row r="24" spans="52:80" x14ac:dyDescent="0.25">
      <c r="AZ24" s="20">
        <v>21</v>
      </c>
      <c r="BA24" s="20">
        <v>5.4841059881313048E-2</v>
      </c>
      <c r="BB24" s="20">
        <v>0</v>
      </c>
      <c r="BC24" s="20">
        <v>4</v>
      </c>
      <c r="BD24" s="20">
        <v>2.8636363636363633</v>
      </c>
      <c r="BZ24">
        <v>0.52631578947368418</v>
      </c>
      <c r="CA24">
        <v>0.88888888888888884</v>
      </c>
      <c r="CB24">
        <v>0.52631578947368418</v>
      </c>
    </row>
    <row r="25" spans="52:80" x14ac:dyDescent="0.25">
      <c r="AZ25" s="20">
        <v>22</v>
      </c>
      <c r="BA25" s="20">
        <v>4.5208557988705579E-2</v>
      </c>
      <c r="BB25" s="20">
        <v>0</v>
      </c>
      <c r="BC25" s="20">
        <v>4</v>
      </c>
      <c r="BD25" s="20">
        <v>3</v>
      </c>
      <c r="BZ25">
        <v>0.63157894736842102</v>
      </c>
      <c r="CA25">
        <v>1</v>
      </c>
      <c r="CB25">
        <v>0.63157894736842102</v>
      </c>
    </row>
    <row r="26" spans="52:80" x14ac:dyDescent="0.25">
      <c r="AZ26" s="20">
        <v>23</v>
      </c>
      <c r="BA26" s="20">
        <v>4.5208557988705579E-2</v>
      </c>
      <c r="BB26" s="20">
        <v>1</v>
      </c>
      <c r="BC26" s="20">
        <v>5</v>
      </c>
      <c r="BD26" s="20">
        <v>3.1363636363636362</v>
      </c>
      <c r="BZ26">
        <v>0.66666666666666663</v>
      </c>
      <c r="CA26">
        <v>1</v>
      </c>
      <c r="CB26">
        <v>0.66666666666666663</v>
      </c>
    </row>
    <row r="27" spans="52:80" x14ac:dyDescent="0.25">
      <c r="AZ27" s="20">
        <v>24</v>
      </c>
      <c r="BA27" s="20">
        <v>3.4557390307132202E-2</v>
      </c>
      <c r="BB27" s="20">
        <v>1</v>
      </c>
      <c r="BC27" s="20">
        <v>6</v>
      </c>
      <c r="BD27" s="20">
        <v>3.2727272727272725</v>
      </c>
      <c r="BZ27">
        <v>0.68421052631578949</v>
      </c>
      <c r="CA27">
        <v>1</v>
      </c>
      <c r="CB27">
        <v>0.68421052631578949</v>
      </c>
    </row>
    <row r="28" spans="52:80" x14ac:dyDescent="0.25">
      <c r="AZ28" s="19">
        <v>25</v>
      </c>
      <c r="BA28" s="19">
        <v>2.8380614261718968E-2</v>
      </c>
      <c r="BB28" s="19">
        <v>1</v>
      </c>
      <c r="BC28" s="19">
        <v>7</v>
      </c>
      <c r="BD28" s="19">
        <v>3.4090909090909087</v>
      </c>
      <c r="BZ28">
        <v>0.75438596491228072</v>
      </c>
      <c r="CA28">
        <v>1</v>
      </c>
      <c r="CB28">
        <v>0.75438596491228072</v>
      </c>
    </row>
    <row r="29" spans="52:80" x14ac:dyDescent="0.25">
      <c r="AZ29" s="19">
        <v>26</v>
      </c>
      <c r="BA29" s="19">
        <v>2.8380614261718968E-2</v>
      </c>
      <c r="BB29" s="19">
        <v>0</v>
      </c>
      <c r="BC29" s="19">
        <v>7</v>
      </c>
      <c r="BD29" s="19">
        <v>3.545454545454545</v>
      </c>
      <c r="BZ29">
        <v>0.78947368421052633</v>
      </c>
      <c r="CA29">
        <v>1</v>
      </c>
      <c r="CB29">
        <v>0.78947368421052633</v>
      </c>
    </row>
    <row r="30" spans="52:80" x14ac:dyDescent="0.25">
      <c r="AZ30" s="19">
        <v>27</v>
      </c>
      <c r="BA30" s="19">
        <v>2.1604411675304205E-2</v>
      </c>
      <c r="BB30" s="19">
        <v>0</v>
      </c>
      <c r="BC30" s="19">
        <v>7</v>
      </c>
      <c r="BD30" s="19">
        <v>3.6818181818181817</v>
      </c>
      <c r="BZ30">
        <v>0.80701754385964908</v>
      </c>
      <c r="CA30">
        <v>1</v>
      </c>
      <c r="CB30">
        <v>0.80701754385964908</v>
      </c>
    </row>
    <row r="31" spans="52:80" x14ac:dyDescent="0.25">
      <c r="AZ31" s="19">
        <v>28</v>
      </c>
      <c r="BA31" s="19">
        <v>2.1604411675304205E-2</v>
      </c>
      <c r="BB31" s="19">
        <v>0</v>
      </c>
      <c r="BC31" s="19">
        <v>7</v>
      </c>
      <c r="BD31" s="19">
        <v>3.8181818181818179</v>
      </c>
      <c r="BZ31">
        <v>0.82456140350877194</v>
      </c>
      <c r="CA31">
        <v>1</v>
      </c>
      <c r="CB31">
        <v>0.82456140350877194</v>
      </c>
    </row>
    <row r="32" spans="52:80" x14ac:dyDescent="0.25">
      <c r="AZ32" s="19">
        <v>29</v>
      </c>
      <c r="BA32" s="19">
        <v>1.7700399554008261E-2</v>
      </c>
      <c r="BB32" s="19">
        <v>1</v>
      </c>
      <c r="BC32" s="19">
        <v>8</v>
      </c>
      <c r="BD32" s="19">
        <v>3.9545454545454541</v>
      </c>
      <c r="BZ32">
        <v>0.84210526315789469</v>
      </c>
      <c r="CA32">
        <v>1</v>
      </c>
      <c r="CB32">
        <v>0.84210526315789469</v>
      </c>
    </row>
    <row r="33" spans="9:80" x14ac:dyDescent="0.25">
      <c r="AZ33" s="19">
        <v>30</v>
      </c>
      <c r="BA33" s="19">
        <v>1.7700399554008261E-2</v>
      </c>
      <c r="BB33" s="19">
        <v>0</v>
      </c>
      <c r="BC33" s="19">
        <v>8</v>
      </c>
      <c r="BD33" s="19">
        <v>4.0909090909090908</v>
      </c>
      <c r="BZ33">
        <v>0.85964912280701755</v>
      </c>
      <c r="CA33">
        <v>1</v>
      </c>
      <c r="CB33">
        <v>0.85964912280701755</v>
      </c>
    </row>
    <row r="34" spans="9:80" x14ac:dyDescent="0.25">
      <c r="AZ34" s="20">
        <v>31</v>
      </c>
      <c r="BA34" s="20">
        <v>1.7700399554008261E-2</v>
      </c>
      <c r="BB34" s="20">
        <v>0</v>
      </c>
      <c r="BC34" s="20">
        <v>8</v>
      </c>
      <c r="BD34" s="20">
        <v>4.2272727272727266</v>
      </c>
      <c r="BZ34">
        <v>0.8771929824561403</v>
      </c>
      <c r="CA34">
        <v>1</v>
      </c>
      <c r="CB34">
        <v>0.8771929824561403</v>
      </c>
    </row>
    <row r="35" spans="9:80" x14ac:dyDescent="0.25">
      <c r="AZ35" s="20">
        <v>32</v>
      </c>
      <c r="BA35" s="20">
        <v>1.7700399554008261E-2</v>
      </c>
      <c r="BB35" s="20">
        <v>0</v>
      </c>
      <c r="BC35" s="20">
        <v>8</v>
      </c>
      <c r="BD35" s="20">
        <v>4.3636363636363633</v>
      </c>
      <c r="BZ35">
        <v>0.91228070175438591</v>
      </c>
      <c r="CA35">
        <v>1</v>
      </c>
      <c r="CB35">
        <v>0.91228070175438591</v>
      </c>
    </row>
    <row r="36" spans="9:80" x14ac:dyDescent="0.25">
      <c r="AZ36" s="20">
        <v>33</v>
      </c>
      <c r="BA36" s="20">
        <v>1.7700399554008261E-2</v>
      </c>
      <c r="BB36" s="20">
        <v>0</v>
      </c>
      <c r="BC36" s="20">
        <v>8</v>
      </c>
      <c r="BD36" s="20">
        <v>4.5</v>
      </c>
      <c r="BZ36">
        <v>0.92982456140350878</v>
      </c>
      <c r="CA36">
        <v>1</v>
      </c>
      <c r="CB36">
        <v>0.92982456140350878</v>
      </c>
    </row>
    <row r="37" spans="9:80" x14ac:dyDescent="0.25">
      <c r="AZ37" s="20">
        <v>34</v>
      </c>
      <c r="BA37" s="20">
        <v>1.7700399554008261E-2</v>
      </c>
      <c r="BB37" s="20">
        <v>0</v>
      </c>
      <c r="BC37" s="20">
        <v>8</v>
      </c>
      <c r="BD37" s="20">
        <v>4.6363636363636358</v>
      </c>
      <c r="BZ37">
        <v>0.94736842105263153</v>
      </c>
      <c r="CA37">
        <v>1</v>
      </c>
      <c r="CB37">
        <v>0.94736842105263153</v>
      </c>
    </row>
    <row r="38" spans="9:80" x14ac:dyDescent="0.25">
      <c r="I38" s="5" t="s">
        <v>244</v>
      </c>
      <c r="J38" s="5" t="s">
        <v>245</v>
      </c>
      <c r="K38" s="5" t="s">
        <v>246</v>
      </c>
      <c r="L38" s="5" t="s">
        <v>247</v>
      </c>
      <c r="M38" s="5" t="s">
        <v>248</v>
      </c>
      <c r="AZ38" s="20">
        <v>35</v>
      </c>
      <c r="BA38" s="20">
        <v>1.7700399554008261E-2</v>
      </c>
      <c r="BB38" s="20">
        <v>0</v>
      </c>
      <c r="BC38" s="20">
        <v>8</v>
      </c>
      <c r="BD38" s="20">
        <v>4.7727272727272725</v>
      </c>
      <c r="BZ38">
        <v>0.98245614035087714</v>
      </c>
      <c r="CA38">
        <v>1</v>
      </c>
      <c r="CB38">
        <v>0.98245614035087714</v>
      </c>
    </row>
    <row r="39" spans="9:80" x14ac:dyDescent="0.25">
      <c r="I39" s="4">
        <v>1</v>
      </c>
      <c r="J39" s="3">
        <v>0.5</v>
      </c>
      <c r="K39" s="3">
        <v>0.54772255750516607</v>
      </c>
      <c r="L39" s="3">
        <v>0</v>
      </c>
      <c r="M39" s="3">
        <v>1</v>
      </c>
      <c r="AZ39" s="20">
        <v>36</v>
      </c>
      <c r="BA39" s="20">
        <v>1.3438952087404268E-2</v>
      </c>
      <c r="BB39" s="20">
        <v>0</v>
      </c>
      <c r="BC39" s="20">
        <v>8</v>
      </c>
      <c r="BD39" s="20">
        <v>4.9090909090909083</v>
      </c>
      <c r="BZ39">
        <v>1</v>
      </c>
      <c r="CA39">
        <v>1</v>
      </c>
      <c r="CB39">
        <v>1</v>
      </c>
    </row>
    <row r="40" spans="9:80" x14ac:dyDescent="0.25">
      <c r="I40" s="4">
        <v>2</v>
      </c>
      <c r="J40" s="3">
        <v>0.16666666666666666</v>
      </c>
      <c r="K40" s="3">
        <v>0.40824829046386302</v>
      </c>
      <c r="L40" s="3">
        <v>0</v>
      </c>
      <c r="M40" s="3">
        <v>1</v>
      </c>
      <c r="AZ40" s="19">
        <v>37</v>
      </c>
      <c r="BA40" s="19">
        <v>1.0993894321078364E-2</v>
      </c>
      <c r="BB40" s="19">
        <v>0</v>
      </c>
      <c r="BC40" s="19">
        <v>8</v>
      </c>
      <c r="BD40" s="19">
        <v>5.045454545454545</v>
      </c>
    </row>
    <row r="41" spans="9:80" x14ac:dyDescent="0.25">
      <c r="I41" s="4">
        <v>3</v>
      </c>
      <c r="J41" s="3">
        <v>0</v>
      </c>
      <c r="K41" s="3">
        <v>0</v>
      </c>
      <c r="L41" s="3">
        <v>0</v>
      </c>
      <c r="M41" s="3">
        <v>0</v>
      </c>
      <c r="AZ41" s="19">
        <v>38</v>
      </c>
      <c r="BA41" s="19">
        <v>1.0993894321078364E-2</v>
      </c>
      <c r="BB41" s="19">
        <v>0</v>
      </c>
      <c r="BC41" s="19">
        <v>8</v>
      </c>
      <c r="BD41" s="19">
        <v>5.1818181818181817</v>
      </c>
    </row>
    <row r="42" spans="9:80" x14ac:dyDescent="0.25">
      <c r="I42" s="4">
        <v>4</v>
      </c>
      <c r="J42" s="3">
        <v>0.33333333333333331</v>
      </c>
      <c r="K42" s="3">
        <v>0.51639777949432231</v>
      </c>
      <c r="L42" s="3">
        <v>0</v>
      </c>
      <c r="M42" s="3">
        <v>1</v>
      </c>
      <c r="AZ42" s="19">
        <v>39</v>
      </c>
      <c r="BA42" s="19">
        <v>8.3333692094780497E-3</v>
      </c>
      <c r="BB42" s="19">
        <v>0</v>
      </c>
      <c r="BC42" s="19">
        <v>8</v>
      </c>
      <c r="BD42" s="19">
        <v>5.3181818181818175</v>
      </c>
    </row>
    <row r="43" spans="9:80" x14ac:dyDescent="0.25">
      <c r="I43" s="4">
        <v>5</v>
      </c>
      <c r="J43" s="3">
        <v>0.33333333333333331</v>
      </c>
      <c r="K43" s="3">
        <v>0.51639777949432231</v>
      </c>
      <c r="L43" s="3">
        <v>0</v>
      </c>
      <c r="M43" s="3">
        <v>1</v>
      </c>
      <c r="AZ43" s="19">
        <v>40</v>
      </c>
      <c r="BA43" s="19">
        <v>8.3333692094780497E-3</v>
      </c>
      <c r="BB43" s="19">
        <v>1</v>
      </c>
      <c r="BC43" s="19">
        <v>9</v>
      </c>
      <c r="BD43" s="19">
        <v>5.4545454545454541</v>
      </c>
    </row>
    <row r="44" spans="9:80" x14ac:dyDescent="0.25">
      <c r="I44" s="4">
        <v>6</v>
      </c>
      <c r="J44" s="3">
        <v>0</v>
      </c>
      <c r="K44" s="3">
        <v>0</v>
      </c>
      <c r="L44" s="3">
        <v>0</v>
      </c>
      <c r="M44" s="3">
        <v>0</v>
      </c>
      <c r="AZ44" s="19">
        <v>41</v>
      </c>
      <c r="BA44" s="19">
        <v>8.3333692094780497E-3</v>
      </c>
      <c r="BB44" s="19">
        <v>0</v>
      </c>
      <c r="BC44" s="19">
        <v>9</v>
      </c>
      <c r="BD44" s="19">
        <v>5.5909090909090908</v>
      </c>
    </row>
    <row r="45" spans="9:80" x14ac:dyDescent="0.25">
      <c r="I45" s="4">
        <v>7</v>
      </c>
      <c r="J45" s="3">
        <v>0.16666666666666666</v>
      </c>
      <c r="K45" s="3">
        <v>0.40824829046386302</v>
      </c>
      <c r="L45" s="3">
        <v>0</v>
      </c>
      <c r="M45" s="3">
        <v>1</v>
      </c>
      <c r="AZ45" s="19">
        <v>42</v>
      </c>
      <c r="BA45" s="19">
        <v>8.3333692094780497E-3</v>
      </c>
      <c r="BB45" s="19">
        <v>0</v>
      </c>
      <c r="BC45" s="19">
        <v>9</v>
      </c>
      <c r="BD45" s="19">
        <v>5.7272727272727266</v>
      </c>
    </row>
    <row r="46" spans="9:80" x14ac:dyDescent="0.25">
      <c r="I46" s="4">
        <v>8</v>
      </c>
      <c r="J46" s="3">
        <v>0</v>
      </c>
      <c r="K46" s="3">
        <v>0</v>
      </c>
      <c r="L46" s="3">
        <v>0</v>
      </c>
      <c r="M46" s="3">
        <v>0</v>
      </c>
      <c r="AZ46" s="20">
        <v>43</v>
      </c>
      <c r="BA46" s="20">
        <v>8.3333692094780497E-3</v>
      </c>
      <c r="BB46" s="20">
        <v>0</v>
      </c>
      <c r="BC46" s="20">
        <v>9</v>
      </c>
      <c r="BD46" s="20">
        <v>5.8636363636363633</v>
      </c>
    </row>
    <row r="47" spans="9:80" x14ac:dyDescent="0.25">
      <c r="I47" s="4">
        <v>9</v>
      </c>
      <c r="J47" s="3">
        <v>0</v>
      </c>
      <c r="K47" s="3">
        <v>0</v>
      </c>
      <c r="L47" s="3">
        <v>0</v>
      </c>
      <c r="M47" s="3">
        <v>0</v>
      </c>
      <c r="AZ47" s="20">
        <v>44</v>
      </c>
      <c r="BA47" s="20">
        <v>8.3333692094780497E-3</v>
      </c>
      <c r="BB47" s="20">
        <v>0</v>
      </c>
      <c r="BC47" s="20">
        <v>9</v>
      </c>
      <c r="BD47" s="20">
        <v>6</v>
      </c>
    </row>
    <row r="48" spans="9:80" x14ac:dyDescent="0.25">
      <c r="I48" s="4">
        <v>10</v>
      </c>
      <c r="J48" s="3">
        <v>0</v>
      </c>
      <c r="K48" s="3">
        <v>0</v>
      </c>
      <c r="L48" s="3">
        <v>0</v>
      </c>
      <c r="M48" s="3">
        <v>0</v>
      </c>
      <c r="AZ48" s="20">
        <v>45</v>
      </c>
      <c r="BA48" s="20">
        <v>8.3333692094780497E-3</v>
      </c>
      <c r="BB48" s="20">
        <v>0</v>
      </c>
      <c r="BC48" s="20">
        <v>9</v>
      </c>
      <c r="BD48" s="20">
        <v>6.1363636363636358</v>
      </c>
    </row>
    <row r="49" spans="52:56" x14ac:dyDescent="0.25">
      <c r="AZ49" s="20">
        <v>46</v>
      </c>
      <c r="BA49" s="20">
        <v>5.1573050710925989E-3</v>
      </c>
      <c r="BB49" s="20">
        <v>0</v>
      </c>
      <c r="BC49" s="20">
        <v>9</v>
      </c>
      <c r="BD49" s="20">
        <v>6.2727272727272725</v>
      </c>
    </row>
    <row r="50" spans="52:56" x14ac:dyDescent="0.25">
      <c r="AZ50" s="20">
        <v>47</v>
      </c>
      <c r="BA50" s="20">
        <v>5.1573050710925989E-3</v>
      </c>
      <c r="BB50" s="20">
        <v>0</v>
      </c>
      <c r="BC50" s="20">
        <v>9</v>
      </c>
      <c r="BD50" s="20">
        <v>6.4090909090909083</v>
      </c>
    </row>
    <row r="51" spans="52:56" x14ac:dyDescent="0.25">
      <c r="AZ51" s="20">
        <v>48</v>
      </c>
      <c r="BA51" s="20">
        <v>4.2125609205921309E-3</v>
      </c>
      <c r="BB51" s="20">
        <v>0</v>
      </c>
      <c r="BC51" s="20">
        <v>9</v>
      </c>
      <c r="BD51" s="20">
        <v>6.545454545454545</v>
      </c>
    </row>
    <row r="52" spans="52:56" x14ac:dyDescent="0.25">
      <c r="AZ52" s="19">
        <v>49</v>
      </c>
      <c r="BA52" s="19">
        <v>3.1878304960592696E-3</v>
      </c>
      <c r="BB52" s="19">
        <v>0</v>
      </c>
      <c r="BC52" s="19">
        <v>9</v>
      </c>
      <c r="BD52" s="19">
        <v>6.6818181818181817</v>
      </c>
    </row>
    <row r="53" spans="52:56" x14ac:dyDescent="0.25">
      <c r="AZ53" s="19">
        <v>50</v>
      </c>
      <c r="BA53" s="19">
        <v>3.1878304960592696E-3</v>
      </c>
      <c r="BB53" s="19">
        <v>0</v>
      </c>
      <c r="BC53" s="19">
        <v>9</v>
      </c>
      <c r="BD53" s="19">
        <v>6.8181818181818175</v>
      </c>
    </row>
    <row r="54" spans="52:56" x14ac:dyDescent="0.25">
      <c r="AZ54" s="19">
        <v>51</v>
      </c>
      <c r="BA54" s="19">
        <v>3.1878304960592696E-3</v>
      </c>
      <c r="BB54" s="19">
        <v>0</v>
      </c>
      <c r="BC54" s="19">
        <v>9</v>
      </c>
      <c r="BD54" s="19">
        <v>6.9545454545454541</v>
      </c>
    </row>
    <row r="55" spans="52:56" x14ac:dyDescent="0.25">
      <c r="AZ55" s="19">
        <v>52</v>
      </c>
      <c r="BA55" s="19">
        <v>3.1878304960592696E-3</v>
      </c>
      <c r="BB55" s="19">
        <v>0</v>
      </c>
      <c r="BC55" s="19">
        <v>9</v>
      </c>
      <c r="BD55" s="19">
        <v>7.0909090909090899</v>
      </c>
    </row>
    <row r="56" spans="52:56" x14ac:dyDescent="0.25">
      <c r="AZ56" s="19">
        <v>53</v>
      </c>
      <c r="BA56" s="19">
        <v>1.9689714364082389E-3</v>
      </c>
      <c r="BB56" s="19">
        <v>0</v>
      </c>
      <c r="BC56" s="19">
        <v>9</v>
      </c>
      <c r="BD56" s="19">
        <v>7.2272727272727266</v>
      </c>
    </row>
    <row r="57" spans="52:56" x14ac:dyDescent="0.25">
      <c r="AZ57" s="19">
        <v>54</v>
      </c>
      <c r="BA57" s="19">
        <v>1.9689714364082389E-3</v>
      </c>
      <c r="BB57" s="19">
        <v>0</v>
      </c>
      <c r="BC57" s="19">
        <v>9</v>
      </c>
      <c r="BD57" s="19">
        <v>7.3636363636363633</v>
      </c>
    </row>
    <row r="58" spans="52:56" x14ac:dyDescent="0.25">
      <c r="AZ58" s="20">
        <v>55</v>
      </c>
      <c r="BA58" s="20">
        <v>1.2155718041837443E-3</v>
      </c>
      <c r="BB58" s="20">
        <v>0</v>
      </c>
      <c r="BC58" s="20">
        <v>9</v>
      </c>
      <c r="BD58" s="20">
        <v>7.4999999999999991</v>
      </c>
    </row>
    <row r="59" spans="52:56" x14ac:dyDescent="0.25">
      <c r="AZ59" s="20">
        <v>56</v>
      </c>
      <c r="BA59" s="20">
        <v>2.7895693630564257E-4</v>
      </c>
      <c r="BB59" s="20">
        <v>0</v>
      </c>
      <c r="BC59" s="20">
        <v>9</v>
      </c>
      <c r="BD59" s="20">
        <v>7.6363636363636358</v>
      </c>
    </row>
    <row r="60" spans="52:56" x14ac:dyDescent="0.25">
      <c r="AZ60" s="20">
        <v>57</v>
      </c>
      <c r="BA60" s="20">
        <v>8.7890126215565811E-6</v>
      </c>
      <c r="BB60" s="20">
        <v>0</v>
      </c>
      <c r="BC60" s="20">
        <v>9</v>
      </c>
      <c r="BD60" s="20">
        <v>7.7727272727272725</v>
      </c>
    </row>
    <row r="61" spans="52:56" x14ac:dyDescent="0.25">
      <c r="AZ61" s="20">
        <v>58</v>
      </c>
      <c r="BA61" s="20">
        <v>7.1721924491056332E-6</v>
      </c>
      <c r="BB61" s="20">
        <v>0</v>
      </c>
      <c r="BC61" s="20">
        <v>9</v>
      </c>
      <c r="BD61" s="20">
        <v>7.9090909090909083</v>
      </c>
    </row>
    <row r="62" spans="52:56" x14ac:dyDescent="0.25">
      <c r="AZ62" s="20">
        <v>59</v>
      </c>
      <c r="BA62" s="20">
        <v>4.4245245624488162E-6</v>
      </c>
      <c r="BB62" s="20">
        <v>0</v>
      </c>
      <c r="BC62" s="20">
        <v>9</v>
      </c>
      <c r="BD62" s="20">
        <v>8.045454545454545</v>
      </c>
    </row>
    <row r="63" spans="52:56" x14ac:dyDescent="0.25">
      <c r="AZ63" s="20">
        <v>60</v>
      </c>
      <c r="BA63" s="20">
        <v>2.0634001480377549E-6</v>
      </c>
      <c r="BB63" s="20">
        <v>0</v>
      </c>
      <c r="BC63" s="20">
        <v>9</v>
      </c>
      <c r="BD63" s="20">
        <v>8.1818181818181817</v>
      </c>
    </row>
    <row r="64" spans="52:56" x14ac:dyDescent="0.25">
      <c r="AZ64" s="19">
        <v>61</v>
      </c>
      <c r="BA64" s="19">
        <v>2.0634001480377549E-6</v>
      </c>
      <c r="BB64" s="19">
        <v>0</v>
      </c>
      <c r="BC64" s="19">
        <v>9</v>
      </c>
      <c r="BD64" s="19">
        <v>8.3181818181818183</v>
      </c>
    </row>
    <row r="65" spans="52:56" x14ac:dyDescent="0.25">
      <c r="AZ65" s="19">
        <v>62</v>
      </c>
      <c r="BA65" s="19">
        <v>1.2729087839809041E-6</v>
      </c>
      <c r="BB65" s="19">
        <v>0</v>
      </c>
      <c r="BC65" s="19">
        <v>9</v>
      </c>
      <c r="BD65" s="19">
        <v>8.4545454545454533</v>
      </c>
    </row>
    <row r="66" spans="52:56" x14ac:dyDescent="0.25">
      <c r="AZ66" s="19">
        <v>63</v>
      </c>
      <c r="BA66" s="19">
        <v>9.6227622792089097E-7</v>
      </c>
      <c r="BB66" s="19">
        <v>0</v>
      </c>
      <c r="BC66" s="19">
        <v>9</v>
      </c>
      <c r="BD66" s="19">
        <v>8.5909090909090899</v>
      </c>
    </row>
    <row r="67" spans="52:56" x14ac:dyDescent="0.25">
      <c r="AZ67" s="19">
        <v>64</v>
      </c>
      <c r="BA67" s="19">
        <v>3.6620728668807429E-7</v>
      </c>
      <c r="BB67" s="19">
        <v>0</v>
      </c>
      <c r="BC67" s="19">
        <v>9</v>
      </c>
      <c r="BD67" s="19">
        <v>8.7272727272727266</v>
      </c>
    </row>
    <row r="68" spans="52:56" x14ac:dyDescent="0.25">
      <c r="AZ68" s="19">
        <v>65</v>
      </c>
      <c r="BA68" s="19">
        <v>3.6620728668807429E-7</v>
      </c>
      <c r="BB68" s="19">
        <v>0</v>
      </c>
      <c r="BC68" s="19">
        <v>9</v>
      </c>
      <c r="BD68" s="19">
        <v>8.8636363636363633</v>
      </c>
    </row>
    <row r="69" spans="52:56" x14ac:dyDescent="0.25">
      <c r="AZ69" s="19">
        <v>66</v>
      </c>
      <c r="BA69" s="19">
        <v>1.3936510475477585E-7</v>
      </c>
      <c r="BB69" s="19">
        <v>0</v>
      </c>
      <c r="BC69" s="19">
        <v>9</v>
      </c>
      <c r="BD69" s="19">
        <v>9</v>
      </c>
    </row>
  </sheetData>
  <mergeCells count="12">
    <mergeCell ref="B3:K3"/>
    <mergeCell ref="N3:Q3"/>
    <mergeCell ref="B4:C4"/>
    <mergeCell ref="D4:E4"/>
    <mergeCell ref="F4:G4"/>
    <mergeCell ref="H4:I4"/>
    <mergeCell ref="J4:K4"/>
    <mergeCell ref="B5:C5"/>
    <mergeCell ref="D5:E5"/>
    <mergeCell ref="F5:G5"/>
    <mergeCell ref="H5:I5"/>
    <mergeCell ref="J5:K5"/>
  </mergeCells>
  <hyperlinks>
    <hyperlink ref="B4" location="'LR_Output'!$B$10:$B$10" display="Inputs"/>
    <hyperlink ref="D4" location="'LR_Output'!$B$43:$B$43" display="Prior Class Prob."/>
    <hyperlink ref="F4" location="'LR_Output'!$B$52:$B$52" display="Predictors"/>
    <hyperlink ref="H4" location="'LR_Output'!$B$64:$B$64" display="Regress. Model"/>
    <hyperlink ref="J4" location="'LR_Output'!$B$73:$B$73" display="Variable Selection"/>
    <hyperlink ref="B5" location="'LR_Output'!$B$86:$B$86" display="Train. Score Summary"/>
    <hyperlink ref="D5" location="'LR_Output'!$B$110:$B$110" display="Valid. Score Summary"/>
    <hyperlink ref="F5" location="'LR_TrainingLiftChart'!$B$10:$B$10" display="Training Lift Chart"/>
    <hyperlink ref="H5" location="'LR_ValidationLiftChart'!$B$10:$B$10" display="Validation Lift Chart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showGridLines="0" workbookViewId="0"/>
  </sheetViews>
  <sheetFormatPr defaultRowHeight="15" x14ac:dyDescent="0.25"/>
  <cols>
    <col min="1" max="1" width="24.140625" bestFit="1" customWidth="1"/>
    <col min="2" max="2" width="18" bestFit="1" customWidth="1"/>
  </cols>
  <sheetData>
    <row r="1" spans="1:13" x14ac:dyDescent="0.25">
      <c r="M1" t="s">
        <v>210</v>
      </c>
    </row>
    <row r="2" spans="1:13" x14ac:dyDescent="0.25">
      <c r="A2" s="4" t="s">
        <v>211</v>
      </c>
      <c r="B2" s="3" t="s">
        <v>212</v>
      </c>
    </row>
    <row r="3" spans="1:13" x14ac:dyDescent="0.25">
      <c r="A3" s="4" t="s">
        <v>213</v>
      </c>
      <c r="B3" s="3" t="b">
        <v>1</v>
      </c>
    </row>
    <row r="4" spans="1:13" x14ac:dyDescent="0.25">
      <c r="A4" s="4" t="s">
        <v>214</v>
      </c>
      <c r="B4" s="3">
        <v>3</v>
      </c>
    </row>
    <row r="5" spans="1:13" x14ac:dyDescent="0.25">
      <c r="A5" s="4" t="s">
        <v>198</v>
      </c>
      <c r="B5" s="3" t="s">
        <v>215</v>
      </c>
      <c r="D5" s="3"/>
      <c r="E5" s="3" t="s">
        <v>2</v>
      </c>
      <c r="F5" s="3" t="s">
        <v>3</v>
      </c>
      <c r="G5" s="3" t="s">
        <v>4</v>
      </c>
      <c r="H5" s="3" t="s">
        <v>5</v>
      </c>
    </row>
    <row r="6" spans="1:13" x14ac:dyDescent="0.25">
      <c r="A6" s="4" t="s">
        <v>216</v>
      </c>
      <c r="B6" s="3" t="s">
        <v>217</v>
      </c>
      <c r="D6" s="3"/>
      <c r="E6" s="3">
        <v>2</v>
      </c>
      <c r="F6" s="3">
        <v>3</v>
      </c>
      <c r="G6" s="3">
        <v>4</v>
      </c>
      <c r="H6" s="3">
        <v>5</v>
      </c>
    </row>
    <row r="7" spans="1:13" x14ac:dyDescent="0.25">
      <c r="A7" s="4" t="s">
        <v>218</v>
      </c>
      <c r="B7" s="3" t="s">
        <v>219</v>
      </c>
      <c r="D7" s="3"/>
      <c r="E7" s="3" t="s">
        <v>220</v>
      </c>
      <c r="F7" s="3" t="s">
        <v>220</v>
      </c>
      <c r="G7" s="3" t="s">
        <v>220</v>
      </c>
      <c r="H7" s="3" t="s">
        <v>221</v>
      </c>
    </row>
    <row r="8" spans="1:13" x14ac:dyDescent="0.25">
      <c r="A8" s="4" t="s">
        <v>222</v>
      </c>
      <c r="B8" s="3" t="s">
        <v>223</v>
      </c>
      <c r="D8" s="3"/>
      <c r="E8" s="3" t="s">
        <v>224</v>
      </c>
      <c r="F8" s="3" t="s">
        <v>224</v>
      </c>
      <c r="G8" s="3" t="s">
        <v>224</v>
      </c>
      <c r="H8" s="3"/>
    </row>
    <row r="9" spans="1:13" x14ac:dyDescent="0.25">
      <c r="A9" s="4" t="s">
        <v>225</v>
      </c>
      <c r="B9" s="3" t="s">
        <v>226</v>
      </c>
      <c r="D9" s="3"/>
      <c r="E9" s="3" t="s">
        <v>2</v>
      </c>
      <c r="F9" s="3" t="s">
        <v>3</v>
      </c>
      <c r="G9" s="3" t="s">
        <v>4</v>
      </c>
      <c r="H9" s="3"/>
    </row>
    <row r="10" spans="1:13" x14ac:dyDescent="0.25">
      <c r="A10" s="4" t="s">
        <v>227</v>
      </c>
      <c r="B10" s="3" t="s">
        <v>228</v>
      </c>
      <c r="D10" s="3">
        <v>-7.6774269955350185</v>
      </c>
      <c r="E10" s="3">
        <v>0.48305130728820228</v>
      </c>
      <c r="F10" s="3">
        <v>1.2458613181645979</v>
      </c>
      <c r="G10" s="3">
        <v>-9.0748441742038768</v>
      </c>
    </row>
    <row r="11" spans="1:13" x14ac:dyDescent="0.25">
      <c r="A11" s="4" t="s">
        <v>229</v>
      </c>
      <c r="B11" s="3">
        <v>1</v>
      </c>
      <c r="E11" s="3">
        <v>0</v>
      </c>
      <c r="F11" s="3">
        <v>1</v>
      </c>
    </row>
    <row r="12" spans="1:13" x14ac:dyDescent="0.25">
      <c r="A12" s="4" t="s">
        <v>230</v>
      </c>
      <c r="B12" s="3">
        <v>0.5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topLeftCell="A143" workbookViewId="0">
      <selection activeCell="A107" sqref="A107:A172"/>
    </sheetView>
  </sheetViews>
  <sheetFormatPr defaultRowHeight="15" x14ac:dyDescent="0.25"/>
  <cols>
    <col min="1" max="1" width="5" bestFit="1" customWidth="1"/>
    <col min="2" max="2" width="46.7109375" bestFit="1" customWidth="1"/>
    <col min="3" max="3" width="17.5703125" bestFit="1" customWidth="1"/>
    <col min="4" max="4" width="17.42578125" bestFit="1" customWidth="1"/>
    <col min="5" max="5" width="8.28515625" bestFit="1" customWidth="1"/>
    <col min="6" max="6" width="7.5703125" bestFit="1" customWidth="1"/>
    <col min="7" max="7" width="15.28515625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>
        <v>1984</v>
      </c>
      <c r="B2" t="s">
        <v>7</v>
      </c>
      <c r="C2">
        <v>3</v>
      </c>
      <c r="D2">
        <v>0</v>
      </c>
      <c r="E2">
        <v>0</v>
      </c>
      <c r="F2">
        <v>0</v>
      </c>
      <c r="G2" t="s">
        <v>8</v>
      </c>
    </row>
    <row r="3" spans="1:7" x14ac:dyDescent="0.25">
      <c r="A3">
        <v>1984</v>
      </c>
      <c r="B3" t="s">
        <v>9</v>
      </c>
      <c r="C3">
        <v>7</v>
      </c>
      <c r="D3">
        <v>1</v>
      </c>
      <c r="E3">
        <v>0</v>
      </c>
      <c r="F3">
        <v>0</v>
      </c>
      <c r="G3" t="s">
        <v>8</v>
      </c>
    </row>
    <row r="4" spans="1:7" x14ac:dyDescent="0.25">
      <c r="A4">
        <v>1984</v>
      </c>
      <c r="B4" t="s">
        <v>10</v>
      </c>
      <c r="C4">
        <v>7</v>
      </c>
      <c r="D4">
        <v>1</v>
      </c>
      <c r="E4">
        <v>0</v>
      </c>
      <c r="F4">
        <v>0</v>
      </c>
      <c r="G4" t="s">
        <v>8</v>
      </c>
    </row>
    <row r="5" spans="1:7" x14ac:dyDescent="0.25">
      <c r="A5">
        <v>1984</v>
      </c>
      <c r="B5" t="s">
        <v>11</v>
      </c>
      <c r="C5">
        <v>11</v>
      </c>
      <c r="D5">
        <v>3</v>
      </c>
      <c r="E5">
        <v>0</v>
      </c>
      <c r="F5">
        <v>0</v>
      </c>
      <c r="G5" t="s">
        <v>8</v>
      </c>
    </row>
    <row r="6" spans="1:7" x14ac:dyDescent="0.25">
      <c r="A6">
        <v>1984</v>
      </c>
      <c r="B6" t="s">
        <v>12</v>
      </c>
      <c r="C6">
        <v>11</v>
      </c>
      <c r="D6">
        <v>4</v>
      </c>
      <c r="E6">
        <v>0</v>
      </c>
      <c r="F6">
        <v>1</v>
      </c>
      <c r="G6" t="s">
        <v>8</v>
      </c>
    </row>
    <row r="7" spans="1:7" x14ac:dyDescent="0.25">
      <c r="A7">
        <v>1985</v>
      </c>
      <c r="B7" t="s">
        <v>13</v>
      </c>
      <c r="C7">
        <v>8</v>
      </c>
      <c r="D7">
        <v>4</v>
      </c>
      <c r="E7">
        <v>1</v>
      </c>
      <c r="F7">
        <v>0</v>
      </c>
      <c r="G7" t="s">
        <v>8</v>
      </c>
    </row>
    <row r="8" spans="1:7" x14ac:dyDescent="0.25">
      <c r="A8">
        <v>1985</v>
      </c>
      <c r="B8" t="s">
        <v>14</v>
      </c>
      <c r="C8">
        <v>4</v>
      </c>
      <c r="D8">
        <v>0</v>
      </c>
      <c r="E8">
        <v>0</v>
      </c>
      <c r="F8">
        <v>0</v>
      </c>
      <c r="G8" t="s">
        <v>8</v>
      </c>
    </row>
    <row r="9" spans="1:7" x14ac:dyDescent="0.25">
      <c r="A9">
        <v>1985</v>
      </c>
      <c r="B9" t="s">
        <v>15</v>
      </c>
      <c r="C9">
        <v>8</v>
      </c>
      <c r="D9">
        <v>0</v>
      </c>
      <c r="E9">
        <v>0</v>
      </c>
      <c r="F9">
        <v>0</v>
      </c>
      <c r="G9" t="s">
        <v>8</v>
      </c>
    </row>
    <row r="10" spans="1:7" x14ac:dyDescent="0.25">
      <c r="A10">
        <v>1985</v>
      </c>
      <c r="B10" t="s">
        <v>16</v>
      </c>
      <c r="C10">
        <v>11</v>
      </c>
      <c r="D10">
        <v>1</v>
      </c>
      <c r="E10">
        <v>0</v>
      </c>
      <c r="F10">
        <v>0</v>
      </c>
      <c r="G10" t="s">
        <v>8</v>
      </c>
    </row>
    <row r="11" spans="1:7" x14ac:dyDescent="0.25">
      <c r="A11">
        <v>1985</v>
      </c>
      <c r="B11" t="s">
        <v>17</v>
      </c>
      <c r="C11">
        <v>11</v>
      </c>
      <c r="D11">
        <v>3</v>
      </c>
      <c r="E11">
        <v>0</v>
      </c>
      <c r="F11">
        <v>1</v>
      </c>
      <c r="G11" t="s">
        <v>8</v>
      </c>
    </row>
    <row r="12" spans="1:7" x14ac:dyDescent="0.25">
      <c r="A12">
        <v>1986</v>
      </c>
      <c r="B12" t="s">
        <v>18</v>
      </c>
      <c r="C12">
        <v>7</v>
      </c>
      <c r="D12">
        <v>1</v>
      </c>
      <c r="E12">
        <v>1</v>
      </c>
      <c r="F12">
        <v>0</v>
      </c>
      <c r="G12" t="s">
        <v>8</v>
      </c>
    </row>
    <row r="13" spans="1:7" x14ac:dyDescent="0.25">
      <c r="A13">
        <v>1986</v>
      </c>
      <c r="B13" t="s">
        <v>19</v>
      </c>
      <c r="C13">
        <v>5</v>
      </c>
      <c r="D13">
        <v>1</v>
      </c>
      <c r="E13">
        <v>0</v>
      </c>
      <c r="F13">
        <v>0</v>
      </c>
      <c r="G13" t="s">
        <v>8</v>
      </c>
    </row>
    <row r="14" spans="1:7" x14ac:dyDescent="0.25">
      <c r="A14">
        <v>1986</v>
      </c>
      <c r="B14" t="s">
        <v>20</v>
      </c>
      <c r="C14">
        <v>8</v>
      </c>
      <c r="D14">
        <v>1</v>
      </c>
      <c r="E14">
        <v>0</v>
      </c>
      <c r="F14">
        <v>0</v>
      </c>
      <c r="G14" t="s">
        <v>8</v>
      </c>
    </row>
    <row r="15" spans="1:7" x14ac:dyDescent="0.25">
      <c r="A15">
        <v>1986</v>
      </c>
      <c r="B15" t="s">
        <v>21</v>
      </c>
      <c r="C15">
        <v>7</v>
      </c>
      <c r="D15">
        <v>2</v>
      </c>
      <c r="E15">
        <v>0</v>
      </c>
      <c r="F15">
        <v>0</v>
      </c>
      <c r="G15" t="s">
        <v>8</v>
      </c>
    </row>
    <row r="16" spans="1:7" x14ac:dyDescent="0.25">
      <c r="A16">
        <v>1986</v>
      </c>
      <c r="B16" t="s">
        <v>22</v>
      </c>
      <c r="C16">
        <v>8</v>
      </c>
      <c r="D16">
        <v>3</v>
      </c>
      <c r="E16">
        <v>0</v>
      </c>
      <c r="F16">
        <v>1</v>
      </c>
      <c r="G16" t="s">
        <v>8</v>
      </c>
    </row>
    <row r="17" spans="1:7" x14ac:dyDescent="0.25">
      <c r="A17">
        <v>1987</v>
      </c>
      <c r="B17" t="s">
        <v>23</v>
      </c>
      <c r="C17">
        <v>5</v>
      </c>
      <c r="D17">
        <v>1</v>
      </c>
      <c r="E17">
        <v>1</v>
      </c>
      <c r="F17">
        <v>0</v>
      </c>
      <c r="G17" t="s">
        <v>8</v>
      </c>
    </row>
    <row r="18" spans="1:7" x14ac:dyDescent="0.25">
      <c r="A18">
        <v>1987</v>
      </c>
      <c r="B18" t="s">
        <v>24</v>
      </c>
      <c r="C18">
        <v>7</v>
      </c>
      <c r="D18">
        <v>0</v>
      </c>
      <c r="E18">
        <v>1</v>
      </c>
      <c r="F18">
        <v>0</v>
      </c>
      <c r="G18" t="s">
        <v>8</v>
      </c>
    </row>
    <row r="19" spans="1:7" x14ac:dyDescent="0.25">
      <c r="A19">
        <v>1987</v>
      </c>
      <c r="B19" t="s">
        <v>25</v>
      </c>
      <c r="C19">
        <v>6</v>
      </c>
      <c r="D19">
        <v>0</v>
      </c>
      <c r="E19">
        <v>0</v>
      </c>
      <c r="F19">
        <v>0</v>
      </c>
      <c r="G19" t="s">
        <v>8</v>
      </c>
    </row>
    <row r="20" spans="1:7" x14ac:dyDescent="0.25">
      <c r="A20">
        <v>1987</v>
      </c>
      <c r="B20" t="s">
        <v>26</v>
      </c>
      <c r="C20">
        <v>6</v>
      </c>
      <c r="D20">
        <v>2</v>
      </c>
      <c r="E20">
        <v>0</v>
      </c>
      <c r="F20">
        <v>0</v>
      </c>
      <c r="G20" t="s">
        <v>8</v>
      </c>
    </row>
    <row r="21" spans="1:7" x14ac:dyDescent="0.25">
      <c r="A21">
        <v>1987</v>
      </c>
      <c r="B21" t="s">
        <v>27</v>
      </c>
      <c r="C21">
        <v>9</v>
      </c>
      <c r="D21">
        <v>4</v>
      </c>
      <c r="E21">
        <v>0</v>
      </c>
      <c r="F21">
        <v>1</v>
      </c>
      <c r="G21" t="s">
        <v>8</v>
      </c>
    </row>
    <row r="22" spans="1:7" x14ac:dyDescent="0.25">
      <c r="A22">
        <v>1988</v>
      </c>
      <c r="B22" t="s">
        <v>28</v>
      </c>
      <c r="C22">
        <v>6</v>
      </c>
      <c r="D22">
        <v>4</v>
      </c>
      <c r="E22">
        <v>1</v>
      </c>
      <c r="F22">
        <v>0</v>
      </c>
      <c r="G22" t="s">
        <v>8</v>
      </c>
    </row>
    <row r="23" spans="1:7" x14ac:dyDescent="0.25">
      <c r="A23">
        <v>1988</v>
      </c>
      <c r="B23" t="s">
        <v>29</v>
      </c>
      <c r="C23">
        <v>4</v>
      </c>
      <c r="D23">
        <v>0</v>
      </c>
      <c r="E23">
        <v>0</v>
      </c>
      <c r="F23">
        <v>0</v>
      </c>
      <c r="G23" t="s">
        <v>8</v>
      </c>
    </row>
    <row r="24" spans="1:7" x14ac:dyDescent="0.25">
      <c r="A24">
        <v>1988</v>
      </c>
      <c r="B24" t="s">
        <v>30</v>
      </c>
      <c r="C24">
        <v>7</v>
      </c>
      <c r="D24">
        <v>0</v>
      </c>
      <c r="E24">
        <v>0</v>
      </c>
      <c r="F24">
        <v>0</v>
      </c>
      <c r="G24" t="s">
        <v>8</v>
      </c>
    </row>
    <row r="25" spans="1:7" x14ac:dyDescent="0.25">
      <c r="A25">
        <v>1988</v>
      </c>
      <c r="B25" t="s">
        <v>31</v>
      </c>
      <c r="C25">
        <v>7</v>
      </c>
      <c r="D25">
        <v>0</v>
      </c>
      <c r="E25">
        <v>0</v>
      </c>
      <c r="F25">
        <v>0</v>
      </c>
      <c r="G25" t="s">
        <v>8</v>
      </c>
    </row>
    <row r="26" spans="1:7" x14ac:dyDescent="0.25">
      <c r="A26">
        <v>1988</v>
      </c>
      <c r="B26" t="s">
        <v>32</v>
      </c>
      <c r="C26">
        <v>8</v>
      </c>
      <c r="D26">
        <v>2</v>
      </c>
      <c r="E26">
        <v>0</v>
      </c>
      <c r="F26">
        <v>1</v>
      </c>
      <c r="G26" t="s">
        <v>8</v>
      </c>
    </row>
    <row r="27" spans="1:7" x14ac:dyDescent="0.25">
      <c r="A27">
        <v>1989</v>
      </c>
      <c r="B27" t="s">
        <v>33</v>
      </c>
      <c r="C27">
        <v>3</v>
      </c>
      <c r="D27">
        <v>0</v>
      </c>
      <c r="E27">
        <v>0</v>
      </c>
      <c r="F27">
        <v>0</v>
      </c>
      <c r="G27" t="s">
        <v>8</v>
      </c>
    </row>
    <row r="28" spans="1:7" x14ac:dyDescent="0.25">
      <c r="A28">
        <v>1989</v>
      </c>
      <c r="B28" t="s">
        <v>34</v>
      </c>
      <c r="C28">
        <v>4</v>
      </c>
      <c r="D28">
        <v>0</v>
      </c>
      <c r="E28">
        <v>0</v>
      </c>
      <c r="F28">
        <v>0</v>
      </c>
      <c r="G28" t="s">
        <v>8</v>
      </c>
    </row>
    <row r="29" spans="1:7" x14ac:dyDescent="0.25">
      <c r="A29">
        <v>1989</v>
      </c>
      <c r="B29" t="s">
        <v>35</v>
      </c>
      <c r="C29">
        <v>5</v>
      </c>
      <c r="D29">
        <v>0</v>
      </c>
      <c r="E29">
        <v>0</v>
      </c>
      <c r="F29">
        <v>0</v>
      </c>
      <c r="G29" t="s">
        <v>8</v>
      </c>
    </row>
    <row r="30" spans="1:7" x14ac:dyDescent="0.25">
      <c r="A30">
        <v>1989</v>
      </c>
      <c r="B30" t="s">
        <v>36</v>
      </c>
      <c r="C30">
        <v>9</v>
      </c>
      <c r="D30">
        <v>3</v>
      </c>
      <c r="E30">
        <v>0</v>
      </c>
      <c r="F30">
        <v>1</v>
      </c>
      <c r="G30" t="s">
        <v>8</v>
      </c>
    </row>
    <row r="31" spans="1:7" x14ac:dyDescent="0.25">
      <c r="A31">
        <v>1989</v>
      </c>
      <c r="B31" t="s">
        <v>37</v>
      </c>
      <c r="C31">
        <v>8</v>
      </c>
      <c r="D31">
        <v>4</v>
      </c>
      <c r="E31">
        <v>0</v>
      </c>
      <c r="F31">
        <v>0</v>
      </c>
      <c r="G31" t="s">
        <v>8</v>
      </c>
    </row>
    <row r="32" spans="1:7" x14ac:dyDescent="0.25">
      <c r="A32">
        <v>1990</v>
      </c>
      <c r="B32" t="s">
        <v>38</v>
      </c>
      <c r="C32">
        <v>3</v>
      </c>
      <c r="D32">
        <v>0</v>
      </c>
      <c r="E32">
        <v>0</v>
      </c>
      <c r="F32">
        <v>0</v>
      </c>
      <c r="G32" t="s">
        <v>8</v>
      </c>
    </row>
    <row r="33" spans="1:7" x14ac:dyDescent="0.25">
      <c r="A33">
        <v>1990</v>
      </c>
      <c r="B33" t="s">
        <v>39</v>
      </c>
      <c r="C33">
        <v>6</v>
      </c>
      <c r="D33">
        <v>0</v>
      </c>
      <c r="E33">
        <v>0</v>
      </c>
      <c r="F33">
        <v>0</v>
      </c>
      <c r="G33" t="s">
        <v>8</v>
      </c>
    </row>
    <row r="34" spans="1:7" x14ac:dyDescent="0.25">
      <c r="A34">
        <v>1990</v>
      </c>
      <c r="B34" t="s">
        <v>40</v>
      </c>
      <c r="C34">
        <v>7</v>
      </c>
      <c r="D34">
        <v>0</v>
      </c>
      <c r="E34">
        <v>0</v>
      </c>
      <c r="F34">
        <v>0</v>
      </c>
      <c r="G34" t="s">
        <v>8</v>
      </c>
    </row>
    <row r="35" spans="1:7" x14ac:dyDescent="0.25">
      <c r="A35">
        <v>1990</v>
      </c>
      <c r="B35" t="s">
        <v>41</v>
      </c>
      <c r="C35">
        <v>5</v>
      </c>
      <c r="D35">
        <v>1</v>
      </c>
      <c r="E35">
        <v>0</v>
      </c>
      <c r="F35">
        <v>0</v>
      </c>
      <c r="G35" t="s">
        <v>8</v>
      </c>
    </row>
    <row r="36" spans="1:7" x14ac:dyDescent="0.25">
      <c r="A36">
        <v>1990</v>
      </c>
      <c r="B36" t="s">
        <v>42</v>
      </c>
      <c r="C36">
        <v>12</v>
      </c>
      <c r="D36">
        <v>3</v>
      </c>
      <c r="E36">
        <v>0</v>
      </c>
      <c r="F36">
        <v>1</v>
      </c>
      <c r="G36" t="s">
        <v>8</v>
      </c>
    </row>
    <row r="37" spans="1:7" x14ac:dyDescent="0.25">
      <c r="A37">
        <v>1991</v>
      </c>
      <c r="B37" t="s">
        <v>43</v>
      </c>
      <c r="C37">
        <v>7</v>
      </c>
      <c r="D37">
        <v>1</v>
      </c>
      <c r="E37">
        <v>0</v>
      </c>
      <c r="F37">
        <v>1</v>
      </c>
      <c r="G37" t="s">
        <v>8</v>
      </c>
    </row>
    <row r="38" spans="1:7" x14ac:dyDescent="0.25">
      <c r="A38">
        <v>1991</v>
      </c>
      <c r="B38" t="s">
        <v>44</v>
      </c>
      <c r="C38">
        <v>7</v>
      </c>
      <c r="D38">
        <v>1</v>
      </c>
      <c r="E38">
        <v>0</v>
      </c>
      <c r="F38">
        <v>0</v>
      </c>
      <c r="G38" t="s">
        <v>8</v>
      </c>
    </row>
    <row r="39" spans="1:7" x14ac:dyDescent="0.25">
      <c r="A39">
        <v>1991</v>
      </c>
      <c r="B39" t="s">
        <v>45</v>
      </c>
      <c r="C39">
        <v>8</v>
      </c>
      <c r="D39">
        <v>1</v>
      </c>
      <c r="E39">
        <v>0</v>
      </c>
      <c r="F39">
        <v>0</v>
      </c>
      <c r="G39" t="s">
        <v>8</v>
      </c>
    </row>
    <row r="40" spans="1:7" x14ac:dyDescent="0.25">
      <c r="A40">
        <v>1991</v>
      </c>
      <c r="B40" t="s">
        <v>46</v>
      </c>
      <c r="C40">
        <v>10</v>
      </c>
      <c r="D40">
        <v>1</v>
      </c>
      <c r="E40">
        <v>0</v>
      </c>
      <c r="F40">
        <v>0</v>
      </c>
      <c r="G40" t="s">
        <v>8</v>
      </c>
    </row>
    <row r="41" spans="1:7" x14ac:dyDescent="0.25">
      <c r="A41">
        <v>1991</v>
      </c>
      <c r="B41" t="s">
        <v>47</v>
      </c>
      <c r="C41">
        <v>6</v>
      </c>
      <c r="D41">
        <v>3</v>
      </c>
      <c r="E41">
        <v>0</v>
      </c>
      <c r="F41">
        <v>0</v>
      </c>
      <c r="G41" t="s">
        <v>8</v>
      </c>
    </row>
    <row r="42" spans="1:7" x14ac:dyDescent="0.25">
      <c r="A42">
        <v>1992</v>
      </c>
      <c r="B42" t="s">
        <v>48</v>
      </c>
      <c r="C42">
        <v>4</v>
      </c>
      <c r="D42">
        <v>0</v>
      </c>
      <c r="E42">
        <v>0</v>
      </c>
      <c r="F42">
        <v>0</v>
      </c>
      <c r="G42" t="s">
        <v>8</v>
      </c>
    </row>
    <row r="43" spans="1:7" x14ac:dyDescent="0.25">
      <c r="A43">
        <v>1992</v>
      </c>
      <c r="B43" t="s">
        <v>49</v>
      </c>
      <c r="C43">
        <v>6</v>
      </c>
      <c r="D43">
        <v>0</v>
      </c>
      <c r="E43">
        <v>0</v>
      </c>
      <c r="F43">
        <v>0</v>
      </c>
      <c r="G43" t="s">
        <v>8</v>
      </c>
    </row>
    <row r="44" spans="1:7" x14ac:dyDescent="0.25">
      <c r="A44">
        <v>1992</v>
      </c>
      <c r="B44" t="s">
        <v>50</v>
      </c>
      <c r="C44">
        <v>4</v>
      </c>
      <c r="D44">
        <v>3</v>
      </c>
      <c r="E44">
        <v>0</v>
      </c>
      <c r="F44">
        <v>0</v>
      </c>
      <c r="G44" t="s">
        <v>8</v>
      </c>
    </row>
    <row r="45" spans="1:7" x14ac:dyDescent="0.25">
      <c r="A45">
        <v>1992</v>
      </c>
      <c r="B45" t="s">
        <v>51</v>
      </c>
      <c r="C45">
        <v>9</v>
      </c>
      <c r="D45">
        <v>1</v>
      </c>
      <c r="E45">
        <v>0</v>
      </c>
      <c r="F45">
        <v>0</v>
      </c>
      <c r="G45" t="s">
        <v>8</v>
      </c>
    </row>
    <row r="46" spans="1:7" x14ac:dyDescent="0.25">
      <c r="A46">
        <v>1992</v>
      </c>
      <c r="B46" t="s">
        <v>52</v>
      </c>
      <c r="C46">
        <v>9</v>
      </c>
      <c r="D46">
        <v>2</v>
      </c>
      <c r="E46">
        <v>0</v>
      </c>
      <c r="F46">
        <v>1</v>
      </c>
      <c r="G46" t="s">
        <v>8</v>
      </c>
    </row>
    <row r="47" spans="1:7" x14ac:dyDescent="0.25">
      <c r="A47">
        <v>1993</v>
      </c>
      <c r="B47" t="s">
        <v>53</v>
      </c>
      <c r="C47">
        <v>7</v>
      </c>
      <c r="D47">
        <v>0</v>
      </c>
      <c r="E47">
        <v>0</v>
      </c>
      <c r="F47">
        <v>0</v>
      </c>
      <c r="G47" t="s">
        <v>8</v>
      </c>
    </row>
    <row r="48" spans="1:7" x14ac:dyDescent="0.25">
      <c r="A48">
        <v>1993</v>
      </c>
      <c r="B48" t="s">
        <v>54</v>
      </c>
      <c r="C48">
        <v>8</v>
      </c>
      <c r="D48">
        <v>0</v>
      </c>
      <c r="E48">
        <v>0</v>
      </c>
      <c r="F48">
        <v>0</v>
      </c>
      <c r="G48" t="s">
        <v>8</v>
      </c>
    </row>
    <row r="49" spans="1:7" x14ac:dyDescent="0.25">
      <c r="A49">
        <v>1993</v>
      </c>
      <c r="B49" t="s">
        <v>55</v>
      </c>
      <c r="C49">
        <v>7</v>
      </c>
      <c r="D49">
        <v>1</v>
      </c>
      <c r="E49">
        <v>0</v>
      </c>
      <c r="F49">
        <v>0</v>
      </c>
      <c r="G49" t="s">
        <v>8</v>
      </c>
    </row>
    <row r="50" spans="1:7" x14ac:dyDescent="0.25">
      <c r="A50">
        <v>1993</v>
      </c>
      <c r="B50" t="s">
        <v>56</v>
      </c>
      <c r="C50">
        <v>8</v>
      </c>
      <c r="D50">
        <v>1</v>
      </c>
      <c r="E50">
        <v>0</v>
      </c>
      <c r="F50">
        <v>0</v>
      </c>
      <c r="G50" t="s">
        <v>8</v>
      </c>
    </row>
    <row r="51" spans="1:7" x14ac:dyDescent="0.25">
      <c r="A51">
        <v>1993</v>
      </c>
      <c r="B51" t="s">
        <v>57</v>
      </c>
      <c r="C51">
        <v>12</v>
      </c>
      <c r="D51">
        <v>3</v>
      </c>
      <c r="E51">
        <v>0</v>
      </c>
      <c r="F51">
        <v>1</v>
      </c>
      <c r="G51" t="s">
        <v>8</v>
      </c>
    </row>
    <row r="52" spans="1:7" x14ac:dyDescent="0.25">
      <c r="A52">
        <v>1994</v>
      </c>
      <c r="B52" t="s">
        <v>58</v>
      </c>
      <c r="C52">
        <v>4</v>
      </c>
      <c r="D52">
        <v>0</v>
      </c>
      <c r="E52">
        <v>0</v>
      </c>
      <c r="F52">
        <v>0</v>
      </c>
      <c r="G52" t="s">
        <v>8</v>
      </c>
    </row>
    <row r="53" spans="1:7" x14ac:dyDescent="0.25">
      <c r="A53">
        <v>1994</v>
      </c>
      <c r="B53" t="s">
        <v>59</v>
      </c>
      <c r="C53">
        <v>2</v>
      </c>
      <c r="D53">
        <v>1</v>
      </c>
      <c r="E53">
        <v>0</v>
      </c>
      <c r="F53">
        <v>0</v>
      </c>
      <c r="G53" t="s">
        <v>8</v>
      </c>
    </row>
    <row r="54" spans="1:7" x14ac:dyDescent="0.25">
      <c r="A54">
        <v>1994</v>
      </c>
      <c r="B54" t="s">
        <v>60</v>
      </c>
      <c r="C54">
        <v>7</v>
      </c>
      <c r="D54">
        <v>0</v>
      </c>
      <c r="E54">
        <v>0</v>
      </c>
      <c r="F54">
        <v>0</v>
      </c>
      <c r="G54" t="s">
        <v>8</v>
      </c>
    </row>
    <row r="55" spans="1:7" x14ac:dyDescent="0.25">
      <c r="A55">
        <v>1994</v>
      </c>
      <c r="B55" t="s">
        <v>61</v>
      </c>
      <c r="C55">
        <v>7</v>
      </c>
      <c r="D55">
        <v>1</v>
      </c>
      <c r="E55">
        <v>0</v>
      </c>
      <c r="F55">
        <v>0</v>
      </c>
      <c r="G55" t="s">
        <v>8</v>
      </c>
    </row>
    <row r="56" spans="1:7" x14ac:dyDescent="0.25">
      <c r="A56">
        <v>1994</v>
      </c>
      <c r="B56" t="s">
        <v>62</v>
      </c>
      <c r="C56">
        <v>13</v>
      </c>
      <c r="D56">
        <v>3</v>
      </c>
      <c r="E56">
        <v>0</v>
      </c>
      <c r="F56">
        <v>1</v>
      </c>
      <c r="G56" t="s">
        <v>8</v>
      </c>
    </row>
    <row r="57" spans="1:7" x14ac:dyDescent="0.25">
      <c r="A57">
        <v>1995</v>
      </c>
      <c r="B57" t="s">
        <v>63</v>
      </c>
      <c r="C57">
        <v>7</v>
      </c>
      <c r="D57">
        <v>1</v>
      </c>
      <c r="E57">
        <v>1</v>
      </c>
      <c r="F57">
        <v>0</v>
      </c>
      <c r="G57" t="s">
        <v>8</v>
      </c>
    </row>
    <row r="58" spans="1:7" x14ac:dyDescent="0.25">
      <c r="A58">
        <v>1995</v>
      </c>
      <c r="B58" t="s">
        <v>64</v>
      </c>
      <c r="C58">
        <v>5</v>
      </c>
      <c r="D58">
        <v>0</v>
      </c>
      <c r="E58">
        <v>1</v>
      </c>
      <c r="F58">
        <v>0</v>
      </c>
      <c r="G58" t="s">
        <v>8</v>
      </c>
    </row>
    <row r="59" spans="1:7" x14ac:dyDescent="0.25">
      <c r="A59">
        <v>1995</v>
      </c>
      <c r="B59" t="s">
        <v>65</v>
      </c>
      <c r="C59">
        <v>9</v>
      </c>
      <c r="D59">
        <v>0</v>
      </c>
      <c r="E59">
        <v>0</v>
      </c>
      <c r="F59">
        <v>0</v>
      </c>
      <c r="G59" t="s">
        <v>8</v>
      </c>
    </row>
    <row r="60" spans="1:7" x14ac:dyDescent="0.25">
      <c r="A60">
        <v>1995</v>
      </c>
      <c r="B60" t="s">
        <v>66</v>
      </c>
      <c r="C60">
        <v>7</v>
      </c>
      <c r="D60">
        <v>2</v>
      </c>
      <c r="E60">
        <v>0</v>
      </c>
      <c r="F60">
        <v>0</v>
      </c>
      <c r="G60" t="s">
        <v>8</v>
      </c>
    </row>
    <row r="61" spans="1:7" x14ac:dyDescent="0.25">
      <c r="A61">
        <v>1995</v>
      </c>
      <c r="B61" t="s">
        <v>67</v>
      </c>
      <c r="C61">
        <v>10</v>
      </c>
      <c r="D61">
        <v>1</v>
      </c>
      <c r="E61">
        <v>0</v>
      </c>
      <c r="F61">
        <v>1</v>
      </c>
      <c r="G61" t="s">
        <v>8</v>
      </c>
    </row>
    <row r="62" spans="1:7" x14ac:dyDescent="0.25">
      <c r="A62">
        <v>1996</v>
      </c>
      <c r="B62" t="s">
        <v>68</v>
      </c>
      <c r="C62">
        <v>7</v>
      </c>
      <c r="D62">
        <v>0</v>
      </c>
      <c r="E62">
        <v>0</v>
      </c>
      <c r="F62">
        <v>0</v>
      </c>
      <c r="G62" t="s">
        <v>8</v>
      </c>
    </row>
    <row r="63" spans="1:7" x14ac:dyDescent="0.25">
      <c r="A63">
        <v>1996</v>
      </c>
      <c r="B63" t="s">
        <v>69</v>
      </c>
      <c r="C63">
        <v>5</v>
      </c>
      <c r="D63">
        <v>1</v>
      </c>
      <c r="E63">
        <v>0</v>
      </c>
      <c r="F63">
        <v>0</v>
      </c>
      <c r="G63" t="s">
        <v>8</v>
      </c>
    </row>
    <row r="64" spans="1:7" x14ac:dyDescent="0.25">
      <c r="A64">
        <v>1996</v>
      </c>
      <c r="B64" t="s">
        <v>70</v>
      </c>
      <c r="C64">
        <v>5</v>
      </c>
      <c r="D64">
        <v>1</v>
      </c>
      <c r="E64">
        <v>0</v>
      </c>
      <c r="F64">
        <v>0</v>
      </c>
      <c r="G64" t="s">
        <v>8</v>
      </c>
    </row>
    <row r="65" spans="1:7" x14ac:dyDescent="0.25">
      <c r="A65">
        <v>1996</v>
      </c>
      <c r="B65" t="s">
        <v>71</v>
      </c>
      <c r="C65">
        <v>7</v>
      </c>
      <c r="D65">
        <v>1</v>
      </c>
      <c r="E65">
        <v>0</v>
      </c>
      <c r="F65">
        <v>0</v>
      </c>
      <c r="G65" t="s">
        <v>8</v>
      </c>
    </row>
    <row r="66" spans="1:7" x14ac:dyDescent="0.25">
      <c r="A66">
        <v>1996</v>
      </c>
      <c r="B66" t="s">
        <v>72</v>
      </c>
      <c r="C66">
        <v>12</v>
      </c>
      <c r="D66">
        <v>2</v>
      </c>
      <c r="E66">
        <v>0</v>
      </c>
      <c r="F66">
        <v>1</v>
      </c>
      <c r="G66" t="s">
        <v>8</v>
      </c>
    </row>
    <row r="67" spans="1:7" x14ac:dyDescent="0.25">
      <c r="A67">
        <v>1997</v>
      </c>
      <c r="B67" t="s">
        <v>73</v>
      </c>
      <c r="C67">
        <v>4</v>
      </c>
      <c r="D67">
        <v>0</v>
      </c>
      <c r="E67">
        <v>1</v>
      </c>
      <c r="F67">
        <v>0</v>
      </c>
      <c r="G67" t="s">
        <v>8</v>
      </c>
    </row>
    <row r="68" spans="1:7" x14ac:dyDescent="0.25">
      <c r="A68">
        <v>1997</v>
      </c>
      <c r="B68" t="s">
        <v>74</v>
      </c>
      <c r="C68">
        <v>7</v>
      </c>
      <c r="D68">
        <v>3</v>
      </c>
      <c r="E68">
        <v>1</v>
      </c>
      <c r="F68">
        <v>0</v>
      </c>
      <c r="G68" t="s">
        <v>8</v>
      </c>
    </row>
    <row r="69" spans="1:7" x14ac:dyDescent="0.25">
      <c r="A69">
        <v>1997</v>
      </c>
      <c r="B69" t="s">
        <v>75</v>
      </c>
      <c r="C69">
        <v>9</v>
      </c>
      <c r="D69">
        <v>1</v>
      </c>
      <c r="E69">
        <v>0</v>
      </c>
      <c r="F69">
        <v>0</v>
      </c>
      <c r="G69" t="s">
        <v>8</v>
      </c>
    </row>
    <row r="70" spans="1:7" x14ac:dyDescent="0.25">
      <c r="A70">
        <v>1997</v>
      </c>
      <c r="B70" t="s">
        <v>76</v>
      </c>
      <c r="C70">
        <v>9</v>
      </c>
      <c r="D70">
        <v>1</v>
      </c>
      <c r="E70">
        <v>0</v>
      </c>
      <c r="F70">
        <v>0</v>
      </c>
      <c r="G70" t="s">
        <v>8</v>
      </c>
    </row>
    <row r="71" spans="1:7" x14ac:dyDescent="0.25">
      <c r="A71">
        <v>1997</v>
      </c>
      <c r="B71" t="s">
        <v>77</v>
      </c>
      <c r="C71">
        <v>14</v>
      </c>
      <c r="D71">
        <v>4</v>
      </c>
      <c r="E71">
        <v>0</v>
      </c>
      <c r="F71">
        <v>1</v>
      </c>
      <c r="G71" t="s">
        <v>8</v>
      </c>
    </row>
    <row r="72" spans="1:7" x14ac:dyDescent="0.25">
      <c r="A72">
        <v>1998</v>
      </c>
      <c r="B72" t="s">
        <v>78</v>
      </c>
      <c r="C72">
        <v>7</v>
      </c>
      <c r="D72">
        <v>0</v>
      </c>
      <c r="E72">
        <v>0</v>
      </c>
      <c r="F72">
        <v>0</v>
      </c>
      <c r="G72" t="s">
        <v>8</v>
      </c>
    </row>
    <row r="73" spans="1:7" x14ac:dyDescent="0.25">
      <c r="A73">
        <v>1998</v>
      </c>
      <c r="B73" t="s">
        <v>79</v>
      </c>
      <c r="C73">
        <v>7</v>
      </c>
      <c r="D73">
        <v>0</v>
      </c>
      <c r="E73">
        <v>0</v>
      </c>
      <c r="F73">
        <v>0</v>
      </c>
      <c r="G73" t="s">
        <v>8</v>
      </c>
    </row>
    <row r="74" spans="1:7" x14ac:dyDescent="0.25">
      <c r="A74">
        <v>1998</v>
      </c>
      <c r="B74" t="s">
        <v>80</v>
      </c>
      <c r="C74">
        <v>7</v>
      </c>
      <c r="D74">
        <v>1</v>
      </c>
      <c r="E74">
        <v>0</v>
      </c>
      <c r="F74">
        <v>0</v>
      </c>
      <c r="G74" t="s">
        <v>8</v>
      </c>
    </row>
    <row r="75" spans="1:7" x14ac:dyDescent="0.25">
      <c r="A75">
        <v>1998</v>
      </c>
      <c r="B75" t="s">
        <v>81</v>
      </c>
      <c r="C75">
        <v>11</v>
      </c>
      <c r="D75">
        <v>2</v>
      </c>
      <c r="E75">
        <v>0</v>
      </c>
      <c r="F75">
        <v>0</v>
      </c>
      <c r="G75" t="s">
        <v>8</v>
      </c>
    </row>
    <row r="76" spans="1:7" x14ac:dyDescent="0.25">
      <c r="A76">
        <v>1998</v>
      </c>
      <c r="B76" t="s">
        <v>82</v>
      </c>
      <c r="C76">
        <v>13</v>
      </c>
      <c r="D76">
        <v>3</v>
      </c>
      <c r="E76">
        <v>0</v>
      </c>
      <c r="F76">
        <v>1</v>
      </c>
      <c r="G76" t="s">
        <v>8</v>
      </c>
    </row>
    <row r="77" spans="1:7" x14ac:dyDescent="0.25">
      <c r="A77">
        <v>1999</v>
      </c>
      <c r="B77" t="s">
        <v>83</v>
      </c>
      <c r="C77">
        <v>4</v>
      </c>
      <c r="D77">
        <v>0</v>
      </c>
      <c r="E77">
        <v>0</v>
      </c>
      <c r="F77">
        <v>0</v>
      </c>
      <c r="G77" t="s">
        <v>8</v>
      </c>
    </row>
    <row r="78" spans="1:7" x14ac:dyDescent="0.25">
      <c r="A78">
        <v>1999</v>
      </c>
      <c r="B78" t="s">
        <v>84</v>
      </c>
      <c r="C78">
        <v>6</v>
      </c>
      <c r="D78">
        <v>0</v>
      </c>
      <c r="E78">
        <v>0</v>
      </c>
      <c r="F78">
        <v>0</v>
      </c>
      <c r="G78" t="s">
        <v>8</v>
      </c>
    </row>
    <row r="79" spans="1:7" x14ac:dyDescent="0.25">
      <c r="A79">
        <v>1999</v>
      </c>
      <c r="B79" t="s">
        <v>85</v>
      </c>
      <c r="C79">
        <v>7</v>
      </c>
      <c r="D79">
        <v>0</v>
      </c>
      <c r="E79">
        <v>0</v>
      </c>
      <c r="F79">
        <v>0</v>
      </c>
      <c r="G79" t="s">
        <v>8</v>
      </c>
    </row>
    <row r="80" spans="1:7" x14ac:dyDescent="0.25">
      <c r="A80">
        <v>1999</v>
      </c>
      <c r="B80" t="s">
        <v>86</v>
      </c>
      <c r="C80">
        <v>7</v>
      </c>
      <c r="D80">
        <v>0</v>
      </c>
      <c r="E80">
        <v>0</v>
      </c>
      <c r="F80">
        <v>0</v>
      </c>
      <c r="G80" t="s">
        <v>8</v>
      </c>
    </row>
    <row r="81" spans="1:7" x14ac:dyDescent="0.25">
      <c r="A81">
        <v>1999</v>
      </c>
      <c r="B81" t="s">
        <v>87</v>
      </c>
      <c r="C81">
        <v>8</v>
      </c>
      <c r="D81">
        <v>3</v>
      </c>
      <c r="E81">
        <v>0</v>
      </c>
      <c r="F81">
        <v>1</v>
      </c>
      <c r="G81" t="s">
        <v>8</v>
      </c>
    </row>
    <row r="82" spans="1:7" x14ac:dyDescent="0.25">
      <c r="A82">
        <v>2000</v>
      </c>
      <c r="B82" t="s">
        <v>88</v>
      </c>
      <c r="C82">
        <v>5</v>
      </c>
      <c r="D82">
        <v>0</v>
      </c>
      <c r="E82">
        <v>1</v>
      </c>
      <c r="F82">
        <v>0</v>
      </c>
      <c r="G82" t="s">
        <v>8</v>
      </c>
    </row>
    <row r="83" spans="1:7" x14ac:dyDescent="0.25">
      <c r="A83">
        <v>2000</v>
      </c>
      <c r="B83" t="s">
        <v>89</v>
      </c>
      <c r="C83">
        <v>5</v>
      </c>
      <c r="D83">
        <v>1</v>
      </c>
      <c r="E83">
        <v>0</v>
      </c>
      <c r="F83">
        <v>0</v>
      </c>
      <c r="G83" t="s">
        <v>8</v>
      </c>
    </row>
    <row r="84" spans="1:7" x14ac:dyDescent="0.25">
      <c r="A84">
        <v>2000</v>
      </c>
      <c r="B84" t="s">
        <v>90</v>
      </c>
      <c r="C84">
        <v>5</v>
      </c>
      <c r="D84">
        <v>2</v>
      </c>
      <c r="E84">
        <v>0</v>
      </c>
      <c r="F84">
        <v>0</v>
      </c>
      <c r="G84" t="s">
        <v>8</v>
      </c>
    </row>
    <row r="85" spans="1:7" x14ac:dyDescent="0.25">
      <c r="A85">
        <v>2000</v>
      </c>
      <c r="B85" t="s">
        <v>91</v>
      </c>
      <c r="C85">
        <v>10</v>
      </c>
      <c r="D85">
        <v>2</v>
      </c>
      <c r="E85">
        <v>0</v>
      </c>
      <c r="F85">
        <v>0</v>
      </c>
      <c r="G85" t="s">
        <v>8</v>
      </c>
    </row>
    <row r="86" spans="1:7" x14ac:dyDescent="0.25">
      <c r="A86">
        <v>2000</v>
      </c>
      <c r="B86" t="s">
        <v>92</v>
      </c>
      <c r="C86">
        <v>12</v>
      </c>
      <c r="D86">
        <v>2</v>
      </c>
      <c r="E86">
        <v>0</v>
      </c>
      <c r="F86">
        <v>1</v>
      </c>
      <c r="G86" t="s">
        <v>8</v>
      </c>
    </row>
    <row r="87" spans="1:7" x14ac:dyDescent="0.25">
      <c r="A87">
        <v>2001</v>
      </c>
      <c r="B87" t="s">
        <v>93</v>
      </c>
      <c r="C87">
        <v>5</v>
      </c>
      <c r="D87">
        <v>1</v>
      </c>
      <c r="E87">
        <v>0</v>
      </c>
      <c r="F87">
        <v>0</v>
      </c>
      <c r="G87" t="s">
        <v>8</v>
      </c>
    </row>
    <row r="88" spans="1:7" x14ac:dyDescent="0.25">
      <c r="A88">
        <v>2001</v>
      </c>
      <c r="B88" t="s">
        <v>94</v>
      </c>
      <c r="C88">
        <v>7</v>
      </c>
      <c r="D88">
        <v>1</v>
      </c>
      <c r="E88">
        <v>0</v>
      </c>
      <c r="F88">
        <v>0</v>
      </c>
      <c r="G88" t="s">
        <v>8</v>
      </c>
    </row>
    <row r="89" spans="1:7" x14ac:dyDescent="0.25">
      <c r="A89">
        <v>2001</v>
      </c>
      <c r="B89" t="s">
        <v>95</v>
      </c>
      <c r="C89">
        <v>13</v>
      </c>
      <c r="D89">
        <v>0</v>
      </c>
      <c r="E89">
        <v>0</v>
      </c>
      <c r="F89">
        <v>0</v>
      </c>
      <c r="G89" t="s">
        <v>8</v>
      </c>
    </row>
    <row r="90" spans="1:7" x14ac:dyDescent="0.25">
      <c r="A90">
        <v>2001</v>
      </c>
      <c r="B90" t="s">
        <v>96</v>
      </c>
      <c r="C90">
        <v>8</v>
      </c>
      <c r="D90">
        <v>3</v>
      </c>
      <c r="E90">
        <v>0</v>
      </c>
      <c r="F90">
        <v>0</v>
      </c>
      <c r="G90" t="s">
        <v>8</v>
      </c>
    </row>
    <row r="91" spans="1:7" x14ac:dyDescent="0.25">
      <c r="A91">
        <v>2001</v>
      </c>
      <c r="B91" t="s">
        <v>97</v>
      </c>
      <c r="C91">
        <v>8</v>
      </c>
      <c r="D91">
        <v>4</v>
      </c>
      <c r="E91">
        <v>0</v>
      </c>
      <c r="F91">
        <v>1</v>
      </c>
      <c r="G91" t="s">
        <v>8</v>
      </c>
    </row>
    <row r="92" spans="1:7" x14ac:dyDescent="0.25">
      <c r="A92">
        <v>2002</v>
      </c>
      <c r="B92" t="s">
        <v>98</v>
      </c>
      <c r="C92">
        <v>6</v>
      </c>
      <c r="D92">
        <v>0</v>
      </c>
      <c r="E92">
        <v>0</v>
      </c>
      <c r="F92">
        <v>0</v>
      </c>
      <c r="G92" t="s">
        <v>8</v>
      </c>
    </row>
    <row r="93" spans="1:7" x14ac:dyDescent="0.25">
      <c r="A93">
        <v>2002</v>
      </c>
      <c r="B93" t="s">
        <v>99</v>
      </c>
      <c r="C93">
        <v>7</v>
      </c>
      <c r="D93">
        <v>0</v>
      </c>
      <c r="E93">
        <v>0</v>
      </c>
      <c r="F93">
        <v>0</v>
      </c>
      <c r="G93" t="s">
        <v>8</v>
      </c>
    </row>
    <row r="94" spans="1:7" x14ac:dyDescent="0.25">
      <c r="A94">
        <v>2002</v>
      </c>
      <c r="B94" t="s">
        <v>100</v>
      </c>
      <c r="C94">
        <v>9</v>
      </c>
      <c r="D94">
        <v>2</v>
      </c>
      <c r="E94">
        <v>0</v>
      </c>
      <c r="F94">
        <v>0</v>
      </c>
      <c r="G94" t="s">
        <v>8</v>
      </c>
    </row>
    <row r="95" spans="1:7" x14ac:dyDescent="0.25">
      <c r="A95">
        <v>2002</v>
      </c>
      <c r="B95" t="s">
        <v>101</v>
      </c>
      <c r="C95">
        <v>10</v>
      </c>
      <c r="D95">
        <v>2</v>
      </c>
      <c r="E95">
        <v>0</v>
      </c>
      <c r="F95">
        <v>0</v>
      </c>
      <c r="G95" t="s">
        <v>8</v>
      </c>
    </row>
    <row r="96" spans="1:7" x14ac:dyDescent="0.25">
      <c r="A96">
        <v>2002</v>
      </c>
      <c r="B96" t="s">
        <v>102</v>
      </c>
      <c r="C96">
        <v>13</v>
      </c>
      <c r="D96">
        <v>3</v>
      </c>
      <c r="E96">
        <v>0</v>
      </c>
      <c r="F96">
        <v>1</v>
      </c>
      <c r="G96" t="s">
        <v>8</v>
      </c>
    </row>
    <row r="97" spans="1:7" x14ac:dyDescent="0.25">
      <c r="A97">
        <v>2003</v>
      </c>
      <c r="B97" t="s">
        <v>103</v>
      </c>
      <c r="C97">
        <v>7</v>
      </c>
      <c r="D97">
        <v>0</v>
      </c>
      <c r="E97">
        <v>0</v>
      </c>
      <c r="F97">
        <v>0</v>
      </c>
      <c r="G97" t="s">
        <v>8</v>
      </c>
    </row>
    <row r="98" spans="1:7" x14ac:dyDescent="0.25">
      <c r="A98">
        <v>2003</v>
      </c>
      <c r="B98" t="s">
        <v>104</v>
      </c>
      <c r="C98">
        <v>10</v>
      </c>
      <c r="D98">
        <v>0</v>
      </c>
      <c r="E98">
        <v>0</v>
      </c>
      <c r="F98">
        <v>0</v>
      </c>
      <c r="G98" t="s">
        <v>8</v>
      </c>
    </row>
    <row r="99" spans="1:7" x14ac:dyDescent="0.25">
      <c r="A99">
        <v>2003</v>
      </c>
      <c r="B99" t="s">
        <v>105</v>
      </c>
      <c r="C99">
        <v>6</v>
      </c>
      <c r="D99">
        <v>2</v>
      </c>
      <c r="E99">
        <v>0</v>
      </c>
      <c r="F99">
        <v>0</v>
      </c>
      <c r="G99" t="s">
        <v>8</v>
      </c>
    </row>
    <row r="100" spans="1:7" x14ac:dyDescent="0.25">
      <c r="A100">
        <v>2003</v>
      </c>
      <c r="B100" t="s">
        <v>106</v>
      </c>
      <c r="C100">
        <v>4</v>
      </c>
      <c r="D100">
        <v>3</v>
      </c>
      <c r="E100">
        <v>0</v>
      </c>
      <c r="F100">
        <v>0</v>
      </c>
      <c r="G100" t="s">
        <v>8</v>
      </c>
    </row>
    <row r="101" spans="1:7" x14ac:dyDescent="0.25">
      <c r="A101">
        <v>2003</v>
      </c>
      <c r="B101" t="s">
        <v>107</v>
      </c>
      <c r="C101">
        <v>11</v>
      </c>
      <c r="D101">
        <v>4</v>
      </c>
      <c r="E101">
        <v>0</v>
      </c>
      <c r="F101">
        <v>1</v>
      </c>
      <c r="G101" t="s">
        <v>8</v>
      </c>
    </row>
    <row r="102" spans="1:7" x14ac:dyDescent="0.25">
      <c r="A102">
        <v>2004</v>
      </c>
      <c r="B102" t="s">
        <v>108</v>
      </c>
      <c r="C102">
        <v>5</v>
      </c>
      <c r="D102">
        <v>2</v>
      </c>
      <c r="E102">
        <v>1</v>
      </c>
      <c r="F102">
        <v>0</v>
      </c>
      <c r="G102" t="s">
        <v>8</v>
      </c>
    </row>
    <row r="103" spans="1:7" x14ac:dyDescent="0.25">
      <c r="A103">
        <v>2004</v>
      </c>
      <c r="B103" t="s">
        <v>109</v>
      </c>
      <c r="C103">
        <v>7</v>
      </c>
      <c r="D103">
        <v>0</v>
      </c>
      <c r="E103">
        <v>0</v>
      </c>
      <c r="F103">
        <v>0</v>
      </c>
      <c r="G103" t="s">
        <v>8</v>
      </c>
    </row>
    <row r="104" spans="1:7" x14ac:dyDescent="0.25">
      <c r="A104">
        <v>2004</v>
      </c>
      <c r="B104" t="s">
        <v>110</v>
      </c>
      <c r="C104">
        <v>6</v>
      </c>
      <c r="D104">
        <v>1</v>
      </c>
      <c r="E104">
        <v>0</v>
      </c>
      <c r="F104">
        <v>0</v>
      </c>
      <c r="G104" t="s">
        <v>8</v>
      </c>
    </row>
    <row r="105" spans="1:7" x14ac:dyDescent="0.25">
      <c r="A105">
        <v>2004</v>
      </c>
      <c r="B105" t="s">
        <v>111</v>
      </c>
      <c r="C105">
        <v>7</v>
      </c>
      <c r="D105">
        <v>2</v>
      </c>
      <c r="E105">
        <v>0</v>
      </c>
      <c r="F105">
        <v>1</v>
      </c>
      <c r="G105" t="s">
        <v>8</v>
      </c>
    </row>
    <row r="106" spans="1:7" x14ac:dyDescent="0.25">
      <c r="A106">
        <v>2004</v>
      </c>
      <c r="B106" t="s">
        <v>112</v>
      </c>
      <c r="C106">
        <v>11</v>
      </c>
      <c r="D106">
        <v>3</v>
      </c>
      <c r="E106">
        <v>0</v>
      </c>
      <c r="F106">
        <v>0</v>
      </c>
      <c r="G106" t="s">
        <v>8</v>
      </c>
    </row>
    <row r="107" spans="1:7" x14ac:dyDescent="0.25">
      <c r="A107">
        <v>2005</v>
      </c>
      <c r="B107" t="s">
        <v>113</v>
      </c>
      <c r="C107">
        <v>6</v>
      </c>
      <c r="D107">
        <v>0</v>
      </c>
      <c r="E107">
        <v>0</v>
      </c>
      <c r="F107">
        <v>1</v>
      </c>
      <c r="G107" t="s">
        <v>114</v>
      </c>
    </row>
    <row r="108" spans="1:7" x14ac:dyDescent="0.25">
      <c r="A108">
        <v>2005</v>
      </c>
      <c r="B108" t="s">
        <v>115</v>
      </c>
      <c r="C108">
        <v>8</v>
      </c>
      <c r="D108">
        <v>4</v>
      </c>
      <c r="E108">
        <v>0</v>
      </c>
      <c r="F108">
        <v>0</v>
      </c>
      <c r="G108" t="s">
        <v>114</v>
      </c>
    </row>
    <row r="109" spans="1:7" x14ac:dyDescent="0.25">
      <c r="A109">
        <v>2005</v>
      </c>
      <c r="B109" t="s">
        <v>116</v>
      </c>
      <c r="C109">
        <v>5</v>
      </c>
      <c r="D109">
        <v>1</v>
      </c>
      <c r="E109">
        <v>0</v>
      </c>
      <c r="F109">
        <v>0</v>
      </c>
      <c r="G109" t="s">
        <v>114</v>
      </c>
    </row>
    <row r="110" spans="1:7" x14ac:dyDescent="0.25">
      <c r="A110">
        <v>2005</v>
      </c>
      <c r="B110" t="s">
        <v>117</v>
      </c>
      <c r="C110">
        <v>6</v>
      </c>
      <c r="D110">
        <v>0</v>
      </c>
      <c r="E110">
        <v>0</v>
      </c>
      <c r="F110">
        <v>0</v>
      </c>
      <c r="G110" t="s">
        <v>114</v>
      </c>
    </row>
    <row r="111" spans="1:7" x14ac:dyDescent="0.25">
      <c r="A111">
        <v>2005</v>
      </c>
      <c r="B111" t="s">
        <v>118</v>
      </c>
      <c r="C111">
        <v>5</v>
      </c>
      <c r="D111">
        <v>0</v>
      </c>
      <c r="E111">
        <v>0</v>
      </c>
      <c r="F111">
        <v>0</v>
      </c>
      <c r="G111" t="s">
        <v>114</v>
      </c>
    </row>
    <row r="112" spans="1:7" x14ac:dyDescent="0.25">
      <c r="A112">
        <v>2006</v>
      </c>
      <c r="B112" t="s">
        <v>119</v>
      </c>
      <c r="C112">
        <v>7</v>
      </c>
      <c r="D112">
        <v>1</v>
      </c>
      <c r="E112">
        <v>0</v>
      </c>
      <c r="F112">
        <v>0</v>
      </c>
      <c r="G112" t="s">
        <v>114</v>
      </c>
    </row>
    <row r="113" spans="1:7" x14ac:dyDescent="0.25">
      <c r="A113">
        <v>2006</v>
      </c>
      <c r="B113" t="s">
        <v>120</v>
      </c>
      <c r="C113">
        <v>5</v>
      </c>
      <c r="D113">
        <v>1</v>
      </c>
      <c r="E113">
        <v>0</v>
      </c>
      <c r="F113">
        <v>1</v>
      </c>
      <c r="G113" t="s">
        <v>114</v>
      </c>
    </row>
    <row r="114" spans="1:7" x14ac:dyDescent="0.25">
      <c r="A114">
        <v>2006</v>
      </c>
      <c r="B114" t="s">
        <v>121</v>
      </c>
      <c r="C114">
        <v>4</v>
      </c>
      <c r="D114">
        <v>1</v>
      </c>
      <c r="E114">
        <v>0</v>
      </c>
      <c r="F114">
        <v>0</v>
      </c>
      <c r="G114" t="s">
        <v>114</v>
      </c>
    </row>
    <row r="115" spans="1:7" x14ac:dyDescent="0.25">
      <c r="A115">
        <v>2006</v>
      </c>
      <c r="B115" t="s">
        <v>122</v>
      </c>
      <c r="C115">
        <v>4</v>
      </c>
      <c r="D115">
        <v>0</v>
      </c>
      <c r="E115">
        <v>1</v>
      </c>
      <c r="F115">
        <v>0</v>
      </c>
      <c r="G115" t="s">
        <v>114</v>
      </c>
    </row>
    <row r="116" spans="1:7" x14ac:dyDescent="0.25">
      <c r="A116">
        <v>2006</v>
      </c>
      <c r="B116" t="s">
        <v>123</v>
      </c>
      <c r="C116">
        <v>6</v>
      </c>
      <c r="D116">
        <v>2</v>
      </c>
      <c r="E116">
        <v>0</v>
      </c>
      <c r="F116">
        <v>0</v>
      </c>
      <c r="G116" t="s">
        <v>114</v>
      </c>
    </row>
    <row r="117" spans="1:7" x14ac:dyDescent="0.25">
      <c r="A117">
        <v>2007</v>
      </c>
      <c r="B117" t="s">
        <v>124</v>
      </c>
      <c r="C117">
        <v>7</v>
      </c>
      <c r="D117">
        <v>2</v>
      </c>
      <c r="E117">
        <v>0</v>
      </c>
      <c r="F117">
        <v>0</v>
      </c>
      <c r="G117" t="s">
        <v>114</v>
      </c>
    </row>
    <row r="118" spans="1:7" x14ac:dyDescent="0.25">
      <c r="A118">
        <v>2007</v>
      </c>
      <c r="B118" t="s">
        <v>125</v>
      </c>
      <c r="C118">
        <v>4</v>
      </c>
      <c r="D118">
        <v>0</v>
      </c>
      <c r="E118">
        <v>1</v>
      </c>
      <c r="F118">
        <v>0</v>
      </c>
      <c r="G118" t="s">
        <v>114</v>
      </c>
    </row>
    <row r="119" spans="1:7" x14ac:dyDescent="0.25">
      <c r="A119">
        <v>2007</v>
      </c>
      <c r="B119" t="s">
        <v>126</v>
      </c>
      <c r="C119">
        <v>7</v>
      </c>
      <c r="D119">
        <v>0</v>
      </c>
      <c r="E119">
        <v>0</v>
      </c>
      <c r="F119">
        <v>0</v>
      </c>
      <c r="G119" t="s">
        <v>114</v>
      </c>
    </row>
    <row r="120" spans="1:7" x14ac:dyDescent="0.25">
      <c r="A120">
        <v>2007</v>
      </c>
      <c r="B120" t="s">
        <v>127</v>
      </c>
      <c r="C120">
        <v>8</v>
      </c>
      <c r="D120">
        <v>1</v>
      </c>
      <c r="E120">
        <v>0</v>
      </c>
      <c r="F120">
        <v>0</v>
      </c>
      <c r="G120" t="s">
        <v>114</v>
      </c>
    </row>
    <row r="121" spans="1:7" x14ac:dyDescent="0.25">
      <c r="A121">
        <v>2007</v>
      </c>
      <c r="B121" t="s">
        <v>128</v>
      </c>
      <c r="C121">
        <v>8</v>
      </c>
      <c r="D121">
        <v>2</v>
      </c>
      <c r="E121">
        <v>0</v>
      </c>
      <c r="F121">
        <v>1</v>
      </c>
      <c r="G121" t="s">
        <v>114</v>
      </c>
    </row>
    <row r="122" spans="1:7" x14ac:dyDescent="0.25">
      <c r="A122">
        <v>2008</v>
      </c>
      <c r="B122" t="s">
        <v>129</v>
      </c>
      <c r="C122">
        <v>13</v>
      </c>
      <c r="D122">
        <v>0</v>
      </c>
      <c r="E122">
        <v>0</v>
      </c>
      <c r="F122">
        <v>0</v>
      </c>
      <c r="G122" t="s">
        <v>114</v>
      </c>
    </row>
    <row r="123" spans="1:7" x14ac:dyDescent="0.25">
      <c r="A123">
        <v>2008</v>
      </c>
      <c r="B123" t="s">
        <v>130</v>
      </c>
      <c r="C123">
        <v>5</v>
      </c>
      <c r="D123">
        <v>0</v>
      </c>
      <c r="E123">
        <v>0</v>
      </c>
      <c r="F123">
        <v>0</v>
      </c>
      <c r="G123" t="s">
        <v>114</v>
      </c>
    </row>
    <row r="124" spans="1:7" x14ac:dyDescent="0.25">
      <c r="A124">
        <v>2008</v>
      </c>
      <c r="B124" t="s">
        <v>131</v>
      </c>
      <c r="C124">
        <v>8</v>
      </c>
      <c r="D124">
        <v>0</v>
      </c>
      <c r="E124">
        <v>0</v>
      </c>
      <c r="F124">
        <v>0</v>
      </c>
      <c r="G124" t="s">
        <v>114</v>
      </c>
    </row>
    <row r="125" spans="1:7" x14ac:dyDescent="0.25">
      <c r="A125">
        <v>2008</v>
      </c>
      <c r="B125" t="s">
        <v>132</v>
      </c>
      <c r="C125">
        <v>5</v>
      </c>
      <c r="D125">
        <v>1</v>
      </c>
      <c r="E125">
        <v>0</v>
      </c>
      <c r="F125">
        <v>0</v>
      </c>
      <c r="G125" t="s">
        <v>114</v>
      </c>
    </row>
    <row r="126" spans="1:7" x14ac:dyDescent="0.25">
      <c r="A126">
        <v>2008</v>
      </c>
      <c r="B126" t="s">
        <v>133</v>
      </c>
      <c r="C126">
        <v>10</v>
      </c>
      <c r="D126">
        <v>4</v>
      </c>
      <c r="E126">
        <v>0</v>
      </c>
      <c r="F126">
        <v>1</v>
      </c>
      <c r="G126" t="s">
        <v>114</v>
      </c>
    </row>
    <row r="127" spans="1:7" x14ac:dyDescent="0.25">
      <c r="A127">
        <v>2009</v>
      </c>
      <c r="B127" t="s">
        <v>134</v>
      </c>
      <c r="C127">
        <v>9</v>
      </c>
      <c r="D127">
        <v>0</v>
      </c>
      <c r="E127">
        <v>0</v>
      </c>
      <c r="F127">
        <v>1</v>
      </c>
      <c r="G127" t="s">
        <v>114</v>
      </c>
    </row>
    <row r="128" spans="1:7" x14ac:dyDescent="0.25">
      <c r="A128">
        <v>2009</v>
      </c>
      <c r="B128" t="s">
        <v>135</v>
      </c>
      <c r="C128">
        <v>9</v>
      </c>
      <c r="D128">
        <v>2</v>
      </c>
      <c r="E128">
        <v>0</v>
      </c>
      <c r="F128">
        <v>0</v>
      </c>
      <c r="G128" t="s">
        <v>114</v>
      </c>
    </row>
    <row r="129" spans="1:7" x14ac:dyDescent="0.25">
      <c r="A129">
        <v>2009</v>
      </c>
      <c r="B129" t="s">
        <v>136</v>
      </c>
      <c r="C129">
        <v>2</v>
      </c>
      <c r="D129">
        <v>1</v>
      </c>
      <c r="E129">
        <v>0</v>
      </c>
      <c r="F129">
        <v>0</v>
      </c>
      <c r="G129" t="s">
        <v>114</v>
      </c>
    </row>
    <row r="130" spans="1:7" x14ac:dyDescent="0.25">
      <c r="A130">
        <v>2009</v>
      </c>
      <c r="B130" t="s">
        <v>137</v>
      </c>
      <c r="C130">
        <v>4</v>
      </c>
      <c r="D130">
        <v>0</v>
      </c>
      <c r="E130">
        <v>0</v>
      </c>
      <c r="F130">
        <v>0</v>
      </c>
      <c r="G130" t="s">
        <v>114</v>
      </c>
    </row>
    <row r="131" spans="1:7" x14ac:dyDescent="0.25">
      <c r="A131">
        <v>2009</v>
      </c>
      <c r="B131" t="s">
        <v>138</v>
      </c>
      <c r="C131">
        <v>3</v>
      </c>
      <c r="D131">
        <v>0</v>
      </c>
      <c r="E131">
        <v>0</v>
      </c>
      <c r="F131">
        <v>0</v>
      </c>
      <c r="G131" t="s">
        <v>114</v>
      </c>
    </row>
    <row r="132" spans="1:7" x14ac:dyDescent="0.25">
      <c r="A132">
        <v>2009</v>
      </c>
      <c r="B132" t="s">
        <v>139</v>
      </c>
      <c r="C132">
        <v>8</v>
      </c>
      <c r="D132">
        <v>1</v>
      </c>
      <c r="E132">
        <v>0</v>
      </c>
      <c r="F132">
        <v>0</v>
      </c>
      <c r="G132" t="s">
        <v>114</v>
      </c>
    </row>
    <row r="133" spans="1:7" x14ac:dyDescent="0.25">
      <c r="A133">
        <v>2009</v>
      </c>
      <c r="B133" t="s">
        <v>140</v>
      </c>
      <c r="C133">
        <v>6</v>
      </c>
      <c r="D133">
        <v>1</v>
      </c>
      <c r="E133">
        <v>0</v>
      </c>
      <c r="F133">
        <v>0</v>
      </c>
      <c r="G133" t="s">
        <v>114</v>
      </c>
    </row>
    <row r="134" spans="1:7" x14ac:dyDescent="0.25">
      <c r="A134">
        <v>2009</v>
      </c>
      <c r="B134" t="s">
        <v>141</v>
      </c>
      <c r="C134">
        <v>2</v>
      </c>
      <c r="D134">
        <v>0</v>
      </c>
      <c r="E134">
        <v>1</v>
      </c>
      <c r="F134">
        <v>0</v>
      </c>
      <c r="G134" t="s">
        <v>114</v>
      </c>
    </row>
    <row r="135" spans="1:7" x14ac:dyDescent="0.25">
      <c r="A135">
        <v>2009</v>
      </c>
      <c r="B135" t="s">
        <v>142</v>
      </c>
      <c r="C135">
        <v>5</v>
      </c>
      <c r="D135">
        <v>2</v>
      </c>
      <c r="E135">
        <v>0</v>
      </c>
      <c r="F135">
        <v>0</v>
      </c>
      <c r="G135" t="s">
        <v>114</v>
      </c>
    </row>
    <row r="136" spans="1:7" x14ac:dyDescent="0.25">
      <c r="A136">
        <v>2009</v>
      </c>
      <c r="B136" t="s">
        <v>143</v>
      </c>
      <c r="C136">
        <v>6</v>
      </c>
      <c r="D136">
        <v>0</v>
      </c>
      <c r="E136">
        <v>0</v>
      </c>
      <c r="F136">
        <v>0</v>
      </c>
      <c r="G136" t="s">
        <v>114</v>
      </c>
    </row>
    <row r="137" spans="1:7" x14ac:dyDescent="0.25">
      <c r="A137">
        <v>2010</v>
      </c>
      <c r="B137" t="s">
        <v>144</v>
      </c>
      <c r="C137">
        <v>12</v>
      </c>
      <c r="D137">
        <v>1</v>
      </c>
      <c r="E137">
        <v>0</v>
      </c>
      <c r="F137">
        <v>1</v>
      </c>
      <c r="G137" t="s">
        <v>114</v>
      </c>
    </row>
    <row r="138" spans="1:7" x14ac:dyDescent="0.25">
      <c r="A138">
        <v>2010</v>
      </c>
      <c r="B138" t="s">
        <v>145</v>
      </c>
      <c r="C138">
        <v>5</v>
      </c>
      <c r="D138">
        <v>1</v>
      </c>
      <c r="E138">
        <v>0</v>
      </c>
      <c r="F138">
        <v>0</v>
      </c>
      <c r="G138" t="s">
        <v>114</v>
      </c>
    </row>
    <row r="139" spans="1:7" x14ac:dyDescent="0.25">
      <c r="A139">
        <v>2010</v>
      </c>
      <c r="B139" t="s">
        <v>146</v>
      </c>
      <c r="C139">
        <v>7</v>
      </c>
      <c r="D139">
        <v>2</v>
      </c>
      <c r="E139">
        <v>0</v>
      </c>
      <c r="F139">
        <v>0</v>
      </c>
      <c r="G139" t="s">
        <v>114</v>
      </c>
    </row>
    <row r="140" spans="1:7" x14ac:dyDescent="0.25">
      <c r="A140">
        <v>2010</v>
      </c>
      <c r="B140" t="s">
        <v>147</v>
      </c>
      <c r="C140">
        <v>8</v>
      </c>
      <c r="D140">
        <v>0</v>
      </c>
      <c r="E140">
        <v>0</v>
      </c>
      <c r="F140">
        <v>0</v>
      </c>
      <c r="G140" t="s">
        <v>114</v>
      </c>
    </row>
    <row r="141" spans="1:7" x14ac:dyDescent="0.25">
      <c r="A141">
        <v>2010</v>
      </c>
      <c r="B141" t="s">
        <v>148</v>
      </c>
      <c r="C141">
        <v>4</v>
      </c>
      <c r="D141">
        <v>2</v>
      </c>
      <c r="E141">
        <v>1</v>
      </c>
      <c r="F141">
        <v>0</v>
      </c>
      <c r="G141" t="s">
        <v>114</v>
      </c>
    </row>
    <row r="142" spans="1:7" x14ac:dyDescent="0.25">
      <c r="A142">
        <v>2010</v>
      </c>
      <c r="B142" t="s">
        <v>149</v>
      </c>
      <c r="C142">
        <v>6</v>
      </c>
      <c r="D142">
        <v>0</v>
      </c>
      <c r="E142">
        <v>0</v>
      </c>
      <c r="F142">
        <v>0</v>
      </c>
      <c r="G142" t="s">
        <v>114</v>
      </c>
    </row>
    <row r="143" spans="1:7" x14ac:dyDescent="0.25">
      <c r="A143">
        <v>2010</v>
      </c>
      <c r="B143" t="s">
        <v>150</v>
      </c>
      <c r="C143">
        <v>8</v>
      </c>
      <c r="D143">
        <v>4</v>
      </c>
      <c r="E143">
        <v>0</v>
      </c>
      <c r="F143">
        <v>0</v>
      </c>
      <c r="G143" t="s">
        <v>114</v>
      </c>
    </row>
    <row r="144" spans="1:7" x14ac:dyDescent="0.25">
      <c r="A144">
        <v>2010</v>
      </c>
      <c r="B144" t="s">
        <v>151</v>
      </c>
      <c r="C144">
        <v>5</v>
      </c>
      <c r="D144">
        <v>1</v>
      </c>
      <c r="E144">
        <v>0</v>
      </c>
      <c r="F144">
        <v>0</v>
      </c>
      <c r="G144" t="s">
        <v>114</v>
      </c>
    </row>
    <row r="145" spans="1:7" x14ac:dyDescent="0.25">
      <c r="A145">
        <v>2010</v>
      </c>
      <c r="B145" t="s">
        <v>152</v>
      </c>
      <c r="C145">
        <v>10</v>
      </c>
      <c r="D145">
        <v>0</v>
      </c>
      <c r="E145">
        <v>0</v>
      </c>
      <c r="F145">
        <v>0</v>
      </c>
      <c r="G145" t="s">
        <v>114</v>
      </c>
    </row>
    <row r="146" spans="1:7" x14ac:dyDescent="0.25">
      <c r="A146">
        <v>2010</v>
      </c>
      <c r="B146" t="s">
        <v>153</v>
      </c>
      <c r="C146">
        <v>4</v>
      </c>
      <c r="D146">
        <v>0</v>
      </c>
      <c r="E146">
        <v>0</v>
      </c>
      <c r="F146">
        <v>0</v>
      </c>
      <c r="G146" t="s">
        <v>114</v>
      </c>
    </row>
    <row r="147" spans="1:7" x14ac:dyDescent="0.25">
      <c r="A147">
        <v>2011</v>
      </c>
      <c r="B147" t="s">
        <v>154</v>
      </c>
      <c r="C147">
        <v>10</v>
      </c>
      <c r="D147">
        <v>3</v>
      </c>
      <c r="E147">
        <v>0</v>
      </c>
      <c r="F147">
        <v>1</v>
      </c>
      <c r="G147" t="s">
        <v>114</v>
      </c>
    </row>
    <row r="148" spans="1:7" x14ac:dyDescent="0.25">
      <c r="A148">
        <v>2011</v>
      </c>
      <c r="B148" t="s">
        <v>155</v>
      </c>
      <c r="C148">
        <v>5</v>
      </c>
      <c r="D148">
        <v>2</v>
      </c>
      <c r="E148">
        <v>1</v>
      </c>
      <c r="F148">
        <v>0</v>
      </c>
      <c r="G148" t="s">
        <v>114</v>
      </c>
    </row>
    <row r="149" spans="1:7" x14ac:dyDescent="0.25">
      <c r="A149">
        <v>2011</v>
      </c>
      <c r="B149" t="s">
        <v>156</v>
      </c>
      <c r="C149">
        <v>2</v>
      </c>
      <c r="D149">
        <v>0</v>
      </c>
      <c r="E149">
        <v>0</v>
      </c>
      <c r="F149">
        <v>0</v>
      </c>
      <c r="G149" t="s">
        <v>114</v>
      </c>
    </row>
    <row r="150" spans="1:7" x14ac:dyDescent="0.25">
      <c r="A150">
        <v>2011</v>
      </c>
      <c r="B150" t="s">
        <v>157</v>
      </c>
      <c r="C150">
        <v>4</v>
      </c>
      <c r="D150">
        <v>1</v>
      </c>
      <c r="E150">
        <v>0</v>
      </c>
      <c r="F150">
        <v>0</v>
      </c>
      <c r="G150" t="s">
        <v>114</v>
      </c>
    </row>
    <row r="151" spans="1:7" x14ac:dyDescent="0.25">
      <c r="A151">
        <v>2011</v>
      </c>
      <c r="B151" t="s">
        <v>158</v>
      </c>
      <c r="C151">
        <v>4</v>
      </c>
      <c r="D151">
        <v>1</v>
      </c>
      <c r="E151">
        <v>1</v>
      </c>
      <c r="F151">
        <v>0</v>
      </c>
      <c r="G151" t="s">
        <v>114</v>
      </c>
    </row>
    <row r="152" spans="1:7" x14ac:dyDescent="0.25">
      <c r="A152">
        <v>2011</v>
      </c>
      <c r="B152" t="s">
        <v>159</v>
      </c>
      <c r="C152">
        <v>6</v>
      </c>
      <c r="D152">
        <v>0</v>
      </c>
      <c r="E152">
        <v>0</v>
      </c>
      <c r="F152">
        <v>0</v>
      </c>
      <c r="G152" t="s">
        <v>114</v>
      </c>
    </row>
    <row r="153" spans="1:7" x14ac:dyDescent="0.25">
      <c r="A153">
        <v>2011</v>
      </c>
      <c r="B153" t="s">
        <v>160</v>
      </c>
      <c r="C153">
        <v>3</v>
      </c>
      <c r="D153">
        <v>0</v>
      </c>
      <c r="E153">
        <v>0</v>
      </c>
      <c r="F153">
        <v>0</v>
      </c>
      <c r="G153" t="s">
        <v>114</v>
      </c>
    </row>
    <row r="154" spans="1:7" x14ac:dyDescent="0.25">
      <c r="A154">
        <v>2011</v>
      </c>
      <c r="B154" t="s">
        <v>161</v>
      </c>
      <c r="C154">
        <v>6</v>
      </c>
      <c r="D154">
        <v>0</v>
      </c>
      <c r="E154">
        <v>0</v>
      </c>
      <c r="F154">
        <v>0</v>
      </c>
      <c r="G154" t="s">
        <v>114</v>
      </c>
    </row>
    <row r="155" spans="1:7" x14ac:dyDescent="0.25">
      <c r="A155">
        <v>2012</v>
      </c>
      <c r="B155" t="s">
        <v>162</v>
      </c>
      <c r="C155">
        <v>7</v>
      </c>
      <c r="D155">
        <v>1</v>
      </c>
      <c r="E155">
        <v>0</v>
      </c>
      <c r="F155">
        <v>1</v>
      </c>
      <c r="G155" t="s">
        <v>114</v>
      </c>
    </row>
    <row r="156" spans="1:7" x14ac:dyDescent="0.25">
      <c r="A156">
        <v>2012</v>
      </c>
      <c r="B156" t="s">
        <v>163</v>
      </c>
      <c r="C156">
        <v>5</v>
      </c>
      <c r="D156">
        <v>1</v>
      </c>
      <c r="E156">
        <v>0</v>
      </c>
      <c r="F156">
        <v>0</v>
      </c>
      <c r="G156" t="s">
        <v>114</v>
      </c>
    </row>
    <row r="157" spans="1:7" x14ac:dyDescent="0.25">
      <c r="A157">
        <v>2012</v>
      </c>
      <c r="B157" t="s">
        <v>164</v>
      </c>
      <c r="C157">
        <v>4</v>
      </c>
      <c r="D157">
        <v>0</v>
      </c>
      <c r="E157">
        <v>0</v>
      </c>
      <c r="F157">
        <v>0</v>
      </c>
      <c r="G157" t="s">
        <v>114</v>
      </c>
    </row>
    <row r="158" spans="1:7" x14ac:dyDescent="0.25">
      <c r="A158">
        <v>2012</v>
      </c>
      <c r="B158" t="s">
        <v>165</v>
      </c>
      <c r="C158">
        <v>5</v>
      </c>
      <c r="D158">
        <v>2</v>
      </c>
      <c r="E158">
        <v>0</v>
      </c>
      <c r="F158">
        <v>0</v>
      </c>
      <c r="G158" t="s">
        <v>114</v>
      </c>
    </row>
    <row r="159" spans="1:7" x14ac:dyDescent="0.25">
      <c r="A159">
        <v>2012</v>
      </c>
      <c r="B159" t="s">
        <v>166</v>
      </c>
      <c r="C159">
        <v>8</v>
      </c>
      <c r="D159">
        <v>3</v>
      </c>
      <c r="E159">
        <v>0</v>
      </c>
      <c r="F159">
        <v>0</v>
      </c>
      <c r="G159" t="s">
        <v>114</v>
      </c>
    </row>
    <row r="160" spans="1:7" x14ac:dyDescent="0.25">
      <c r="A160">
        <v>2012</v>
      </c>
      <c r="B160" t="s">
        <v>167</v>
      </c>
      <c r="C160">
        <v>11</v>
      </c>
      <c r="D160">
        <v>1</v>
      </c>
      <c r="E160">
        <v>0</v>
      </c>
      <c r="F160">
        <v>0</v>
      </c>
      <c r="G160" t="s">
        <v>114</v>
      </c>
    </row>
    <row r="161" spans="1:7" x14ac:dyDescent="0.25">
      <c r="A161">
        <v>2012</v>
      </c>
      <c r="B161" t="s">
        <v>168</v>
      </c>
      <c r="C161">
        <v>12</v>
      </c>
      <c r="D161">
        <v>1</v>
      </c>
      <c r="E161">
        <v>0</v>
      </c>
      <c r="F161">
        <v>0</v>
      </c>
      <c r="G161" t="s">
        <v>114</v>
      </c>
    </row>
    <row r="162" spans="1:7" x14ac:dyDescent="0.25">
      <c r="A162">
        <v>2012</v>
      </c>
      <c r="B162" t="s">
        <v>169</v>
      </c>
      <c r="C162">
        <v>8</v>
      </c>
      <c r="D162">
        <v>1</v>
      </c>
      <c r="E162">
        <v>1</v>
      </c>
      <c r="F162">
        <v>0</v>
      </c>
      <c r="G162" t="s">
        <v>114</v>
      </c>
    </row>
    <row r="163" spans="1:7" x14ac:dyDescent="0.25">
      <c r="A163">
        <v>2012</v>
      </c>
      <c r="B163" t="s">
        <v>170</v>
      </c>
      <c r="C163">
        <v>5</v>
      </c>
      <c r="D163">
        <v>1</v>
      </c>
      <c r="E163">
        <v>0</v>
      </c>
      <c r="F163">
        <v>0</v>
      </c>
      <c r="G163" t="s">
        <v>114</v>
      </c>
    </row>
    <row r="164" spans="1:7" x14ac:dyDescent="0.25">
      <c r="A164">
        <v>2013</v>
      </c>
      <c r="B164" t="s">
        <v>171</v>
      </c>
      <c r="C164">
        <v>6</v>
      </c>
      <c r="D164">
        <v>1</v>
      </c>
      <c r="E164">
        <v>0</v>
      </c>
      <c r="F164">
        <v>1</v>
      </c>
      <c r="G164" t="s">
        <v>114</v>
      </c>
    </row>
    <row r="165" spans="1:7" x14ac:dyDescent="0.25">
      <c r="A165">
        <v>2013</v>
      </c>
      <c r="B165" t="s">
        <v>172</v>
      </c>
      <c r="C165">
        <v>10</v>
      </c>
      <c r="D165">
        <v>3</v>
      </c>
      <c r="E165">
        <v>1</v>
      </c>
      <c r="F165">
        <v>0</v>
      </c>
      <c r="G165" t="s">
        <v>114</v>
      </c>
    </row>
    <row r="166" spans="1:7" x14ac:dyDescent="0.25">
      <c r="A166">
        <v>2013</v>
      </c>
      <c r="B166" t="s">
        <v>173</v>
      </c>
      <c r="C166">
        <v>6</v>
      </c>
      <c r="D166">
        <v>0</v>
      </c>
      <c r="E166">
        <v>0</v>
      </c>
      <c r="F166">
        <v>0</v>
      </c>
      <c r="G166" t="s">
        <v>114</v>
      </c>
    </row>
    <row r="167" spans="1:7" x14ac:dyDescent="0.25">
      <c r="A167">
        <v>2013</v>
      </c>
      <c r="B167" t="s">
        <v>174</v>
      </c>
      <c r="C167">
        <v>6</v>
      </c>
      <c r="D167">
        <v>2</v>
      </c>
      <c r="E167">
        <v>0</v>
      </c>
      <c r="F167">
        <v>0</v>
      </c>
      <c r="G167" t="s">
        <v>114</v>
      </c>
    </row>
    <row r="168" spans="1:7" x14ac:dyDescent="0.25">
      <c r="A168">
        <v>2013</v>
      </c>
      <c r="B168" t="s">
        <v>175</v>
      </c>
      <c r="C168">
        <v>10</v>
      </c>
      <c r="D168">
        <v>1</v>
      </c>
      <c r="E168">
        <v>0</v>
      </c>
      <c r="F168">
        <v>0</v>
      </c>
      <c r="G168" t="s">
        <v>114</v>
      </c>
    </row>
    <row r="169" spans="1:7" x14ac:dyDescent="0.25">
      <c r="A169">
        <v>2013</v>
      </c>
      <c r="B169" t="s">
        <v>176</v>
      </c>
      <c r="C169">
        <v>5</v>
      </c>
      <c r="D169">
        <v>1</v>
      </c>
      <c r="E169">
        <v>1</v>
      </c>
      <c r="F169">
        <v>0</v>
      </c>
      <c r="G169" t="s">
        <v>114</v>
      </c>
    </row>
    <row r="170" spans="1:7" x14ac:dyDescent="0.25">
      <c r="A170">
        <v>2013</v>
      </c>
      <c r="B170" t="s">
        <v>177</v>
      </c>
      <c r="C170">
        <v>6</v>
      </c>
      <c r="D170">
        <v>0</v>
      </c>
      <c r="E170">
        <v>1</v>
      </c>
      <c r="F170">
        <v>0</v>
      </c>
      <c r="G170" t="s">
        <v>114</v>
      </c>
    </row>
    <row r="171" spans="1:7" x14ac:dyDescent="0.25">
      <c r="A171">
        <v>2013</v>
      </c>
      <c r="B171" t="s">
        <v>178</v>
      </c>
      <c r="C171">
        <v>4</v>
      </c>
      <c r="D171">
        <v>0</v>
      </c>
      <c r="E171">
        <v>0</v>
      </c>
      <c r="F171">
        <v>0</v>
      </c>
      <c r="G171" t="s">
        <v>114</v>
      </c>
    </row>
    <row r="172" spans="1:7" x14ac:dyDescent="0.25">
      <c r="A172">
        <v>2013</v>
      </c>
      <c r="B172" t="s">
        <v>179</v>
      </c>
      <c r="C172">
        <v>5</v>
      </c>
      <c r="D172">
        <v>1</v>
      </c>
      <c r="E172">
        <v>1</v>
      </c>
      <c r="F172">
        <v>0</v>
      </c>
      <c r="G172" t="s">
        <v>114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91"/>
  <sheetViews>
    <sheetView showGridLines="0" workbookViewId="0">
      <selection activeCell="E28" sqref="E28"/>
    </sheetView>
  </sheetViews>
  <sheetFormatPr defaultRowHeight="15" x14ac:dyDescent="0.25"/>
  <cols>
    <col min="10" max="10" width="14.5703125" bestFit="1" customWidth="1"/>
  </cols>
  <sheetData>
    <row r="2" spans="2:14" ht="18.75" x14ac:dyDescent="0.3">
      <c r="B2" s="2" t="s">
        <v>188</v>
      </c>
      <c r="N2" t="s">
        <v>189</v>
      </c>
    </row>
    <row r="4" spans="2:14" ht="15.75" x14ac:dyDescent="0.25">
      <c r="B4" s="6" t="s">
        <v>190</v>
      </c>
      <c r="C4" s="7"/>
      <c r="D4" s="7"/>
      <c r="E4" s="7"/>
      <c r="F4" s="7"/>
      <c r="G4" s="8"/>
      <c r="J4" s="6" t="s">
        <v>191</v>
      </c>
      <c r="K4" s="7"/>
      <c r="L4" s="8"/>
    </row>
    <row r="5" spans="2:14" x14ac:dyDescent="0.25">
      <c r="B5" s="18" t="s">
        <v>207</v>
      </c>
      <c r="C5" s="14"/>
      <c r="D5" s="18" t="s">
        <v>208</v>
      </c>
      <c r="E5" s="14"/>
      <c r="F5" s="18" t="s">
        <v>209</v>
      </c>
      <c r="G5" s="14"/>
      <c r="J5" s="5" t="s">
        <v>192</v>
      </c>
      <c r="K5" s="5" t="s">
        <v>193</v>
      </c>
      <c r="L5" s="5" t="s">
        <v>194</v>
      </c>
    </row>
    <row r="6" spans="2:14" x14ac:dyDescent="0.25">
      <c r="J6" s="3">
        <v>1</v>
      </c>
      <c r="K6" s="3">
        <v>1</v>
      </c>
      <c r="L6" s="3">
        <v>2</v>
      </c>
    </row>
    <row r="9" spans="2:14" ht="15.75" x14ac:dyDescent="0.25">
      <c r="B9" s="6" t="s">
        <v>195</v>
      </c>
      <c r="C9" s="7"/>
      <c r="D9" s="7"/>
      <c r="E9" s="7"/>
      <c r="F9" s="7"/>
      <c r="G9" s="7"/>
      <c r="H9" s="7"/>
      <c r="I9" s="7"/>
      <c r="J9" s="8"/>
    </row>
    <row r="10" spans="2:14" x14ac:dyDescent="0.25">
      <c r="B10" s="9" t="s">
        <v>196</v>
      </c>
      <c r="C10" s="10"/>
      <c r="D10" s="11"/>
      <c r="E10" s="12" t="s">
        <v>197</v>
      </c>
      <c r="F10" s="13"/>
      <c r="G10" s="13"/>
      <c r="H10" s="13"/>
      <c r="I10" s="13"/>
      <c r="J10" s="14"/>
    </row>
    <row r="11" spans="2:14" x14ac:dyDescent="0.25">
      <c r="B11" s="9" t="s">
        <v>198</v>
      </c>
      <c r="C11" s="10"/>
      <c r="D11" s="11"/>
      <c r="E11" s="3" t="s">
        <v>0</v>
      </c>
      <c r="F11" s="3" t="s">
        <v>1</v>
      </c>
      <c r="G11" s="3" t="s">
        <v>2</v>
      </c>
      <c r="H11" s="3" t="s">
        <v>3</v>
      </c>
      <c r="I11" s="3" t="s">
        <v>4</v>
      </c>
      <c r="J11" s="3" t="s">
        <v>5</v>
      </c>
    </row>
    <row r="12" spans="2:14" x14ac:dyDescent="0.25">
      <c r="B12" s="9" t="s">
        <v>199</v>
      </c>
      <c r="C12" s="10"/>
      <c r="D12" s="11"/>
      <c r="E12" s="12" t="s">
        <v>200</v>
      </c>
      <c r="F12" s="13"/>
      <c r="G12" s="13"/>
      <c r="H12" s="13"/>
      <c r="I12" s="13"/>
      <c r="J12" s="14"/>
    </row>
    <row r="13" spans="2:14" x14ac:dyDescent="0.25">
      <c r="B13" s="9" t="s">
        <v>201</v>
      </c>
      <c r="C13" s="10"/>
      <c r="D13" s="11"/>
      <c r="E13" s="12" t="s">
        <v>202</v>
      </c>
      <c r="F13" s="13"/>
      <c r="G13" s="13"/>
      <c r="H13" s="13"/>
      <c r="I13" s="13"/>
      <c r="J13" s="14"/>
    </row>
    <row r="14" spans="2:14" x14ac:dyDescent="0.25">
      <c r="B14" s="9" t="s">
        <v>203</v>
      </c>
      <c r="C14" s="10"/>
      <c r="D14" s="11"/>
      <c r="E14" s="15">
        <v>6</v>
      </c>
      <c r="F14" s="16"/>
      <c r="G14" s="16"/>
      <c r="H14" s="16"/>
      <c r="I14" s="16"/>
      <c r="J14" s="17"/>
    </row>
    <row r="15" spans="2:14" x14ac:dyDescent="0.25">
      <c r="B15" s="9" t="s">
        <v>204</v>
      </c>
      <c r="C15" s="10"/>
      <c r="D15" s="11"/>
      <c r="E15" s="15">
        <v>105</v>
      </c>
      <c r="F15" s="16"/>
      <c r="G15" s="16"/>
      <c r="H15" s="16"/>
      <c r="I15" s="16"/>
      <c r="J15" s="17"/>
    </row>
    <row r="16" spans="2:14" x14ac:dyDescent="0.25">
      <c r="B16" s="9" t="s">
        <v>205</v>
      </c>
      <c r="C16" s="10"/>
      <c r="D16" s="11"/>
      <c r="E16" s="15">
        <v>66</v>
      </c>
      <c r="F16" s="16"/>
      <c r="G16" s="16"/>
      <c r="H16" s="16"/>
      <c r="I16" s="16"/>
      <c r="J16" s="17"/>
    </row>
    <row r="17" spans="2:10" x14ac:dyDescent="0.25">
      <c r="B17" s="9" t="s">
        <v>206</v>
      </c>
      <c r="C17" s="10"/>
      <c r="D17" s="11"/>
      <c r="E17" s="15">
        <v>0</v>
      </c>
      <c r="F17" s="16"/>
      <c r="G17" s="16"/>
      <c r="H17" s="16"/>
      <c r="I17" s="16"/>
      <c r="J17" s="17"/>
    </row>
    <row r="19" spans="2:10" ht="15.75" x14ac:dyDescent="0.25">
      <c r="B19" s="6" t="s">
        <v>198</v>
      </c>
      <c r="C19" s="7"/>
      <c r="D19" s="7"/>
      <c r="E19" s="7"/>
      <c r="F19" s="7"/>
      <c r="G19" s="8"/>
    </row>
    <row r="20" spans="2:10" x14ac:dyDescent="0.25">
      <c r="B20" s="5" t="s">
        <v>0</v>
      </c>
      <c r="C20" s="5" t="s">
        <v>1</v>
      </c>
      <c r="D20" s="5" t="s">
        <v>2</v>
      </c>
      <c r="E20" s="5" t="s">
        <v>3</v>
      </c>
      <c r="F20" s="5" t="s">
        <v>4</v>
      </c>
      <c r="G20" s="5" t="s">
        <v>5</v>
      </c>
    </row>
    <row r="21" spans="2:10" x14ac:dyDescent="0.25">
      <c r="B21" s="3">
        <v>1984</v>
      </c>
      <c r="C21" s="3" t="s">
        <v>7</v>
      </c>
      <c r="D21" s="3">
        <v>3</v>
      </c>
      <c r="E21" s="3">
        <v>0</v>
      </c>
      <c r="F21" s="3">
        <v>0</v>
      </c>
      <c r="G21" s="3">
        <v>0</v>
      </c>
    </row>
    <row r="22" spans="2:10" x14ac:dyDescent="0.25">
      <c r="B22" s="3">
        <v>1984</v>
      </c>
      <c r="C22" s="3" t="s">
        <v>9</v>
      </c>
      <c r="D22" s="3">
        <v>7</v>
      </c>
      <c r="E22" s="3">
        <v>1</v>
      </c>
      <c r="F22" s="3">
        <v>0</v>
      </c>
      <c r="G22" s="3">
        <v>0</v>
      </c>
    </row>
    <row r="23" spans="2:10" x14ac:dyDescent="0.25">
      <c r="B23" s="3">
        <v>1984</v>
      </c>
      <c r="C23" s="3" t="s">
        <v>10</v>
      </c>
      <c r="D23" s="3">
        <v>7</v>
      </c>
      <c r="E23" s="3">
        <v>1</v>
      </c>
      <c r="F23" s="3">
        <v>0</v>
      </c>
      <c r="G23" s="3">
        <v>0</v>
      </c>
    </row>
    <row r="24" spans="2:10" x14ac:dyDescent="0.25">
      <c r="B24" s="3">
        <v>1984</v>
      </c>
      <c r="C24" s="3" t="s">
        <v>11</v>
      </c>
      <c r="D24" s="3">
        <v>11</v>
      </c>
      <c r="E24" s="3">
        <v>3</v>
      </c>
      <c r="F24" s="3">
        <v>0</v>
      </c>
      <c r="G24" s="3">
        <v>0</v>
      </c>
    </row>
    <row r="25" spans="2:10" x14ac:dyDescent="0.25">
      <c r="B25" s="3">
        <v>1984</v>
      </c>
      <c r="C25" s="3" t="s">
        <v>12</v>
      </c>
      <c r="D25" s="3">
        <v>11</v>
      </c>
      <c r="E25" s="3">
        <v>4</v>
      </c>
      <c r="F25" s="3">
        <v>0</v>
      </c>
      <c r="G25" s="3">
        <v>1</v>
      </c>
    </row>
    <row r="26" spans="2:10" x14ac:dyDescent="0.25">
      <c r="B26" s="3">
        <v>1985</v>
      </c>
      <c r="C26" s="3" t="s">
        <v>13</v>
      </c>
      <c r="D26" s="3">
        <v>8</v>
      </c>
      <c r="E26" s="3">
        <v>4</v>
      </c>
      <c r="F26" s="3">
        <v>1</v>
      </c>
      <c r="G26" s="3">
        <v>0</v>
      </c>
    </row>
    <row r="27" spans="2:10" x14ac:dyDescent="0.25">
      <c r="B27" s="3">
        <v>1985</v>
      </c>
      <c r="C27" s="3" t="s">
        <v>14</v>
      </c>
      <c r="D27" s="3">
        <v>4</v>
      </c>
      <c r="E27" s="3">
        <v>0</v>
      </c>
      <c r="F27" s="3">
        <v>0</v>
      </c>
      <c r="G27" s="3">
        <v>0</v>
      </c>
    </row>
    <row r="28" spans="2:10" x14ac:dyDescent="0.25">
      <c r="B28" s="3">
        <v>1985</v>
      </c>
      <c r="C28" s="3" t="s">
        <v>15</v>
      </c>
      <c r="D28" s="3">
        <v>8</v>
      </c>
      <c r="E28" s="3">
        <v>0</v>
      </c>
      <c r="F28" s="3">
        <v>0</v>
      </c>
      <c r="G28" s="3">
        <v>0</v>
      </c>
    </row>
    <row r="29" spans="2:10" x14ac:dyDescent="0.25">
      <c r="B29" s="3">
        <v>1985</v>
      </c>
      <c r="C29" s="3" t="s">
        <v>16</v>
      </c>
      <c r="D29" s="3">
        <v>11</v>
      </c>
      <c r="E29" s="3">
        <v>1</v>
      </c>
      <c r="F29" s="3">
        <v>0</v>
      </c>
      <c r="G29" s="3">
        <v>0</v>
      </c>
    </row>
    <row r="30" spans="2:10" x14ac:dyDescent="0.25">
      <c r="B30" s="3">
        <v>1985</v>
      </c>
      <c r="C30" s="3" t="s">
        <v>17</v>
      </c>
      <c r="D30" s="3">
        <v>11</v>
      </c>
      <c r="E30" s="3">
        <v>3</v>
      </c>
      <c r="F30" s="3">
        <v>0</v>
      </c>
      <c r="G30" s="3">
        <v>1</v>
      </c>
    </row>
    <row r="31" spans="2:10" x14ac:dyDescent="0.25">
      <c r="B31" s="3">
        <v>1986</v>
      </c>
      <c r="C31" s="3" t="s">
        <v>18</v>
      </c>
      <c r="D31" s="3">
        <v>7</v>
      </c>
      <c r="E31" s="3">
        <v>1</v>
      </c>
      <c r="F31" s="3">
        <v>1</v>
      </c>
      <c r="G31" s="3">
        <v>0</v>
      </c>
    </row>
    <row r="32" spans="2:10" x14ac:dyDescent="0.25">
      <c r="B32" s="3">
        <v>1986</v>
      </c>
      <c r="C32" s="3" t="s">
        <v>19</v>
      </c>
      <c r="D32" s="3">
        <v>5</v>
      </c>
      <c r="E32" s="3">
        <v>1</v>
      </c>
      <c r="F32" s="3">
        <v>0</v>
      </c>
      <c r="G32" s="3">
        <v>0</v>
      </c>
    </row>
    <row r="33" spans="2:7" x14ac:dyDescent="0.25">
      <c r="B33" s="3">
        <v>1986</v>
      </c>
      <c r="C33" s="3" t="s">
        <v>20</v>
      </c>
      <c r="D33" s="3">
        <v>8</v>
      </c>
      <c r="E33" s="3">
        <v>1</v>
      </c>
      <c r="F33" s="3">
        <v>0</v>
      </c>
      <c r="G33" s="3">
        <v>0</v>
      </c>
    </row>
    <row r="34" spans="2:7" x14ac:dyDescent="0.25">
      <c r="B34" s="3">
        <v>1986</v>
      </c>
      <c r="C34" s="3" t="s">
        <v>21</v>
      </c>
      <c r="D34" s="3">
        <v>7</v>
      </c>
      <c r="E34" s="3">
        <v>2</v>
      </c>
      <c r="F34" s="3">
        <v>0</v>
      </c>
      <c r="G34" s="3">
        <v>0</v>
      </c>
    </row>
    <row r="35" spans="2:7" x14ac:dyDescent="0.25">
      <c r="B35" s="3">
        <v>1986</v>
      </c>
      <c r="C35" s="3" t="s">
        <v>22</v>
      </c>
      <c r="D35" s="3">
        <v>8</v>
      </c>
      <c r="E35" s="3">
        <v>3</v>
      </c>
      <c r="F35" s="3">
        <v>0</v>
      </c>
      <c r="G35" s="3">
        <v>1</v>
      </c>
    </row>
    <row r="36" spans="2:7" x14ac:dyDescent="0.25">
      <c r="B36" s="3">
        <v>1987</v>
      </c>
      <c r="C36" s="3" t="s">
        <v>23</v>
      </c>
      <c r="D36" s="3">
        <v>5</v>
      </c>
      <c r="E36" s="3">
        <v>1</v>
      </c>
      <c r="F36" s="3">
        <v>1</v>
      </c>
      <c r="G36" s="3">
        <v>0</v>
      </c>
    </row>
    <row r="37" spans="2:7" x14ac:dyDescent="0.25">
      <c r="B37" s="3">
        <v>1987</v>
      </c>
      <c r="C37" s="3" t="s">
        <v>24</v>
      </c>
      <c r="D37" s="3">
        <v>7</v>
      </c>
      <c r="E37" s="3">
        <v>0</v>
      </c>
      <c r="F37" s="3">
        <v>1</v>
      </c>
      <c r="G37" s="3">
        <v>0</v>
      </c>
    </row>
    <row r="38" spans="2:7" x14ac:dyDescent="0.25">
      <c r="B38" s="3">
        <v>1987</v>
      </c>
      <c r="C38" s="3" t="s">
        <v>25</v>
      </c>
      <c r="D38" s="3">
        <v>6</v>
      </c>
      <c r="E38" s="3">
        <v>0</v>
      </c>
      <c r="F38" s="3">
        <v>0</v>
      </c>
      <c r="G38" s="3">
        <v>0</v>
      </c>
    </row>
    <row r="39" spans="2:7" x14ac:dyDescent="0.25">
      <c r="B39" s="3">
        <v>1987</v>
      </c>
      <c r="C39" s="3" t="s">
        <v>26</v>
      </c>
      <c r="D39" s="3">
        <v>6</v>
      </c>
      <c r="E39" s="3">
        <v>2</v>
      </c>
      <c r="F39" s="3">
        <v>0</v>
      </c>
      <c r="G39" s="3">
        <v>0</v>
      </c>
    </row>
    <row r="40" spans="2:7" x14ac:dyDescent="0.25">
      <c r="B40" s="3">
        <v>1987</v>
      </c>
      <c r="C40" s="3" t="s">
        <v>27</v>
      </c>
      <c r="D40" s="3">
        <v>9</v>
      </c>
      <c r="E40" s="3">
        <v>4</v>
      </c>
      <c r="F40" s="3">
        <v>0</v>
      </c>
      <c r="G40" s="3">
        <v>1</v>
      </c>
    </row>
    <row r="41" spans="2:7" x14ac:dyDescent="0.25">
      <c r="B41" s="3">
        <v>1988</v>
      </c>
      <c r="C41" s="3" t="s">
        <v>28</v>
      </c>
      <c r="D41" s="3">
        <v>6</v>
      </c>
      <c r="E41" s="3">
        <v>4</v>
      </c>
      <c r="F41" s="3">
        <v>1</v>
      </c>
      <c r="G41" s="3">
        <v>0</v>
      </c>
    </row>
    <row r="42" spans="2:7" x14ac:dyDescent="0.25">
      <c r="B42" s="3">
        <v>1988</v>
      </c>
      <c r="C42" s="3" t="s">
        <v>29</v>
      </c>
      <c r="D42" s="3">
        <v>4</v>
      </c>
      <c r="E42" s="3">
        <v>0</v>
      </c>
      <c r="F42" s="3">
        <v>0</v>
      </c>
      <c r="G42" s="3">
        <v>0</v>
      </c>
    </row>
    <row r="43" spans="2:7" x14ac:dyDescent="0.25">
      <c r="B43" s="3">
        <v>1988</v>
      </c>
      <c r="C43" s="3" t="s">
        <v>30</v>
      </c>
      <c r="D43" s="3">
        <v>7</v>
      </c>
      <c r="E43" s="3">
        <v>0</v>
      </c>
      <c r="F43" s="3">
        <v>0</v>
      </c>
      <c r="G43" s="3">
        <v>0</v>
      </c>
    </row>
    <row r="44" spans="2:7" x14ac:dyDescent="0.25">
      <c r="B44" s="3">
        <v>1988</v>
      </c>
      <c r="C44" s="3" t="s">
        <v>31</v>
      </c>
      <c r="D44" s="3">
        <v>7</v>
      </c>
      <c r="E44" s="3">
        <v>0</v>
      </c>
      <c r="F44" s="3">
        <v>0</v>
      </c>
      <c r="G44" s="3">
        <v>0</v>
      </c>
    </row>
    <row r="45" spans="2:7" x14ac:dyDescent="0.25">
      <c r="B45" s="3">
        <v>1988</v>
      </c>
      <c r="C45" s="3" t="s">
        <v>32</v>
      </c>
      <c r="D45" s="3">
        <v>8</v>
      </c>
      <c r="E45" s="3">
        <v>2</v>
      </c>
      <c r="F45" s="3">
        <v>0</v>
      </c>
      <c r="G45" s="3">
        <v>1</v>
      </c>
    </row>
    <row r="46" spans="2:7" x14ac:dyDescent="0.25">
      <c r="B46" s="3">
        <v>1989</v>
      </c>
      <c r="C46" s="3" t="s">
        <v>33</v>
      </c>
      <c r="D46" s="3">
        <v>3</v>
      </c>
      <c r="E46" s="3">
        <v>0</v>
      </c>
      <c r="F46" s="3">
        <v>0</v>
      </c>
      <c r="G46" s="3">
        <v>0</v>
      </c>
    </row>
    <row r="47" spans="2:7" x14ac:dyDescent="0.25">
      <c r="B47" s="3">
        <v>1989</v>
      </c>
      <c r="C47" s="3" t="s">
        <v>34</v>
      </c>
      <c r="D47" s="3">
        <v>4</v>
      </c>
      <c r="E47" s="3">
        <v>0</v>
      </c>
      <c r="F47" s="3">
        <v>0</v>
      </c>
      <c r="G47" s="3">
        <v>0</v>
      </c>
    </row>
    <row r="48" spans="2:7" x14ac:dyDescent="0.25">
      <c r="B48" s="3">
        <v>1989</v>
      </c>
      <c r="C48" s="3" t="s">
        <v>35</v>
      </c>
      <c r="D48" s="3">
        <v>5</v>
      </c>
      <c r="E48" s="3">
        <v>0</v>
      </c>
      <c r="F48" s="3">
        <v>0</v>
      </c>
      <c r="G48" s="3">
        <v>0</v>
      </c>
    </row>
    <row r="49" spans="2:7" x14ac:dyDescent="0.25">
      <c r="B49" s="3">
        <v>1989</v>
      </c>
      <c r="C49" s="3" t="s">
        <v>36</v>
      </c>
      <c r="D49" s="3">
        <v>9</v>
      </c>
      <c r="E49" s="3">
        <v>3</v>
      </c>
      <c r="F49" s="3">
        <v>0</v>
      </c>
      <c r="G49" s="3">
        <v>1</v>
      </c>
    </row>
    <row r="50" spans="2:7" x14ac:dyDescent="0.25">
      <c r="B50" s="3">
        <v>1989</v>
      </c>
      <c r="C50" s="3" t="s">
        <v>37</v>
      </c>
      <c r="D50" s="3">
        <v>8</v>
      </c>
      <c r="E50" s="3">
        <v>4</v>
      </c>
      <c r="F50" s="3">
        <v>0</v>
      </c>
      <c r="G50" s="3">
        <v>0</v>
      </c>
    </row>
    <row r="51" spans="2:7" x14ac:dyDescent="0.25">
      <c r="B51" s="3">
        <v>1990</v>
      </c>
      <c r="C51" s="3" t="s">
        <v>38</v>
      </c>
      <c r="D51" s="3">
        <v>3</v>
      </c>
      <c r="E51" s="3">
        <v>0</v>
      </c>
      <c r="F51" s="3">
        <v>0</v>
      </c>
      <c r="G51" s="3">
        <v>0</v>
      </c>
    </row>
    <row r="52" spans="2:7" x14ac:dyDescent="0.25">
      <c r="B52" s="3">
        <v>1990</v>
      </c>
      <c r="C52" s="3" t="s">
        <v>39</v>
      </c>
      <c r="D52" s="3">
        <v>6</v>
      </c>
      <c r="E52" s="3">
        <v>0</v>
      </c>
      <c r="F52" s="3">
        <v>0</v>
      </c>
      <c r="G52" s="3">
        <v>0</v>
      </c>
    </row>
    <row r="53" spans="2:7" x14ac:dyDescent="0.25">
      <c r="B53" s="3">
        <v>1990</v>
      </c>
      <c r="C53" s="3" t="s">
        <v>40</v>
      </c>
      <c r="D53" s="3">
        <v>7</v>
      </c>
      <c r="E53" s="3">
        <v>0</v>
      </c>
      <c r="F53" s="3">
        <v>0</v>
      </c>
      <c r="G53" s="3">
        <v>0</v>
      </c>
    </row>
    <row r="54" spans="2:7" x14ac:dyDescent="0.25">
      <c r="B54" s="3">
        <v>1990</v>
      </c>
      <c r="C54" s="3" t="s">
        <v>41</v>
      </c>
      <c r="D54" s="3">
        <v>5</v>
      </c>
      <c r="E54" s="3">
        <v>1</v>
      </c>
      <c r="F54" s="3">
        <v>0</v>
      </c>
      <c r="G54" s="3">
        <v>0</v>
      </c>
    </row>
    <row r="55" spans="2:7" x14ac:dyDescent="0.25">
      <c r="B55" s="3">
        <v>1990</v>
      </c>
      <c r="C55" s="3" t="s">
        <v>42</v>
      </c>
      <c r="D55" s="3">
        <v>12</v>
      </c>
      <c r="E55" s="3">
        <v>3</v>
      </c>
      <c r="F55" s="3">
        <v>0</v>
      </c>
      <c r="G55" s="3">
        <v>1</v>
      </c>
    </row>
    <row r="56" spans="2:7" x14ac:dyDescent="0.25">
      <c r="B56" s="3">
        <v>1991</v>
      </c>
      <c r="C56" s="3" t="s">
        <v>43</v>
      </c>
      <c r="D56" s="3">
        <v>7</v>
      </c>
      <c r="E56" s="3">
        <v>1</v>
      </c>
      <c r="F56" s="3">
        <v>0</v>
      </c>
      <c r="G56" s="3">
        <v>1</v>
      </c>
    </row>
    <row r="57" spans="2:7" x14ac:dyDescent="0.25">
      <c r="B57" s="3">
        <v>1991</v>
      </c>
      <c r="C57" s="3" t="s">
        <v>44</v>
      </c>
      <c r="D57" s="3">
        <v>7</v>
      </c>
      <c r="E57" s="3">
        <v>1</v>
      </c>
      <c r="F57" s="3">
        <v>0</v>
      </c>
      <c r="G57" s="3">
        <v>0</v>
      </c>
    </row>
    <row r="58" spans="2:7" x14ac:dyDescent="0.25">
      <c r="B58" s="3">
        <v>1991</v>
      </c>
      <c r="C58" s="3" t="s">
        <v>45</v>
      </c>
      <c r="D58" s="3">
        <v>8</v>
      </c>
      <c r="E58" s="3">
        <v>1</v>
      </c>
      <c r="F58" s="3">
        <v>0</v>
      </c>
      <c r="G58" s="3">
        <v>0</v>
      </c>
    </row>
    <row r="59" spans="2:7" x14ac:dyDescent="0.25">
      <c r="B59" s="3">
        <v>1991</v>
      </c>
      <c r="C59" s="3" t="s">
        <v>46</v>
      </c>
      <c r="D59" s="3">
        <v>10</v>
      </c>
      <c r="E59" s="3">
        <v>1</v>
      </c>
      <c r="F59" s="3">
        <v>0</v>
      </c>
      <c r="G59" s="3">
        <v>0</v>
      </c>
    </row>
    <row r="60" spans="2:7" x14ac:dyDescent="0.25">
      <c r="B60" s="3">
        <v>1991</v>
      </c>
      <c r="C60" s="3" t="s">
        <v>47</v>
      </c>
      <c r="D60" s="3">
        <v>6</v>
      </c>
      <c r="E60" s="3">
        <v>3</v>
      </c>
      <c r="F60" s="3">
        <v>0</v>
      </c>
      <c r="G60" s="3">
        <v>0</v>
      </c>
    </row>
    <row r="61" spans="2:7" x14ac:dyDescent="0.25">
      <c r="B61" s="3">
        <v>1992</v>
      </c>
      <c r="C61" s="3" t="s">
        <v>48</v>
      </c>
      <c r="D61" s="3">
        <v>4</v>
      </c>
      <c r="E61" s="3">
        <v>0</v>
      </c>
      <c r="F61" s="3">
        <v>0</v>
      </c>
      <c r="G61" s="3">
        <v>0</v>
      </c>
    </row>
    <row r="62" spans="2:7" x14ac:dyDescent="0.25">
      <c r="B62" s="3">
        <v>1992</v>
      </c>
      <c r="C62" s="3" t="s">
        <v>49</v>
      </c>
      <c r="D62" s="3">
        <v>6</v>
      </c>
      <c r="E62" s="3">
        <v>0</v>
      </c>
      <c r="F62" s="3">
        <v>0</v>
      </c>
      <c r="G62" s="3">
        <v>0</v>
      </c>
    </row>
    <row r="63" spans="2:7" x14ac:dyDescent="0.25">
      <c r="B63" s="3">
        <v>1992</v>
      </c>
      <c r="C63" s="3" t="s">
        <v>50</v>
      </c>
      <c r="D63" s="3">
        <v>4</v>
      </c>
      <c r="E63" s="3">
        <v>3</v>
      </c>
      <c r="F63" s="3">
        <v>0</v>
      </c>
      <c r="G63" s="3">
        <v>0</v>
      </c>
    </row>
    <row r="64" spans="2:7" x14ac:dyDescent="0.25">
      <c r="B64" s="3">
        <v>1992</v>
      </c>
      <c r="C64" s="3" t="s">
        <v>51</v>
      </c>
      <c r="D64" s="3">
        <v>9</v>
      </c>
      <c r="E64" s="3">
        <v>1</v>
      </c>
      <c r="F64" s="3">
        <v>0</v>
      </c>
      <c r="G64" s="3">
        <v>0</v>
      </c>
    </row>
    <row r="65" spans="2:7" x14ac:dyDescent="0.25">
      <c r="B65" s="3">
        <v>1992</v>
      </c>
      <c r="C65" s="3" t="s">
        <v>52</v>
      </c>
      <c r="D65" s="3">
        <v>9</v>
      </c>
      <c r="E65" s="3">
        <v>2</v>
      </c>
      <c r="F65" s="3">
        <v>0</v>
      </c>
      <c r="G65" s="3">
        <v>1</v>
      </c>
    </row>
    <row r="66" spans="2:7" x14ac:dyDescent="0.25">
      <c r="B66" s="3">
        <v>1993</v>
      </c>
      <c r="C66" s="3" t="s">
        <v>53</v>
      </c>
      <c r="D66" s="3">
        <v>7</v>
      </c>
      <c r="E66" s="3">
        <v>0</v>
      </c>
      <c r="F66" s="3">
        <v>0</v>
      </c>
      <c r="G66" s="3">
        <v>0</v>
      </c>
    </row>
    <row r="67" spans="2:7" x14ac:dyDescent="0.25">
      <c r="B67" s="3">
        <v>1993</v>
      </c>
      <c r="C67" s="3" t="s">
        <v>54</v>
      </c>
      <c r="D67" s="3">
        <v>8</v>
      </c>
      <c r="E67" s="3">
        <v>0</v>
      </c>
      <c r="F67" s="3">
        <v>0</v>
      </c>
      <c r="G67" s="3">
        <v>0</v>
      </c>
    </row>
    <row r="68" spans="2:7" x14ac:dyDescent="0.25">
      <c r="B68" s="3">
        <v>1993</v>
      </c>
      <c r="C68" s="3" t="s">
        <v>55</v>
      </c>
      <c r="D68" s="3">
        <v>7</v>
      </c>
      <c r="E68" s="3">
        <v>1</v>
      </c>
      <c r="F68" s="3">
        <v>0</v>
      </c>
      <c r="G68" s="3">
        <v>0</v>
      </c>
    </row>
    <row r="69" spans="2:7" x14ac:dyDescent="0.25">
      <c r="B69" s="3">
        <v>1993</v>
      </c>
      <c r="C69" s="3" t="s">
        <v>56</v>
      </c>
      <c r="D69" s="3">
        <v>8</v>
      </c>
      <c r="E69" s="3">
        <v>1</v>
      </c>
      <c r="F69" s="3">
        <v>0</v>
      </c>
      <c r="G69" s="3">
        <v>0</v>
      </c>
    </row>
    <row r="70" spans="2:7" x14ac:dyDescent="0.25">
      <c r="B70" s="3">
        <v>1993</v>
      </c>
      <c r="C70" s="3" t="s">
        <v>57</v>
      </c>
      <c r="D70" s="3">
        <v>12</v>
      </c>
      <c r="E70" s="3">
        <v>3</v>
      </c>
      <c r="F70" s="3">
        <v>0</v>
      </c>
      <c r="G70" s="3">
        <v>1</v>
      </c>
    </row>
    <row r="71" spans="2:7" x14ac:dyDescent="0.25">
      <c r="B71" s="3">
        <v>1994</v>
      </c>
      <c r="C71" s="3" t="s">
        <v>58</v>
      </c>
      <c r="D71" s="3">
        <v>4</v>
      </c>
      <c r="E71" s="3">
        <v>0</v>
      </c>
      <c r="F71" s="3">
        <v>0</v>
      </c>
      <c r="G71" s="3">
        <v>0</v>
      </c>
    </row>
    <row r="72" spans="2:7" x14ac:dyDescent="0.25">
      <c r="B72" s="3">
        <v>1994</v>
      </c>
      <c r="C72" s="3" t="s">
        <v>59</v>
      </c>
      <c r="D72" s="3">
        <v>2</v>
      </c>
      <c r="E72" s="3">
        <v>1</v>
      </c>
      <c r="F72" s="3">
        <v>0</v>
      </c>
      <c r="G72" s="3">
        <v>0</v>
      </c>
    </row>
    <row r="73" spans="2:7" x14ac:dyDescent="0.25">
      <c r="B73" s="3">
        <v>1994</v>
      </c>
      <c r="C73" s="3" t="s">
        <v>60</v>
      </c>
      <c r="D73" s="3">
        <v>7</v>
      </c>
      <c r="E73" s="3">
        <v>0</v>
      </c>
      <c r="F73" s="3">
        <v>0</v>
      </c>
      <c r="G73" s="3">
        <v>0</v>
      </c>
    </row>
    <row r="74" spans="2:7" x14ac:dyDescent="0.25">
      <c r="B74" s="3">
        <v>1994</v>
      </c>
      <c r="C74" s="3" t="s">
        <v>61</v>
      </c>
      <c r="D74" s="3">
        <v>7</v>
      </c>
      <c r="E74" s="3">
        <v>1</v>
      </c>
      <c r="F74" s="3">
        <v>0</v>
      </c>
      <c r="G74" s="3">
        <v>0</v>
      </c>
    </row>
    <row r="75" spans="2:7" x14ac:dyDescent="0.25">
      <c r="B75" s="3">
        <v>1994</v>
      </c>
      <c r="C75" s="3" t="s">
        <v>62</v>
      </c>
      <c r="D75" s="3">
        <v>13</v>
      </c>
      <c r="E75" s="3">
        <v>3</v>
      </c>
      <c r="F75" s="3">
        <v>0</v>
      </c>
      <c r="G75" s="3">
        <v>1</v>
      </c>
    </row>
    <row r="76" spans="2:7" x14ac:dyDescent="0.25">
      <c r="B76" s="3">
        <v>1995</v>
      </c>
      <c r="C76" s="3" t="s">
        <v>63</v>
      </c>
      <c r="D76" s="3">
        <v>7</v>
      </c>
      <c r="E76" s="3">
        <v>1</v>
      </c>
      <c r="F76" s="3">
        <v>1</v>
      </c>
      <c r="G76" s="3">
        <v>0</v>
      </c>
    </row>
    <row r="77" spans="2:7" x14ac:dyDescent="0.25">
      <c r="B77" s="3">
        <v>1995</v>
      </c>
      <c r="C77" s="3" t="s">
        <v>64</v>
      </c>
      <c r="D77" s="3">
        <v>5</v>
      </c>
      <c r="E77" s="3">
        <v>0</v>
      </c>
      <c r="F77" s="3">
        <v>1</v>
      </c>
      <c r="G77" s="3">
        <v>0</v>
      </c>
    </row>
    <row r="78" spans="2:7" x14ac:dyDescent="0.25">
      <c r="B78" s="3">
        <v>1995</v>
      </c>
      <c r="C78" s="3" t="s">
        <v>65</v>
      </c>
      <c r="D78" s="3">
        <v>9</v>
      </c>
      <c r="E78" s="3">
        <v>0</v>
      </c>
      <c r="F78" s="3">
        <v>0</v>
      </c>
      <c r="G78" s="3">
        <v>0</v>
      </c>
    </row>
    <row r="79" spans="2:7" x14ac:dyDescent="0.25">
      <c r="B79" s="3">
        <v>1995</v>
      </c>
      <c r="C79" s="3" t="s">
        <v>66</v>
      </c>
      <c r="D79" s="3">
        <v>7</v>
      </c>
      <c r="E79" s="3">
        <v>2</v>
      </c>
      <c r="F79" s="3">
        <v>0</v>
      </c>
      <c r="G79" s="3">
        <v>0</v>
      </c>
    </row>
    <row r="80" spans="2:7" x14ac:dyDescent="0.25">
      <c r="B80" s="3">
        <v>1995</v>
      </c>
      <c r="C80" s="3" t="s">
        <v>67</v>
      </c>
      <c r="D80" s="3">
        <v>10</v>
      </c>
      <c r="E80" s="3">
        <v>1</v>
      </c>
      <c r="F80" s="3">
        <v>0</v>
      </c>
      <c r="G80" s="3">
        <v>1</v>
      </c>
    </row>
    <row r="81" spans="2:7" x14ac:dyDescent="0.25">
      <c r="B81" s="3">
        <v>1996</v>
      </c>
      <c r="C81" s="3" t="s">
        <v>68</v>
      </c>
      <c r="D81" s="3">
        <v>7</v>
      </c>
      <c r="E81" s="3">
        <v>0</v>
      </c>
      <c r="F81" s="3">
        <v>0</v>
      </c>
      <c r="G81" s="3">
        <v>0</v>
      </c>
    </row>
    <row r="82" spans="2:7" x14ac:dyDescent="0.25">
      <c r="B82" s="3">
        <v>1996</v>
      </c>
      <c r="C82" s="3" t="s">
        <v>69</v>
      </c>
      <c r="D82" s="3">
        <v>5</v>
      </c>
      <c r="E82" s="3">
        <v>1</v>
      </c>
      <c r="F82" s="3">
        <v>0</v>
      </c>
      <c r="G82" s="3">
        <v>0</v>
      </c>
    </row>
    <row r="83" spans="2:7" x14ac:dyDescent="0.25">
      <c r="B83" s="3">
        <v>1996</v>
      </c>
      <c r="C83" s="3" t="s">
        <v>70</v>
      </c>
      <c r="D83" s="3">
        <v>5</v>
      </c>
      <c r="E83" s="3">
        <v>1</v>
      </c>
      <c r="F83" s="3">
        <v>0</v>
      </c>
      <c r="G83" s="3">
        <v>0</v>
      </c>
    </row>
    <row r="84" spans="2:7" x14ac:dyDescent="0.25">
      <c r="B84" s="3">
        <v>1996</v>
      </c>
      <c r="C84" s="3" t="s">
        <v>71</v>
      </c>
      <c r="D84" s="3">
        <v>7</v>
      </c>
      <c r="E84" s="3">
        <v>1</v>
      </c>
      <c r="F84" s="3">
        <v>0</v>
      </c>
      <c r="G84" s="3">
        <v>0</v>
      </c>
    </row>
    <row r="85" spans="2:7" x14ac:dyDescent="0.25">
      <c r="B85" s="3">
        <v>1996</v>
      </c>
      <c r="C85" s="3" t="s">
        <v>72</v>
      </c>
      <c r="D85" s="3">
        <v>12</v>
      </c>
      <c r="E85" s="3">
        <v>2</v>
      </c>
      <c r="F85" s="3">
        <v>0</v>
      </c>
      <c r="G85" s="3">
        <v>1</v>
      </c>
    </row>
    <row r="86" spans="2:7" x14ac:dyDescent="0.25">
      <c r="B86" s="3">
        <v>1997</v>
      </c>
      <c r="C86" s="3" t="s">
        <v>73</v>
      </c>
      <c r="D86" s="3">
        <v>4</v>
      </c>
      <c r="E86" s="3">
        <v>0</v>
      </c>
      <c r="F86" s="3">
        <v>1</v>
      </c>
      <c r="G86" s="3">
        <v>0</v>
      </c>
    </row>
    <row r="87" spans="2:7" x14ac:dyDescent="0.25">
      <c r="B87" s="3">
        <v>1997</v>
      </c>
      <c r="C87" s="3" t="s">
        <v>74</v>
      </c>
      <c r="D87" s="3">
        <v>7</v>
      </c>
      <c r="E87" s="3">
        <v>3</v>
      </c>
      <c r="F87" s="3">
        <v>1</v>
      </c>
      <c r="G87" s="3">
        <v>0</v>
      </c>
    </row>
    <row r="88" spans="2:7" x14ac:dyDescent="0.25">
      <c r="B88" s="3">
        <v>1997</v>
      </c>
      <c r="C88" s="3" t="s">
        <v>75</v>
      </c>
      <c r="D88" s="3">
        <v>9</v>
      </c>
      <c r="E88" s="3">
        <v>1</v>
      </c>
      <c r="F88" s="3">
        <v>0</v>
      </c>
      <c r="G88" s="3">
        <v>0</v>
      </c>
    </row>
    <row r="89" spans="2:7" x14ac:dyDescent="0.25">
      <c r="B89" s="3">
        <v>1997</v>
      </c>
      <c r="C89" s="3" t="s">
        <v>76</v>
      </c>
      <c r="D89" s="3">
        <v>9</v>
      </c>
      <c r="E89" s="3">
        <v>1</v>
      </c>
      <c r="F89" s="3">
        <v>0</v>
      </c>
      <c r="G89" s="3">
        <v>0</v>
      </c>
    </row>
    <row r="90" spans="2:7" x14ac:dyDescent="0.25">
      <c r="B90" s="3">
        <v>1997</v>
      </c>
      <c r="C90" s="3" t="s">
        <v>77</v>
      </c>
      <c r="D90" s="3">
        <v>14</v>
      </c>
      <c r="E90" s="3">
        <v>4</v>
      </c>
      <c r="F90" s="3">
        <v>0</v>
      </c>
      <c r="G90" s="3">
        <v>1</v>
      </c>
    </row>
    <row r="91" spans="2:7" x14ac:dyDescent="0.25">
      <c r="B91" s="3">
        <v>1998</v>
      </c>
      <c r="C91" s="3" t="s">
        <v>78</v>
      </c>
      <c r="D91" s="3">
        <v>7</v>
      </c>
      <c r="E91" s="3">
        <v>0</v>
      </c>
      <c r="F91" s="3">
        <v>0</v>
      </c>
      <c r="G91" s="3">
        <v>0</v>
      </c>
    </row>
    <row r="92" spans="2:7" x14ac:dyDescent="0.25">
      <c r="B92" s="3">
        <v>1998</v>
      </c>
      <c r="C92" s="3" t="s">
        <v>79</v>
      </c>
      <c r="D92" s="3">
        <v>7</v>
      </c>
      <c r="E92" s="3">
        <v>0</v>
      </c>
      <c r="F92" s="3">
        <v>0</v>
      </c>
      <c r="G92" s="3">
        <v>0</v>
      </c>
    </row>
    <row r="93" spans="2:7" x14ac:dyDescent="0.25">
      <c r="B93" s="3">
        <v>1998</v>
      </c>
      <c r="C93" s="3" t="s">
        <v>80</v>
      </c>
      <c r="D93" s="3">
        <v>7</v>
      </c>
      <c r="E93" s="3">
        <v>1</v>
      </c>
      <c r="F93" s="3">
        <v>0</v>
      </c>
      <c r="G93" s="3">
        <v>0</v>
      </c>
    </row>
    <row r="94" spans="2:7" x14ac:dyDescent="0.25">
      <c r="B94" s="3">
        <v>1998</v>
      </c>
      <c r="C94" s="3" t="s">
        <v>81</v>
      </c>
      <c r="D94" s="3">
        <v>11</v>
      </c>
      <c r="E94" s="3">
        <v>2</v>
      </c>
      <c r="F94" s="3">
        <v>0</v>
      </c>
      <c r="G94" s="3">
        <v>0</v>
      </c>
    </row>
    <row r="95" spans="2:7" x14ac:dyDescent="0.25">
      <c r="B95" s="3">
        <v>1998</v>
      </c>
      <c r="C95" s="3" t="s">
        <v>82</v>
      </c>
      <c r="D95" s="3">
        <v>13</v>
      </c>
      <c r="E95" s="3">
        <v>3</v>
      </c>
      <c r="F95" s="3">
        <v>0</v>
      </c>
      <c r="G95" s="3">
        <v>1</v>
      </c>
    </row>
    <row r="96" spans="2:7" x14ac:dyDescent="0.25">
      <c r="B96" s="3">
        <v>1999</v>
      </c>
      <c r="C96" s="3" t="s">
        <v>83</v>
      </c>
      <c r="D96" s="3">
        <v>4</v>
      </c>
      <c r="E96" s="3">
        <v>0</v>
      </c>
      <c r="F96" s="3">
        <v>0</v>
      </c>
      <c r="G96" s="3">
        <v>0</v>
      </c>
    </row>
    <row r="97" spans="2:7" x14ac:dyDescent="0.25">
      <c r="B97" s="3">
        <v>1999</v>
      </c>
      <c r="C97" s="3" t="s">
        <v>84</v>
      </c>
      <c r="D97" s="3">
        <v>6</v>
      </c>
      <c r="E97" s="3">
        <v>0</v>
      </c>
      <c r="F97" s="3">
        <v>0</v>
      </c>
      <c r="G97" s="3">
        <v>0</v>
      </c>
    </row>
    <row r="98" spans="2:7" x14ac:dyDescent="0.25">
      <c r="B98" s="3">
        <v>1999</v>
      </c>
      <c r="C98" s="3" t="s">
        <v>85</v>
      </c>
      <c r="D98" s="3">
        <v>7</v>
      </c>
      <c r="E98" s="3">
        <v>0</v>
      </c>
      <c r="F98" s="3">
        <v>0</v>
      </c>
      <c r="G98" s="3">
        <v>0</v>
      </c>
    </row>
    <row r="99" spans="2:7" x14ac:dyDescent="0.25">
      <c r="B99" s="3">
        <v>1999</v>
      </c>
      <c r="C99" s="3" t="s">
        <v>86</v>
      </c>
      <c r="D99" s="3">
        <v>7</v>
      </c>
      <c r="E99" s="3">
        <v>0</v>
      </c>
      <c r="F99" s="3">
        <v>0</v>
      </c>
      <c r="G99" s="3">
        <v>0</v>
      </c>
    </row>
    <row r="100" spans="2:7" x14ac:dyDescent="0.25">
      <c r="B100" s="3">
        <v>1999</v>
      </c>
      <c r="C100" s="3" t="s">
        <v>87</v>
      </c>
      <c r="D100" s="3">
        <v>8</v>
      </c>
      <c r="E100" s="3">
        <v>3</v>
      </c>
      <c r="F100" s="3">
        <v>0</v>
      </c>
      <c r="G100" s="3">
        <v>1</v>
      </c>
    </row>
    <row r="101" spans="2:7" x14ac:dyDescent="0.25">
      <c r="B101" s="3">
        <v>2000</v>
      </c>
      <c r="C101" s="3" t="s">
        <v>88</v>
      </c>
      <c r="D101" s="3">
        <v>5</v>
      </c>
      <c r="E101" s="3">
        <v>0</v>
      </c>
      <c r="F101" s="3">
        <v>1</v>
      </c>
      <c r="G101" s="3">
        <v>0</v>
      </c>
    </row>
    <row r="102" spans="2:7" x14ac:dyDescent="0.25">
      <c r="B102" s="3">
        <v>2000</v>
      </c>
      <c r="C102" s="3" t="s">
        <v>89</v>
      </c>
      <c r="D102" s="3">
        <v>5</v>
      </c>
      <c r="E102" s="3">
        <v>1</v>
      </c>
      <c r="F102" s="3">
        <v>0</v>
      </c>
      <c r="G102" s="3">
        <v>0</v>
      </c>
    </row>
    <row r="103" spans="2:7" x14ac:dyDescent="0.25">
      <c r="B103" s="3">
        <v>2000</v>
      </c>
      <c r="C103" s="3" t="s">
        <v>90</v>
      </c>
      <c r="D103" s="3">
        <v>5</v>
      </c>
      <c r="E103" s="3">
        <v>2</v>
      </c>
      <c r="F103" s="3">
        <v>0</v>
      </c>
      <c r="G103" s="3">
        <v>0</v>
      </c>
    </row>
    <row r="104" spans="2:7" x14ac:dyDescent="0.25">
      <c r="B104" s="3">
        <v>2000</v>
      </c>
      <c r="C104" s="3" t="s">
        <v>91</v>
      </c>
      <c r="D104" s="3">
        <v>10</v>
      </c>
      <c r="E104" s="3">
        <v>2</v>
      </c>
      <c r="F104" s="3">
        <v>0</v>
      </c>
      <c r="G104" s="3">
        <v>0</v>
      </c>
    </row>
    <row r="105" spans="2:7" x14ac:dyDescent="0.25">
      <c r="B105" s="3">
        <v>2000</v>
      </c>
      <c r="C105" s="3" t="s">
        <v>92</v>
      </c>
      <c r="D105" s="3">
        <v>12</v>
      </c>
      <c r="E105" s="3">
        <v>2</v>
      </c>
      <c r="F105" s="3">
        <v>0</v>
      </c>
      <c r="G105" s="3">
        <v>1</v>
      </c>
    </row>
    <row r="106" spans="2:7" x14ac:dyDescent="0.25">
      <c r="B106" s="3">
        <v>2001</v>
      </c>
      <c r="C106" s="3" t="s">
        <v>93</v>
      </c>
      <c r="D106" s="3">
        <v>5</v>
      </c>
      <c r="E106" s="3">
        <v>1</v>
      </c>
      <c r="F106" s="3">
        <v>0</v>
      </c>
      <c r="G106" s="3">
        <v>0</v>
      </c>
    </row>
    <row r="107" spans="2:7" x14ac:dyDescent="0.25">
      <c r="B107" s="3">
        <v>2001</v>
      </c>
      <c r="C107" s="3" t="s">
        <v>94</v>
      </c>
      <c r="D107" s="3">
        <v>7</v>
      </c>
      <c r="E107" s="3">
        <v>1</v>
      </c>
      <c r="F107" s="3">
        <v>0</v>
      </c>
      <c r="G107" s="3">
        <v>0</v>
      </c>
    </row>
    <row r="108" spans="2:7" x14ac:dyDescent="0.25">
      <c r="B108" s="3">
        <v>2001</v>
      </c>
      <c r="C108" s="3" t="s">
        <v>95</v>
      </c>
      <c r="D108" s="3">
        <v>13</v>
      </c>
      <c r="E108" s="3">
        <v>0</v>
      </c>
      <c r="F108" s="3">
        <v>0</v>
      </c>
      <c r="G108" s="3">
        <v>0</v>
      </c>
    </row>
    <row r="109" spans="2:7" x14ac:dyDescent="0.25">
      <c r="B109" s="3">
        <v>2001</v>
      </c>
      <c r="C109" s="3" t="s">
        <v>96</v>
      </c>
      <c r="D109" s="3">
        <v>8</v>
      </c>
      <c r="E109" s="3">
        <v>3</v>
      </c>
      <c r="F109" s="3">
        <v>0</v>
      </c>
      <c r="G109" s="3">
        <v>0</v>
      </c>
    </row>
    <row r="110" spans="2:7" x14ac:dyDescent="0.25">
      <c r="B110" s="3">
        <v>2001</v>
      </c>
      <c r="C110" s="3" t="s">
        <v>97</v>
      </c>
      <c r="D110" s="3">
        <v>8</v>
      </c>
      <c r="E110" s="3">
        <v>4</v>
      </c>
      <c r="F110" s="3">
        <v>0</v>
      </c>
      <c r="G110" s="3">
        <v>1</v>
      </c>
    </row>
    <row r="111" spans="2:7" x14ac:dyDescent="0.25">
      <c r="B111" s="3">
        <v>2002</v>
      </c>
      <c r="C111" s="3" t="s">
        <v>98</v>
      </c>
      <c r="D111" s="3">
        <v>6</v>
      </c>
      <c r="E111" s="3">
        <v>0</v>
      </c>
      <c r="F111" s="3">
        <v>0</v>
      </c>
      <c r="G111" s="3">
        <v>0</v>
      </c>
    </row>
    <row r="112" spans="2:7" x14ac:dyDescent="0.25">
      <c r="B112" s="3">
        <v>2002</v>
      </c>
      <c r="C112" s="3" t="s">
        <v>99</v>
      </c>
      <c r="D112" s="3">
        <v>7</v>
      </c>
      <c r="E112" s="3">
        <v>0</v>
      </c>
      <c r="F112" s="3">
        <v>0</v>
      </c>
      <c r="G112" s="3">
        <v>0</v>
      </c>
    </row>
    <row r="113" spans="2:7" x14ac:dyDescent="0.25">
      <c r="B113" s="3">
        <v>2002</v>
      </c>
      <c r="C113" s="3" t="s">
        <v>100</v>
      </c>
      <c r="D113" s="3">
        <v>9</v>
      </c>
      <c r="E113" s="3">
        <v>2</v>
      </c>
      <c r="F113" s="3">
        <v>0</v>
      </c>
      <c r="G113" s="3">
        <v>0</v>
      </c>
    </row>
    <row r="114" spans="2:7" x14ac:dyDescent="0.25">
      <c r="B114" s="3">
        <v>2002</v>
      </c>
      <c r="C114" s="3" t="s">
        <v>101</v>
      </c>
      <c r="D114" s="3">
        <v>10</v>
      </c>
      <c r="E114" s="3">
        <v>2</v>
      </c>
      <c r="F114" s="3">
        <v>0</v>
      </c>
      <c r="G114" s="3">
        <v>0</v>
      </c>
    </row>
    <row r="115" spans="2:7" x14ac:dyDescent="0.25">
      <c r="B115" s="3">
        <v>2002</v>
      </c>
      <c r="C115" s="3" t="s">
        <v>102</v>
      </c>
      <c r="D115" s="3">
        <v>13</v>
      </c>
      <c r="E115" s="3">
        <v>3</v>
      </c>
      <c r="F115" s="3">
        <v>0</v>
      </c>
      <c r="G115" s="3">
        <v>1</v>
      </c>
    </row>
    <row r="116" spans="2:7" x14ac:dyDescent="0.25">
      <c r="B116" s="3">
        <v>2003</v>
      </c>
      <c r="C116" s="3" t="s">
        <v>103</v>
      </c>
      <c r="D116" s="3">
        <v>7</v>
      </c>
      <c r="E116" s="3">
        <v>0</v>
      </c>
      <c r="F116" s="3">
        <v>0</v>
      </c>
      <c r="G116" s="3">
        <v>0</v>
      </c>
    </row>
    <row r="117" spans="2:7" x14ac:dyDescent="0.25">
      <c r="B117" s="3">
        <v>2003</v>
      </c>
      <c r="C117" s="3" t="s">
        <v>104</v>
      </c>
      <c r="D117" s="3">
        <v>10</v>
      </c>
      <c r="E117" s="3">
        <v>0</v>
      </c>
      <c r="F117" s="3">
        <v>0</v>
      </c>
      <c r="G117" s="3">
        <v>0</v>
      </c>
    </row>
    <row r="118" spans="2:7" x14ac:dyDescent="0.25">
      <c r="B118" s="3">
        <v>2003</v>
      </c>
      <c r="C118" s="3" t="s">
        <v>105</v>
      </c>
      <c r="D118" s="3">
        <v>6</v>
      </c>
      <c r="E118" s="3">
        <v>2</v>
      </c>
      <c r="F118" s="3">
        <v>0</v>
      </c>
      <c r="G118" s="3">
        <v>0</v>
      </c>
    </row>
    <row r="119" spans="2:7" x14ac:dyDescent="0.25">
      <c r="B119" s="3">
        <v>2003</v>
      </c>
      <c r="C119" s="3" t="s">
        <v>106</v>
      </c>
      <c r="D119" s="3">
        <v>4</v>
      </c>
      <c r="E119" s="3">
        <v>3</v>
      </c>
      <c r="F119" s="3">
        <v>0</v>
      </c>
      <c r="G119" s="3">
        <v>0</v>
      </c>
    </row>
    <row r="120" spans="2:7" x14ac:dyDescent="0.25">
      <c r="B120" s="3">
        <v>2003</v>
      </c>
      <c r="C120" s="3" t="s">
        <v>107</v>
      </c>
      <c r="D120" s="3">
        <v>11</v>
      </c>
      <c r="E120" s="3">
        <v>4</v>
      </c>
      <c r="F120" s="3">
        <v>0</v>
      </c>
      <c r="G120" s="3">
        <v>1</v>
      </c>
    </row>
    <row r="121" spans="2:7" x14ac:dyDescent="0.25">
      <c r="B121" s="3">
        <v>2004</v>
      </c>
      <c r="C121" s="3" t="s">
        <v>108</v>
      </c>
      <c r="D121" s="3">
        <v>5</v>
      </c>
      <c r="E121" s="3">
        <v>2</v>
      </c>
      <c r="F121" s="3">
        <v>1</v>
      </c>
      <c r="G121" s="3">
        <v>0</v>
      </c>
    </row>
    <row r="122" spans="2:7" x14ac:dyDescent="0.25">
      <c r="B122" s="3">
        <v>2004</v>
      </c>
      <c r="C122" s="3" t="s">
        <v>109</v>
      </c>
      <c r="D122" s="3">
        <v>7</v>
      </c>
      <c r="E122" s="3">
        <v>0</v>
      </c>
      <c r="F122" s="3">
        <v>0</v>
      </c>
      <c r="G122" s="3">
        <v>0</v>
      </c>
    </row>
    <row r="123" spans="2:7" x14ac:dyDescent="0.25">
      <c r="B123" s="3">
        <v>2004</v>
      </c>
      <c r="C123" s="3" t="s">
        <v>110</v>
      </c>
      <c r="D123" s="3">
        <v>6</v>
      </c>
      <c r="E123" s="3">
        <v>1</v>
      </c>
      <c r="F123" s="3">
        <v>0</v>
      </c>
      <c r="G123" s="3">
        <v>0</v>
      </c>
    </row>
    <row r="124" spans="2:7" x14ac:dyDescent="0.25">
      <c r="B124" s="3">
        <v>2004</v>
      </c>
      <c r="C124" s="3" t="s">
        <v>111</v>
      </c>
      <c r="D124" s="3">
        <v>7</v>
      </c>
      <c r="E124" s="3">
        <v>2</v>
      </c>
      <c r="F124" s="3">
        <v>0</v>
      </c>
      <c r="G124" s="3">
        <v>1</v>
      </c>
    </row>
    <row r="125" spans="2:7" x14ac:dyDescent="0.25">
      <c r="B125" s="3">
        <v>2004</v>
      </c>
      <c r="C125" s="3" t="s">
        <v>112</v>
      </c>
      <c r="D125" s="3">
        <v>11</v>
      </c>
      <c r="E125" s="3">
        <v>3</v>
      </c>
      <c r="F125" s="3">
        <v>0</v>
      </c>
      <c r="G125" s="3">
        <v>0</v>
      </c>
    </row>
    <row r="126" spans="2:7" x14ac:dyDescent="0.25">
      <c r="B126" s="3">
        <v>2005</v>
      </c>
      <c r="C126" s="3" t="s">
        <v>113</v>
      </c>
      <c r="D126" s="3">
        <v>6</v>
      </c>
      <c r="E126" s="3">
        <v>0</v>
      </c>
      <c r="F126" s="3">
        <v>0</v>
      </c>
      <c r="G126" s="3">
        <v>1</v>
      </c>
    </row>
    <row r="127" spans="2:7" x14ac:dyDescent="0.25">
      <c r="B127" s="3">
        <v>2005</v>
      </c>
      <c r="C127" s="3" t="s">
        <v>115</v>
      </c>
      <c r="D127" s="3">
        <v>8</v>
      </c>
      <c r="E127" s="3">
        <v>4</v>
      </c>
      <c r="F127" s="3">
        <v>0</v>
      </c>
      <c r="G127" s="3">
        <v>0</v>
      </c>
    </row>
    <row r="128" spans="2:7" x14ac:dyDescent="0.25">
      <c r="B128" s="3">
        <v>2005</v>
      </c>
      <c r="C128" s="3" t="s">
        <v>116</v>
      </c>
      <c r="D128" s="3">
        <v>5</v>
      </c>
      <c r="E128" s="3">
        <v>1</v>
      </c>
      <c r="F128" s="3">
        <v>0</v>
      </c>
      <c r="G128" s="3">
        <v>0</v>
      </c>
    </row>
    <row r="129" spans="2:7" x14ac:dyDescent="0.25">
      <c r="B129" s="3">
        <v>2005</v>
      </c>
      <c r="C129" s="3" t="s">
        <v>117</v>
      </c>
      <c r="D129" s="3">
        <v>6</v>
      </c>
      <c r="E129" s="3">
        <v>0</v>
      </c>
      <c r="F129" s="3">
        <v>0</v>
      </c>
      <c r="G129" s="3">
        <v>0</v>
      </c>
    </row>
    <row r="130" spans="2:7" x14ac:dyDescent="0.25">
      <c r="B130" s="3">
        <v>2005</v>
      </c>
      <c r="C130" s="3" t="s">
        <v>118</v>
      </c>
      <c r="D130" s="3">
        <v>5</v>
      </c>
      <c r="E130" s="3">
        <v>0</v>
      </c>
      <c r="F130" s="3">
        <v>0</v>
      </c>
      <c r="G130" s="3">
        <v>0</v>
      </c>
    </row>
    <row r="131" spans="2:7" x14ac:dyDescent="0.25">
      <c r="B131" s="3">
        <v>2006</v>
      </c>
      <c r="C131" s="3" t="s">
        <v>119</v>
      </c>
      <c r="D131" s="3">
        <v>7</v>
      </c>
      <c r="E131" s="3">
        <v>1</v>
      </c>
      <c r="F131" s="3">
        <v>0</v>
      </c>
      <c r="G131" s="3">
        <v>0</v>
      </c>
    </row>
    <row r="132" spans="2:7" x14ac:dyDescent="0.25">
      <c r="B132" s="3">
        <v>2006</v>
      </c>
      <c r="C132" s="3" t="s">
        <v>120</v>
      </c>
      <c r="D132" s="3">
        <v>5</v>
      </c>
      <c r="E132" s="3">
        <v>1</v>
      </c>
      <c r="F132" s="3">
        <v>0</v>
      </c>
      <c r="G132" s="3">
        <v>1</v>
      </c>
    </row>
    <row r="133" spans="2:7" x14ac:dyDescent="0.25">
      <c r="B133" s="3">
        <v>2006</v>
      </c>
      <c r="C133" s="3" t="s">
        <v>121</v>
      </c>
      <c r="D133" s="3">
        <v>4</v>
      </c>
      <c r="E133" s="3">
        <v>1</v>
      </c>
      <c r="F133" s="3">
        <v>0</v>
      </c>
      <c r="G133" s="3">
        <v>0</v>
      </c>
    </row>
    <row r="134" spans="2:7" x14ac:dyDescent="0.25">
      <c r="B134" s="3">
        <v>2006</v>
      </c>
      <c r="C134" s="3" t="s">
        <v>122</v>
      </c>
      <c r="D134" s="3">
        <v>4</v>
      </c>
      <c r="E134" s="3">
        <v>0</v>
      </c>
      <c r="F134" s="3">
        <v>1</v>
      </c>
      <c r="G134" s="3">
        <v>0</v>
      </c>
    </row>
    <row r="135" spans="2:7" x14ac:dyDescent="0.25">
      <c r="B135" s="3">
        <v>2006</v>
      </c>
      <c r="C135" s="3" t="s">
        <v>123</v>
      </c>
      <c r="D135" s="3">
        <v>6</v>
      </c>
      <c r="E135" s="3">
        <v>2</v>
      </c>
      <c r="F135" s="3">
        <v>0</v>
      </c>
      <c r="G135" s="3">
        <v>0</v>
      </c>
    </row>
    <row r="136" spans="2:7" x14ac:dyDescent="0.25">
      <c r="B136" s="3">
        <v>2007</v>
      </c>
      <c r="C136" s="3" t="s">
        <v>124</v>
      </c>
      <c r="D136" s="3">
        <v>7</v>
      </c>
      <c r="E136" s="3">
        <v>2</v>
      </c>
      <c r="F136" s="3">
        <v>0</v>
      </c>
      <c r="G136" s="3">
        <v>0</v>
      </c>
    </row>
    <row r="137" spans="2:7" x14ac:dyDescent="0.25">
      <c r="B137" s="3">
        <v>2007</v>
      </c>
      <c r="C137" s="3" t="s">
        <v>125</v>
      </c>
      <c r="D137" s="3">
        <v>4</v>
      </c>
      <c r="E137" s="3">
        <v>0</v>
      </c>
      <c r="F137" s="3">
        <v>1</v>
      </c>
      <c r="G137" s="3">
        <v>0</v>
      </c>
    </row>
    <row r="138" spans="2:7" x14ac:dyDescent="0.25">
      <c r="B138" s="3">
        <v>2007</v>
      </c>
      <c r="C138" s="3" t="s">
        <v>126</v>
      </c>
      <c r="D138" s="3">
        <v>7</v>
      </c>
      <c r="E138" s="3">
        <v>0</v>
      </c>
      <c r="F138" s="3">
        <v>0</v>
      </c>
      <c r="G138" s="3">
        <v>0</v>
      </c>
    </row>
    <row r="139" spans="2:7" x14ac:dyDescent="0.25">
      <c r="B139" s="3">
        <v>2007</v>
      </c>
      <c r="C139" s="3" t="s">
        <v>127</v>
      </c>
      <c r="D139" s="3">
        <v>8</v>
      </c>
      <c r="E139" s="3">
        <v>1</v>
      </c>
      <c r="F139" s="3">
        <v>0</v>
      </c>
      <c r="G139" s="3">
        <v>0</v>
      </c>
    </row>
    <row r="140" spans="2:7" x14ac:dyDescent="0.25">
      <c r="B140" s="3">
        <v>2007</v>
      </c>
      <c r="C140" s="3" t="s">
        <v>128</v>
      </c>
      <c r="D140" s="3">
        <v>8</v>
      </c>
      <c r="E140" s="3">
        <v>2</v>
      </c>
      <c r="F140" s="3">
        <v>0</v>
      </c>
      <c r="G140" s="3">
        <v>1</v>
      </c>
    </row>
    <row r="141" spans="2:7" x14ac:dyDescent="0.25">
      <c r="B141" s="3">
        <v>2008</v>
      </c>
      <c r="C141" s="3" t="s">
        <v>129</v>
      </c>
      <c r="D141" s="3">
        <v>13</v>
      </c>
      <c r="E141" s="3">
        <v>0</v>
      </c>
      <c r="F141" s="3">
        <v>0</v>
      </c>
      <c r="G141" s="3">
        <v>0</v>
      </c>
    </row>
    <row r="142" spans="2:7" x14ac:dyDescent="0.25">
      <c r="B142" s="3">
        <v>2008</v>
      </c>
      <c r="C142" s="3" t="s">
        <v>130</v>
      </c>
      <c r="D142" s="3">
        <v>5</v>
      </c>
      <c r="E142" s="3">
        <v>0</v>
      </c>
      <c r="F142" s="3">
        <v>0</v>
      </c>
      <c r="G142" s="3">
        <v>0</v>
      </c>
    </row>
    <row r="143" spans="2:7" x14ac:dyDescent="0.25">
      <c r="B143" s="3">
        <v>2008</v>
      </c>
      <c r="C143" s="3" t="s">
        <v>131</v>
      </c>
      <c r="D143" s="3">
        <v>8</v>
      </c>
      <c r="E143" s="3">
        <v>0</v>
      </c>
      <c r="F143" s="3">
        <v>0</v>
      </c>
      <c r="G143" s="3">
        <v>0</v>
      </c>
    </row>
    <row r="144" spans="2:7" x14ac:dyDescent="0.25">
      <c r="B144" s="3">
        <v>2008</v>
      </c>
      <c r="C144" s="3" t="s">
        <v>132</v>
      </c>
      <c r="D144" s="3">
        <v>5</v>
      </c>
      <c r="E144" s="3">
        <v>1</v>
      </c>
      <c r="F144" s="3">
        <v>0</v>
      </c>
      <c r="G144" s="3">
        <v>0</v>
      </c>
    </row>
    <row r="145" spans="2:7" x14ac:dyDescent="0.25">
      <c r="B145" s="3">
        <v>2008</v>
      </c>
      <c r="C145" s="3" t="s">
        <v>133</v>
      </c>
      <c r="D145" s="3">
        <v>10</v>
      </c>
      <c r="E145" s="3">
        <v>4</v>
      </c>
      <c r="F145" s="3">
        <v>0</v>
      </c>
      <c r="G145" s="3">
        <v>1</v>
      </c>
    </row>
    <row r="146" spans="2:7" x14ac:dyDescent="0.25">
      <c r="B146" s="3">
        <v>2009</v>
      </c>
      <c r="C146" s="3" t="s">
        <v>134</v>
      </c>
      <c r="D146" s="3">
        <v>9</v>
      </c>
      <c r="E146" s="3">
        <v>0</v>
      </c>
      <c r="F146" s="3">
        <v>0</v>
      </c>
      <c r="G146" s="3">
        <v>1</v>
      </c>
    </row>
    <row r="147" spans="2:7" x14ac:dyDescent="0.25">
      <c r="B147" s="3">
        <v>2009</v>
      </c>
      <c r="C147" s="3" t="s">
        <v>135</v>
      </c>
      <c r="D147" s="3">
        <v>9</v>
      </c>
      <c r="E147" s="3">
        <v>2</v>
      </c>
      <c r="F147" s="3">
        <v>0</v>
      </c>
      <c r="G147" s="3">
        <v>0</v>
      </c>
    </row>
    <row r="148" spans="2:7" x14ac:dyDescent="0.25">
      <c r="B148" s="3">
        <v>2009</v>
      </c>
      <c r="C148" s="3" t="s">
        <v>136</v>
      </c>
      <c r="D148" s="3">
        <v>2</v>
      </c>
      <c r="E148" s="3">
        <v>1</v>
      </c>
      <c r="F148" s="3">
        <v>0</v>
      </c>
      <c r="G148" s="3">
        <v>0</v>
      </c>
    </row>
    <row r="149" spans="2:7" x14ac:dyDescent="0.25">
      <c r="B149" s="3">
        <v>2009</v>
      </c>
      <c r="C149" s="3" t="s">
        <v>137</v>
      </c>
      <c r="D149" s="3">
        <v>4</v>
      </c>
      <c r="E149" s="3">
        <v>0</v>
      </c>
      <c r="F149" s="3">
        <v>0</v>
      </c>
      <c r="G149" s="3">
        <v>0</v>
      </c>
    </row>
    <row r="150" spans="2:7" x14ac:dyDescent="0.25">
      <c r="B150" s="3">
        <v>2009</v>
      </c>
      <c r="C150" s="3" t="s">
        <v>138</v>
      </c>
      <c r="D150" s="3">
        <v>3</v>
      </c>
      <c r="E150" s="3">
        <v>0</v>
      </c>
      <c r="F150" s="3">
        <v>0</v>
      </c>
      <c r="G150" s="3">
        <v>0</v>
      </c>
    </row>
    <row r="151" spans="2:7" x14ac:dyDescent="0.25">
      <c r="B151" s="3">
        <v>2009</v>
      </c>
      <c r="C151" s="3" t="s">
        <v>139</v>
      </c>
      <c r="D151" s="3">
        <v>8</v>
      </c>
      <c r="E151" s="3">
        <v>1</v>
      </c>
      <c r="F151" s="3">
        <v>0</v>
      </c>
      <c r="G151" s="3">
        <v>0</v>
      </c>
    </row>
    <row r="152" spans="2:7" x14ac:dyDescent="0.25">
      <c r="B152" s="3">
        <v>2009</v>
      </c>
      <c r="C152" s="3" t="s">
        <v>140</v>
      </c>
      <c r="D152" s="3">
        <v>6</v>
      </c>
      <c r="E152" s="3">
        <v>1</v>
      </c>
      <c r="F152" s="3">
        <v>0</v>
      </c>
      <c r="G152" s="3">
        <v>0</v>
      </c>
    </row>
    <row r="153" spans="2:7" x14ac:dyDescent="0.25">
      <c r="B153" s="3">
        <v>2009</v>
      </c>
      <c r="C153" s="3" t="s">
        <v>141</v>
      </c>
      <c r="D153" s="3">
        <v>2</v>
      </c>
      <c r="E153" s="3">
        <v>0</v>
      </c>
      <c r="F153" s="3">
        <v>1</v>
      </c>
      <c r="G153" s="3">
        <v>0</v>
      </c>
    </row>
    <row r="154" spans="2:7" x14ac:dyDescent="0.25">
      <c r="B154" s="3">
        <v>2009</v>
      </c>
      <c r="C154" s="3" t="s">
        <v>142</v>
      </c>
      <c r="D154" s="3">
        <v>5</v>
      </c>
      <c r="E154" s="3">
        <v>2</v>
      </c>
      <c r="F154" s="3">
        <v>0</v>
      </c>
      <c r="G154" s="3">
        <v>0</v>
      </c>
    </row>
    <row r="155" spans="2:7" x14ac:dyDescent="0.25">
      <c r="B155" s="3">
        <v>2009</v>
      </c>
      <c r="C155" s="3" t="s">
        <v>143</v>
      </c>
      <c r="D155" s="3">
        <v>6</v>
      </c>
      <c r="E155" s="3">
        <v>0</v>
      </c>
      <c r="F155" s="3">
        <v>0</v>
      </c>
      <c r="G155" s="3">
        <v>0</v>
      </c>
    </row>
    <row r="156" spans="2:7" x14ac:dyDescent="0.25">
      <c r="B156" s="3">
        <v>2010</v>
      </c>
      <c r="C156" s="3" t="s">
        <v>144</v>
      </c>
      <c r="D156" s="3">
        <v>12</v>
      </c>
      <c r="E156" s="3">
        <v>1</v>
      </c>
      <c r="F156" s="3">
        <v>0</v>
      </c>
      <c r="G156" s="3">
        <v>1</v>
      </c>
    </row>
    <row r="157" spans="2:7" x14ac:dyDescent="0.25">
      <c r="B157" s="3">
        <v>2010</v>
      </c>
      <c r="C157" s="3" t="s">
        <v>145</v>
      </c>
      <c r="D157" s="3">
        <v>5</v>
      </c>
      <c r="E157" s="3">
        <v>1</v>
      </c>
      <c r="F157" s="3">
        <v>0</v>
      </c>
      <c r="G157" s="3">
        <v>0</v>
      </c>
    </row>
    <row r="158" spans="2:7" x14ac:dyDescent="0.25">
      <c r="B158" s="3">
        <v>2010</v>
      </c>
      <c r="C158" s="3" t="s">
        <v>146</v>
      </c>
      <c r="D158" s="3">
        <v>7</v>
      </c>
      <c r="E158" s="3">
        <v>2</v>
      </c>
      <c r="F158" s="3">
        <v>0</v>
      </c>
      <c r="G158" s="3">
        <v>0</v>
      </c>
    </row>
    <row r="159" spans="2:7" x14ac:dyDescent="0.25">
      <c r="B159" s="3">
        <v>2010</v>
      </c>
      <c r="C159" s="3" t="s">
        <v>147</v>
      </c>
      <c r="D159" s="3">
        <v>8</v>
      </c>
      <c r="E159" s="3">
        <v>0</v>
      </c>
      <c r="F159" s="3">
        <v>0</v>
      </c>
      <c r="G159" s="3">
        <v>0</v>
      </c>
    </row>
    <row r="160" spans="2:7" x14ac:dyDescent="0.25">
      <c r="B160" s="3">
        <v>2010</v>
      </c>
      <c r="C160" s="3" t="s">
        <v>148</v>
      </c>
      <c r="D160" s="3">
        <v>4</v>
      </c>
      <c r="E160" s="3">
        <v>2</v>
      </c>
      <c r="F160" s="3">
        <v>1</v>
      </c>
      <c r="G160" s="3">
        <v>0</v>
      </c>
    </row>
    <row r="161" spans="2:7" x14ac:dyDescent="0.25">
      <c r="B161" s="3">
        <v>2010</v>
      </c>
      <c r="C161" s="3" t="s">
        <v>149</v>
      </c>
      <c r="D161" s="3">
        <v>6</v>
      </c>
      <c r="E161" s="3">
        <v>0</v>
      </c>
      <c r="F161" s="3">
        <v>0</v>
      </c>
      <c r="G161" s="3">
        <v>0</v>
      </c>
    </row>
    <row r="162" spans="2:7" x14ac:dyDescent="0.25">
      <c r="B162" s="3">
        <v>2010</v>
      </c>
      <c r="C162" s="3" t="s">
        <v>150</v>
      </c>
      <c r="D162" s="3">
        <v>8</v>
      </c>
      <c r="E162" s="3">
        <v>4</v>
      </c>
      <c r="F162" s="3">
        <v>0</v>
      </c>
      <c r="G162" s="3">
        <v>0</v>
      </c>
    </row>
    <row r="163" spans="2:7" x14ac:dyDescent="0.25">
      <c r="B163" s="3">
        <v>2010</v>
      </c>
      <c r="C163" s="3" t="s">
        <v>151</v>
      </c>
      <c r="D163" s="3">
        <v>5</v>
      </c>
      <c r="E163" s="3">
        <v>1</v>
      </c>
      <c r="F163" s="3">
        <v>0</v>
      </c>
      <c r="G163" s="3">
        <v>0</v>
      </c>
    </row>
    <row r="164" spans="2:7" x14ac:dyDescent="0.25">
      <c r="B164" s="3">
        <v>2010</v>
      </c>
      <c r="C164" s="3" t="s">
        <v>152</v>
      </c>
      <c r="D164" s="3">
        <v>10</v>
      </c>
      <c r="E164" s="3">
        <v>0</v>
      </c>
      <c r="F164" s="3">
        <v>0</v>
      </c>
      <c r="G164" s="3">
        <v>0</v>
      </c>
    </row>
    <row r="165" spans="2:7" x14ac:dyDescent="0.25">
      <c r="B165" s="3">
        <v>2010</v>
      </c>
      <c r="C165" s="3" t="s">
        <v>153</v>
      </c>
      <c r="D165" s="3">
        <v>4</v>
      </c>
      <c r="E165" s="3">
        <v>0</v>
      </c>
      <c r="F165" s="3">
        <v>0</v>
      </c>
      <c r="G165" s="3">
        <v>0</v>
      </c>
    </row>
    <row r="166" spans="2:7" x14ac:dyDescent="0.25">
      <c r="B166" s="3">
        <v>2011</v>
      </c>
      <c r="C166" s="3" t="s">
        <v>154</v>
      </c>
      <c r="D166" s="3">
        <v>10</v>
      </c>
      <c r="E166" s="3">
        <v>3</v>
      </c>
      <c r="F166" s="3">
        <v>0</v>
      </c>
      <c r="G166" s="3">
        <v>1</v>
      </c>
    </row>
    <row r="167" spans="2:7" x14ac:dyDescent="0.25">
      <c r="B167" s="3">
        <v>2011</v>
      </c>
      <c r="C167" s="3" t="s">
        <v>155</v>
      </c>
      <c r="D167" s="3">
        <v>5</v>
      </c>
      <c r="E167" s="3">
        <v>2</v>
      </c>
      <c r="F167" s="3">
        <v>1</v>
      </c>
      <c r="G167" s="3">
        <v>0</v>
      </c>
    </row>
    <row r="168" spans="2:7" x14ac:dyDescent="0.25">
      <c r="B168" s="3">
        <v>2011</v>
      </c>
      <c r="C168" s="3" t="s">
        <v>156</v>
      </c>
      <c r="D168" s="3">
        <v>2</v>
      </c>
      <c r="E168" s="3">
        <v>0</v>
      </c>
      <c r="F168" s="3">
        <v>0</v>
      </c>
      <c r="G168" s="3">
        <v>0</v>
      </c>
    </row>
    <row r="169" spans="2:7" x14ac:dyDescent="0.25">
      <c r="B169" s="3">
        <v>2011</v>
      </c>
      <c r="C169" s="3" t="s">
        <v>157</v>
      </c>
      <c r="D169" s="3">
        <v>4</v>
      </c>
      <c r="E169" s="3">
        <v>1</v>
      </c>
      <c r="F169" s="3">
        <v>0</v>
      </c>
      <c r="G169" s="3">
        <v>0</v>
      </c>
    </row>
    <row r="170" spans="2:7" x14ac:dyDescent="0.25">
      <c r="B170" s="3">
        <v>2011</v>
      </c>
      <c r="C170" s="3" t="s">
        <v>158</v>
      </c>
      <c r="D170" s="3">
        <v>4</v>
      </c>
      <c r="E170" s="3">
        <v>1</v>
      </c>
      <c r="F170" s="3">
        <v>1</v>
      </c>
      <c r="G170" s="3">
        <v>0</v>
      </c>
    </row>
    <row r="171" spans="2:7" x14ac:dyDescent="0.25">
      <c r="B171" s="3">
        <v>2011</v>
      </c>
      <c r="C171" s="3" t="s">
        <v>159</v>
      </c>
      <c r="D171" s="3">
        <v>6</v>
      </c>
      <c r="E171" s="3">
        <v>0</v>
      </c>
      <c r="F171" s="3">
        <v>0</v>
      </c>
      <c r="G171" s="3">
        <v>0</v>
      </c>
    </row>
    <row r="172" spans="2:7" x14ac:dyDescent="0.25">
      <c r="B172" s="3">
        <v>2011</v>
      </c>
      <c r="C172" s="3" t="s">
        <v>160</v>
      </c>
      <c r="D172" s="3">
        <v>3</v>
      </c>
      <c r="E172" s="3">
        <v>0</v>
      </c>
      <c r="F172" s="3">
        <v>0</v>
      </c>
      <c r="G172" s="3">
        <v>0</v>
      </c>
    </row>
    <row r="173" spans="2:7" x14ac:dyDescent="0.25">
      <c r="B173" s="3">
        <v>2011</v>
      </c>
      <c r="C173" s="3" t="s">
        <v>161</v>
      </c>
      <c r="D173" s="3">
        <v>6</v>
      </c>
      <c r="E173" s="3">
        <v>0</v>
      </c>
      <c r="F173" s="3">
        <v>0</v>
      </c>
      <c r="G173" s="3">
        <v>0</v>
      </c>
    </row>
    <row r="174" spans="2:7" x14ac:dyDescent="0.25">
      <c r="B174" s="3">
        <v>2012</v>
      </c>
      <c r="C174" s="3" t="s">
        <v>162</v>
      </c>
      <c r="D174" s="3">
        <v>7</v>
      </c>
      <c r="E174" s="3">
        <v>1</v>
      </c>
      <c r="F174" s="3">
        <v>0</v>
      </c>
      <c r="G174" s="3">
        <v>1</v>
      </c>
    </row>
    <row r="175" spans="2:7" x14ac:dyDescent="0.25">
      <c r="B175" s="3">
        <v>2012</v>
      </c>
      <c r="C175" s="3" t="s">
        <v>163</v>
      </c>
      <c r="D175" s="3">
        <v>5</v>
      </c>
      <c r="E175" s="3">
        <v>1</v>
      </c>
      <c r="F175" s="3">
        <v>0</v>
      </c>
      <c r="G175" s="3">
        <v>0</v>
      </c>
    </row>
    <row r="176" spans="2:7" x14ac:dyDescent="0.25">
      <c r="B176" s="3">
        <v>2012</v>
      </c>
      <c r="C176" s="3" t="s">
        <v>164</v>
      </c>
      <c r="D176" s="3">
        <v>4</v>
      </c>
      <c r="E176" s="3">
        <v>0</v>
      </c>
      <c r="F176" s="3">
        <v>0</v>
      </c>
      <c r="G176" s="3">
        <v>0</v>
      </c>
    </row>
    <row r="177" spans="2:7" x14ac:dyDescent="0.25">
      <c r="B177" s="3">
        <v>2012</v>
      </c>
      <c r="C177" s="3" t="s">
        <v>165</v>
      </c>
      <c r="D177" s="3">
        <v>5</v>
      </c>
      <c r="E177" s="3">
        <v>2</v>
      </c>
      <c r="F177" s="3">
        <v>0</v>
      </c>
      <c r="G177" s="3">
        <v>0</v>
      </c>
    </row>
    <row r="178" spans="2:7" x14ac:dyDescent="0.25">
      <c r="B178" s="3">
        <v>2012</v>
      </c>
      <c r="C178" s="3" t="s">
        <v>166</v>
      </c>
      <c r="D178" s="3">
        <v>8</v>
      </c>
      <c r="E178" s="3">
        <v>3</v>
      </c>
      <c r="F178" s="3">
        <v>0</v>
      </c>
      <c r="G178" s="3">
        <v>0</v>
      </c>
    </row>
    <row r="179" spans="2:7" x14ac:dyDescent="0.25">
      <c r="B179" s="3">
        <v>2012</v>
      </c>
      <c r="C179" s="3" t="s">
        <v>167</v>
      </c>
      <c r="D179" s="3">
        <v>11</v>
      </c>
      <c r="E179" s="3">
        <v>1</v>
      </c>
      <c r="F179" s="3">
        <v>0</v>
      </c>
      <c r="G179" s="3">
        <v>0</v>
      </c>
    </row>
    <row r="180" spans="2:7" x14ac:dyDescent="0.25">
      <c r="B180" s="3">
        <v>2012</v>
      </c>
      <c r="C180" s="3" t="s">
        <v>168</v>
      </c>
      <c r="D180" s="3">
        <v>12</v>
      </c>
      <c r="E180" s="3">
        <v>1</v>
      </c>
      <c r="F180" s="3">
        <v>0</v>
      </c>
      <c r="G180" s="3">
        <v>0</v>
      </c>
    </row>
    <row r="181" spans="2:7" x14ac:dyDescent="0.25">
      <c r="B181" s="3">
        <v>2012</v>
      </c>
      <c r="C181" s="3" t="s">
        <v>169</v>
      </c>
      <c r="D181" s="3">
        <v>8</v>
      </c>
      <c r="E181" s="3">
        <v>1</v>
      </c>
      <c r="F181" s="3">
        <v>1</v>
      </c>
      <c r="G181" s="3">
        <v>0</v>
      </c>
    </row>
    <row r="182" spans="2:7" x14ac:dyDescent="0.25">
      <c r="B182" s="3">
        <v>2012</v>
      </c>
      <c r="C182" s="3" t="s">
        <v>170</v>
      </c>
      <c r="D182" s="3">
        <v>5</v>
      </c>
      <c r="E182" s="3">
        <v>1</v>
      </c>
      <c r="F182" s="3">
        <v>0</v>
      </c>
      <c r="G182" s="3">
        <v>0</v>
      </c>
    </row>
    <row r="183" spans="2:7" x14ac:dyDescent="0.25">
      <c r="B183" s="3">
        <v>2013</v>
      </c>
      <c r="C183" s="3" t="s">
        <v>171</v>
      </c>
      <c r="D183" s="3">
        <v>6</v>
      </c>
      <c r="E183" s="3">
        <v>1</v>
      </c>
      <c r="F183" s="3">
        <v>0</v>
      </c>
      <c r="G183" s="3">
        <v>1</v>
      </c>
    </row>
    <row r="184" spans="2:7" x14ac:dyDescent="0.25">
      <c r="B184" s="3">
        <v>2013</v>
      </c>
      <c r="C184" s="3" t="s">
        <v>172</v>
      </c>
      <c r="D184" s="3">
        <v>10</v>
      </c>
      <c r="E184" s="3">
        <v>3</v>
      </c>
      <c r="F184" s="3">
        <v>1</v>
      </c>
      <c r="G184" s="3">
        <v>0</v>
      </c>
    </row>
    <row r="185" spans="2:7" x14ac:dyDescent="0.25">
      <c r="B185" s="3">
        <v>2013</v>
      </c>
      <c r="C185" s="3" t="s">
        <v>173</v>
      </c>
      <c r="D185" s="3">
        <v>6</v>
      </c>
      <c r="E185" s="3">
        <v>0</v>
      </c>
      <c r="F185" s="3">
        <v>0</v>
      </c>
      <c r="G185" s="3">
        <v>0</v>
      </c>
    </row>
    <row r="186" spans="2:7" x14ac:dyDescent="0.25">
      <c r="B186" s="3">
        <v>2013</v>
      </c>
      <c r="C186" s="3" t="s">
        <v>174</v>
      </c>
      <c r="D186" s="3">
        <v>6</v>
      </c>
      <c r="E186" s="3">
        <v>2</v>
      </c>
      <c r="F186" s="3">
        <v>0</v>
      </c>
      <c r="G186" s="3">
        <v>0</v>
      </c>
    </row>
    <row r="187" spans="2:7" x14ac:dyDescent="0.25">
      <c r="B187" s="3">
        <v>2013</v>
      </c>
      <c r="C187" s="3" t="s">
        <v>175</v>
      </c>
      <c r="D187" s="3">
        <v>10</v>
      </c>
      <c r="E187" s="3">
        <v>1</v>
      </c>
      <c r="F187" s="3">
        <v>0</v>
      </c>
      <c r="G187" s="3">
        <v>0</v>
      </c>
    </row>
    <row r="188" spans="2:7" x14ac:dyDescent="0.25">
      <c r="B188" s="3">
        <v>2013</v>
      </c>
      <c r="C188" s="3" t="s">
        <v>176</v>
      </c>
      <c r="D188" s="3">
        <v>5</v>
      </c>
      <c r="E188" s="3">
        <v>1</v>
      </c>
      <c r="F188" s="3">
        <v>1</v>
      </c>
      <c r="G188" s="3">
        <v>0</v>
      </c>
    </row>
    <row r="189" spans="2:7" x14ac:dyDescent="0.25">
      <c r="B189" s="3">
        <v>2013</v>
      </c>
      <c r="C189" s="3" t="s">
        <v>177</v>
      </c>
      <c r="D189" s="3">
        <v>6</v>
      </c>
      <c r="E189" s="3">
        <v>0</v>
      </c>
      <c r="F189" s="3">
        <v>1</v>
      </c>
      <c r="G189" s="3">
        <v>0</v>
      </c>
    </row>
    <row r="190" spans="2:7" x14ac:dyDescent="0.25">
      <c r="B190" s="3">
        <v>2013</v>
      </c>
      <c r="C190" s="3" t="s">
        <v>178</v>
      </c>
      <c r="D190" s="3">
        <v>4</v>
      </c>
      <c r="E190" s="3">
        <v>0</v>
      </c>
      <c r="F190" s="3">
        <v>0</v>
      </c>
      <c r="G190" s="3">
        <v>0</v>
      </c>
    </row>
    <row r="191" spans="2:7" x14ac:dyDescent="0.25">
      <c r="B191" s="3">
        <v>2013</v>
      </c>
      <c r="C191" s="3" t="s">
        <v>179</v>
      </c>
      <c r="D191" s="3">
        <v>5</v>
      </c>
      <c r="E191" s="3">
        <v>1</v>
      </c>
      <c r="F191" s="3">
        <v>1</v>
      </c>
      <c r="G191" s="3">
        <v>0</v>
      </c>
    </row>
  </sheetData>
  <mergeCells count="22">
    <mergeCell ref="B19:G19"/>
    <mergeCell ref="B5:C5"/>
    <mergeCell ref="D5:E5"/>
    <mergeCell ref="F5:G5"/>
    <mergeCell ref="B4:G4"/>
    <mergeCell ref="J4:L4"/>
    <mergeCell ref="B15:D15"/>
    <mergeCell ref="B16:D16"/>
    <mergeCell ref="B17:D17"/>
    <mergeCell ref="E10:J10"/>
    <mergeCell ref="E12:J12"/>
    <mergeCell ref="E13:J13"/>
    <mergeCell ref="E14:J14"/>
    <mergeCell ref="E15:J15"/>
    <mergeCell ref="E16:J16"/>
    <mergeCell ref="E17:J17"/>
    <mergeCell ref="B9:J9"/>
    <mergeCell ref="B10:D10"/>
    <mergeCell ref="B11:D11"/>
    <mergeCell ref="B12:D12"/>
    <mergeCell ref="B13:D13"/>
    <mergeCell ref="B14:D14"/>
  </mergeCells>
  <hyperlinks>
    <hyperlink ref="B5" location="'Data_Partition'!$B$21:$G$125" display="Training Data"/>
    <hyperlink ref="D5" location="'Data_Partition'!$B$126:$G$191" display="Validation Data"/>
    <hyperlink ref="F5" location="'Data_Partition'!$B$20:$G$191" display="All Data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H116"/>
  <sheetViews>
    <sheetView showGridLines="0" workbookViewId="0"/>
  </sheetViews>
  <sheetFormatPr defaultRowHeight="15" x14ac:dyDescent="0.25"/>
  <cols>
    <col min="4" max="5" width="9.28515625" bestFit="1" customWidth="1"/>
    <col min="6" max="6" width="12.140625" bestFit="1" customWidth="1"/>
    <col min="7" max="7" width="12" bestFit="1" customWidth="1"/>
    <col min="8" max="8" width="9.28515625" bestFit="1" customWidth="1"/>
    <col min="9" max="9" width="12" bestFit="1" customWidth="1"/>
    <col min="10" max="10" width="9.28515625" bestFit="1" customWidth="1"/>
    <col min="16" max="16" width="13.28515625" bestFit="1" customWidth="1"/>
  </cols>
  <sheetData>
    <row r="1" spans="2:60" ht="18.75" x14ac:dyDescent="0.3">
      <c r="B1" s="2" t="s">
        <v>259</v>
      </c>
      <c r="N1" t="s">
        <v>369</v>
      </c>
      <c r="AZ1" s="3">
        <v>1.506770177865201E-3</v>
      </c>
      <c r="BA1" s="3" t="str">
        <f>"0"</f>
        <v>0</v>
      </c>
      <c r="BB1" t="str">
        <f ca="1">IF((OFFSET($A$1, 1 - 1, 52 - 1)) &gt;= (OFFSET($A$1, 73 - 1, 7 - 1)), "1","0")</f>
        <v>0</v>
      </c>
      <c r="BC1">
        <f ca="1" xml:space="preserve"> IF( AND( OFFSET($A$1, 1 - 1, 53 - 1) = "1", OFFSET($A$1, 1 - 1, 54 - 1) = "1" ), 1, IF( AND( OFFSET($A$1, 1 - 1, 53 - 1) = "1", OFFSET($A$1, 1 - 1, 54 - 1) = "0" ), 2, IF( AND( OFFSET($A$1, 1 - 1, 53 - 1) = "0", OFFSET($A$1, 1 - 1, 54 - 1) = "1" ), 3, 4 ) ) )</f>
        <v>4</v>
      </c>
      <c r="BE1" s="3">
        <v>8.3003667265397815E-3</v>
      </c>
      <c r="BF1" s="3" t="str">
        <f>"1"</f>
        <v>1</v>
      </c>
      <c r="BG1" t="str">
        <f ca="1">IF((OFFSET($A$1, 1 - 1, 57 - 1)) &gt;= (OFFSET($A$1, 97 - 1, 7 - 1)), "1","0")</f>
        <v>0</v>
      </c>
      <c r="BH1">
        <f ca="1" xml:space="preserve"> IF( AND( OFFSET($A$1, 1 - 1, 58 - 1) = "1", OFFSET($A$1, 1 - 1, 59 - 1) = "1" ), 1, IF( AND( OFFSET($A$1, 1 - 1, 58 - 1) = "1", OFFSET($A$1, 1 - 1, 59 - 1) = "0" ), 2, IF( AND( OFFSET($A$1, 1 - 1, 58 - 1) = "0", OFFSET($A$1, 1 - 1, 59 - 1) = "1" ), 3, 4 ) ) )</f>
        <v>2</v>
      </c>
    </row>
    <row r="2" spans="2:60" x14ac:dyDescent="0.25">
      <c r="AZ2" s="3">
        <v>3.9967597583531363E-2</v>
      </c>
      <c r="BA2" s="3" t="str">
        <f>"0"</f>
        <v>0</v>
      </c>
      <c r="BB2" t="str">
        <f ca="1">IF((OFFSET($A$1, 2 - 1, 52 - 1)) &gt;= (OFFSET($A$1, 73 - 1, 7 - 1)), "1","0")</f>
        <v>0</v>
      </c>
      <c r="BC2">
        <f ca="1" xml:space="preserve"> IF( AND( OFFSET($A$1, 2 - 1, 53 - 1) = "1", OFFSET($A$1, 2 - 1, 54 - 1) = "1" ), 1, IF( AND( OFFSET($A$1, 2 - 1, 53 - 1) = "1", OFFSET($A$1, 2 - 1, 54 - 1) = "0" ), 2, IF( AND( OFFSET($A$1, 2 - 1, 53 - 1) = "0", OFFSET($A$1, 2 - 1, 54 - 1) = "1" ), 3, 4 ) ) )</f>
        <v>4</v>
      </c>
      <c r="BE2" s="3">
        <v>0.62049840743522267</v>
      </c>
      <c r="BF2" s="3" t="str">
        <f>"0"</f>
        <v>0</v>
      </c>
      <c r="BG2" t="str">
        <f ca="1">IF((OFFSET($A$1, 2 - 1, 57 - 1)) &gt;= (OFFSET($A$1, 97 - 1, 7 - 1)), "1","0")</f>
        <v>1</v>
      </c>
      <c r="BH2">
        <f ca="1" xml:space="preserve"> IF( AND( OFFSET($A$1, 2 - 1, 58 - 1) = "1", OFFSET($A$1, 2 - 1, 59 - 1) = "1" ), 1, IF( AND( OFFSET($A$1, 2 - 1, 58 - 1) = "1", OFFSET($A$1, 2 - 1, 59 - 1) = "0" ), 2, IF( AND( OFFSET($A$1, 2 - 1, 58 - 1) = "0", OFFSET($A$1, 2 - 1, 59 - 1) = "1" ), 3, 4 ) ) )</f>
        <v>3</v>
      </c>
    </row>
    <row r="3" spans="2:60" ht="15.75" x14ac:dyDescent="0.25">
      <c r="B3" s="6" t="s">
        <v>190</v>
      </c>
      <c r="C3" s="7"/>
      <c r="D3" s="7"/>
      <c r="E3" s="7"/>
      <c r="F3" s="7"/>
      <c r="G3" s="7"/>
      <c r="H3" s="7"/>
      <c r="I3" s="7"/>
      <c r="J3" s="7"/>
      <c r="K3" s="7"/>
      <c r="L3" s="7"/>
      <c r="M3" s="8"/>
      <c r="P3" s="6" t="s">
        <v>191</v>
      </c>
      <c r="Q3" s="7"/>
      <c r="R3" s="7"/>
      <c r="S3" s="8"/>
      <c r="AZ3" s="3">
        <v>3.9967597583531363E-2</v>
      </c>
      <c r="BA3" s="3" t="str">
        <f>"0"</f>
        <v>0</v>
      </c>
      <c r="BB3" t="str">
        <f ca="1">IF((OFFSET($A$1, 3 - 1, 52 - 1)) &gt;= (OFFSET($A$1, 73 - 1, 7 - 1)), "1","0")</f>
        <v>0</v>
      </c>
      <c r="BC3">
        <f ca="1" xml:space="preserve"> IF( AND( OFFSET($A$1, 3 - 1, 53 - 1) = "1", OFFSET($A$1, 3 - 1, 54 - 1) = "1" ), 1, IF( AND( OFFSET($A$1, 3 - 1, 53 - 1) = "1", OFFSET($A$1, 3 - 1, 54 - 1) = "0" ), 2, IF( AND( OFFSET($A$1, 3 - 1, 53 - 1) = "0", OFFSET($A$1, 3 - 1, 54 - 1) = "1" ), 3, 4 ) ) )</f>
        <v>4</v>
      </c>
      <c r="BE3" s="3">
        <v>1.3112325448542921E-2</v>
      </c>
      <c r="BF3" s="3" t="str">
        <f>"0"</f>
        <v>0</v>
      </c>
      <c r="BG3" t="str">
        <f ca="1">IF((OFFSET($A$1, 3 - 1, 57 - 1)) &gt;= (OFFSET($A$1, 97 - 1, 7 - 1)), "1","0")</f>
        <v>0</v>
      </c>
      <c r="BH3">
        <f ca="1" xml:space="preserve"> IF( AND( OFFSET($A$1, 3 - 1, 58 - 1) = "1", OFFSET($A$1, 3 - 1, 59 - 1) = "1" ), 1, IF( AND( OFFSET($A$1, 3 - 1, 58 - 1) = "1", OFFSET($A$1, 3 - 1, 59 - 1) = "0" ), 2, IF( AND( OFFSET($A$1, 3 - 1, 58 - 1) = "0", OFFSET($A$1, 3 - 1, 59 - 1) = "1" ), 3, 4 ) ) )</f>
        <v>4</v>
      </c>
    </row>
    <row r="4" spans="2:60" x14ac:dyDescent="0.25">
      <c r="B4" s="18" t="s">
        <v>375</v>
      </c>
      <c r="C4" s="14"/>
      <c r="D4" s="18" t="s">
        <v>249</v>
      </c>
      <c r="E4" s="14"/>
      <c r="F4" s="18" t="s">
        <v>250</v>
      </c>
      <c r="G4" s="14"/>
      <c r="H4" s="18" t="s">
        <v>251</v>
      </c>
      <c r="I4" s="14"/>
      <c r="J4" s="18" t="s">
        <v>252</v>
      </c>
      <c r="K4" s="14"/>
      <c r="L4" s="18" t="s">
        <v>254</v>
      </c>
      <c r="M4" s="14"/>
      <c r="P4" s="5" t="s">
        <v>232</v>
      </c>
      <c r="Q4" s="5" t="s">
        <v>233</v>
      </c>
      <c r="R4" s="5" t="s">
        <v>193</v>
      </c>
      <c r="S4" s="5" t="s">
        <v>194</v>
      </c>
      <c r="AZ4" s="3">
        <v>0.76344364285904009</v>
      </c>
      <c r="BA4" s="3" t="str">
        <f>"0"</f>
        <v>0</v>
      </c>
      <c r="BB4" t="str">
        <f ca="1">IF((OFFSET($A$1, 4 - 1, 52 - 1)) &gt;= (OFFSET($A$1, 73 - 1, 7 - 1)), "1","0")</f>
        <v>1</v>
      </c>
      <c r="BC4">
        <f ca="1" xml:space="preserve"> IF( AND( OFFSET($A$1, 4 - 1, 53 - 1) = "1", OFFSET($A$1, 4 - 1, 54 - 1) = "1" ), 1, IF( AND( OFFSET($A$1, 4 - 1, 53 - 1) = "1", OFFSET($A$1, 4 - 1, 54 - 1) = "0" ), 2, IF( AND( OFFSET($A$1, 4 - 1, 53 - 1) = "0", OFFSET($A$1, 4 - 1, 54 - 1) = "1" ), 3, 4 ) ) )</f>
        <v>3</v>
      </c>
      <c r="BE4" s="3">
        <v>8.3003667265397815E-3</v>
      </c>
      <c r="BF4" s="3" t="str">
        <f>"0"</f>
        <v>0</v>
      </c>
      <c r="BG4" t="str">
        <f ca="1">IF((OFFSET($A$1, 4 - 1, 57 - 1)) &gt;= (OFFSET($A$1, 97 - 1, 7 - 1)), "1","0")</f>
        <v>0</v>
      </c>
      <c r="BH4">
        <f ca="1" xml:space="preserve"> IF( AND( OFFSET($A$1, 4 - 1, 58 - 1) = "1", OFFSET($A$1, 4 - 1, 59 - 1) = "1" ), 1, IF( AND( OFFSET($A$1, 4 - 1, 58 - 1) = "1", OFFSET($A$1, 4 - 1, 59 - 1) = "0" ), 2, IF( AND( OFFSET($A$1, 4 - 1, 58 - 1) = "0", OFFSET($A$1, 4 - 1, 59 - 1) = "1" ), 3, 4 ) ) )</f>
        <v>4</v>
      </c>
    </row>
    <row r="5" spans="2:60" x14ac:dyDescent="0.25">
      <c r="B5" s="18" t="s">
        <v>255</v>
      </c>
      <c r="C5" s="14"/>
      <c r="D5" s="18" t="s">
        <v>256</v>
      </c>
      <c r="E5" s="14"/>
      <c r="F5" s="18" t="s">
        <v>356</v>
      </c>
      <c r="G5" s="14"/>
      <c r="H5" s="18" t="s">
        <v>257</v>
      </c>
      <c r="I5" s="14"/>
      <c r="J5" s="18" t="s">
        <v>357</v>
      </c>
      <c r="K5" s="14"/>
      <c r="L5" s="12"/>
      <c r="M5" s="14"/>
      <c r="P5" s="3">
        <v>1</v>
      </c>
      <c r="Q5" s="3">
        <v>1</v>
      </c>
      <c r="R5" s="3">
        <v>4</v>
      </c>
      <c r="S5" s="3">
        <v>6</v>
      </c>
      <c r="AZ5" s="3">
        <v>0.90068175015654606</v>
      </c>
      <c r="BA5" s="3" t="str">
        <f>"1"</f>
        <v>1</v>
      </c>
      <c r="BB5" t="str">
        <f ca="1">IF((OFFSET($A$1, 5 - 1, 52 - 1)) &gt;= (OFFSET($A$1, 73 - 1, 7 - 1)), "1","0")</f>
        <v>1</v>
      </c>
      <c r="BC5">
        <f ca="1" xml:space="preserve"> IF( AND( OFFSET($A$1, 5 - 1, 53 - 1) = "1", OFFSET($A$1, 5 - 1, 54 - 1) = "1" ), 1, IF( AND( OFFSET($A$1, 5 - 1, 53 - 1) = "1", OFFSET($A$1, 5 - 1, 54 - 1) = "0" ), 2, IF( AND( OFFSET($A$1, 5 - 1, 53 - 1) = "0", OFFSET($A$1, 5 - 1, 54 - 1) = "1" ), 3, 4 ) ) )</f>
        <v>1</v>
      </c>
      <c r="BE5" s="3">
        <v>4.7061241626921574E-3</v>
      </c>
      <c r="BF5" s="3" t="str">
        <f>"0"</f>
        <v>0</v>
      </c>
      <c r="BG5" t="str">
        <f ca="1">IF((OFFSET($A$1, 5 - 1, 57 - 1)) &gt;= (OFFSET($A$1, 97 - 1, 7 - 1)), "1","0")</f>
        <v>0</v>
      </c>
      <c r="BH5">
        <f ca="1" xml:space="preserve"> IF( AND( OFFSET($A$1, 5 - 1, 58 - 1) = "1", OFFSET($A$1, 5 - 1, 59 - 1) = "1" ), 1, IF( AND( OFFSET($A$1, 5 - 1, 58 - 1) = "1", OFFSET($A$1, 5 - 1, 59 - 1) = "0" ), 2, IF( AND( OFFSET($A$1, 5 - 1, 58 - 1) = "0", OFFSET($A$1, 5 - 1, 59 - 1) = "1" ), 3, 4 ) ) )</f>
        <v>4</v>
      </c>
    </row>
    <row r="6" spans="2:60" x14ac:dyDescent="0.25">
      <c r="AZ6" s="3">
        <v>0.62049840743522267</v>
      </c>
      <c r="BA6" s="3" t="str">
        <f>"0"</f>
        <v>0</v>
      </c>
      <c r="BB6" t="str">
        <f ca="1">IF((OFFSET($A$1, 6 - 1, 52 - 1)) &gt;= (OFFSET($A$1, 73 - 1, 7 - 1)), "1","0")</f>
        <v>1</v>
      </c>
      <c r="BC6">
        <f ca="1" xml:space="preserve"> IF( AND( OFFSET($A$1, 6 - 1, 53 - 1) = "1", OFFSET($A$1, 6 - 1, 54 - 1) = "1" ), 1, IF( AND( OFFSET($A$1, 6 - 1, 53 - 1) = "1", OFFSET($A$1, 6 - 1, 54 - 1) = "0" ), 2, IF( AND( OFFSET($A$1, 6 - 1, 53 - 1) = "0", OFFSET($A$1, 6 - 1, 54 - 1) = "1" ), 3, 4 ) ) )</f>
        <v>3</v>
      </c>
      <c r="BE6" s="3">
        <v>3.9967597583531363E-2</v>
      </c>
      <c r="BF6" s="3" t="str">
        <f>"0"</f>
        <v>0</v>
      </c>
      <c r="BG6" t="str">
        <f ca="1">IF((OFFSET($A$1, 6 - 1, 57 - 1)) &gt;= (OFFSET($A$1, 97 - 1, 7 - 1)), "1","0")</f>
        <v>0</v>
      </c>
      <c r="BH6">
        <f ca="1" xml:space="preserve"> IF( AND( OFFSET($A$1, 6 - 1, 58 - 1) = "1", OFFSET($A$1, 6 - 1, 59 - 1) = "1" ), 1, IF( AND( OFFSET($A$1, 6 - 1, 58 - 1) = "1", OFFSET($A$1, 6 - 1, 59 - 1) = "0" ), 2, IF( AND( OFFSET($A$1, 6 - 1, 58 - 1) = "0", OFFSET($A$1, 6 - 1, 59 - 1) = "1" ), 3, 4 ) ) )</f>
        <v>4</v>
      </c>
    </row>
    <row r="7" spans="2:60" x14ac:dyDescent="0.25">
      <c r="AZ7" s="3">
        <v>2.6640871521689067E-3</v>
      </c>
      <c r="BA7" s="3" t="str">
        <f>"0"</f>
        <v>0</v>
      </c>
      <c r="BB7" t="str">
        <f ca="1">IF((OFFSET($A$1, 7 - 1, 52 - 1)) &gt;= (OFFSET($A$1, 73 - 1, 7 - 1)), "1","0")</f>
        <v>0</v>
      </c>
      <c r="BC7">
        <f ca="1" xml:space="preserve"> IF( AND( OFFSET($A$1, 7 - 1, 53 - 1) = "1", OFFSET($A$1, 7 - 1, 54 - 1) = "1" ), 1, IF( AND( OFFSET($A$1, 7 - 1, 53 - 1) = "1", OFFSET($A$1, 7 - 1, 54 - 1) = "0" ), 2, IF( AND( OFFSET($A$1, 7 - 1, 53 - 1) = "0", OFFSET($A$1, 7 - 1, 54 - 1) = "1" ), 3, 4 ) ) )</f>
        <v>4</v>
      </c>
      <c r="BE7" s="3">
        <v>1.3112325448542921E-2</v>
      </c>
      <c r="BF7" s="3" t="str">
        <f>"1"</f>
        <v>1</v>
      </c>
      <c r="BG7" t="str">
        <f ca="1">IF((OFFSET($A$1, 7 - 1, 57 - 1)) &gt;= (OFFSET($A$1, 97 - 1, 7 - 1)), "1","0")</f>
        <v>0</v>
      </c>
      <c r="BH7">
        <f ca="1" xml:space="preserve"> IF( AND( OFFSET($A$1, 7 - 1, 58 - 1) = "1", OFFSET($A$1, 7 - 1, 59 - 1) = "1" ), 1, IF( AND( OFFSET($A$1, 7 - 1, 58 - 1) = "1", OFFSET($A$1, 7 - 1, 59 - 1) = "0" ), 2, IF( AND( OFFSET($A$1, 7 - 1, 58 - 1) = "0", OFFSET($A$1, 7 - 1, 59 - 1) = "1" ), 3, 4 ) ) )</f>
        <v>2</v>
      </c>
    </row>
    <row r="8" spans="2:60" x14ac:dyDescent="0.25">
      <c r="AZ8" s="3">
        <v>2.5555500696915728E-2</v>
      </c>
      <c r="BA8" s="3" t="str">
        <f>"0"</f>
        <v>0</v>
      </c>
      <c r="BB8" t="str">
        <f ca="1">IF((OFFSET($A$1, 8 - 1, 52 - 1)) &gt;= (OFFSET($A$1, 73 - 1, 7 - 1)), "1","0")</f>
        <v>0</v>
      </c>
      <c r="BC8">
        <f ca="1" xml:space="preserve"> IF( AND( OFFSET($A$1, 8 - 1, 53 - 1) = "1", OFFSET($A$1, 8 - 1, 54 - 1) = "1" ), 1, IF( AND( OFFSET($A$1, 8 - 1, 53 - 1) = "1", OFFSET($A$1, 8 - 1, 54 - 1) = "0" ), 2, IF( AND( OFFSET($A$1, 8 - 1, 53 - 1) = "0", OFFSET($A$1, 8 - 1, 54 - 1) = "1" ), 3, 4 ) ) )</f>
        <v>4</v>
      </c>
      <c r="BE8" s="3">
        <v>7.4500517088275046E-3</v>
      </c>
      <c r="BF8" s="3" t="str">
        <f>"0"</f>
        <v>0</v>
      </c>
      <c r="BG8" t="str">
        <f ca="1">IF((OFFSET($A$1, 8 - 1, 57 - 1)) &gt;= (OFFSET($A$1, 97 - 1, 7 - 1)), "1","0")</f>
        <v>0</v>
      </c>
      <c r="BH8">
        <f ca="1" xml:space="preserve"> IF( AND( OFFSET($A$1, 8 - 1, 58 - 1) = "1", OFFSET($A$1, 8 - 1, 59 - 1) = "1" ), 1, IF( AND( OFFSET($A$1, 8 - 1, 58 - 1) = "1", OFFSET($A$1, 8 - 1, 59 - 1) = "0" ), 2, IF( AND( OFFSET($A$1, 8 - 1, 58 - 1) = "0", OFFSET($A$1, 8 - 1, 59 - 1) = "1" ), 3, 4 ) ) )</f>
        <v>4</v>
      </c>
    </row>
    <row r="9" spans="2:60" x14ac:dyDescent="0.25">
      <c r="AZ9" s="3">
        <v>0.29014358821209585</v>
      </c>
      <c r="BA9" s="3" t="str">
        <f>"0"</f>
        <v>0</v>
      </c>
      <c r="BB9" t="str">
        <f ca="1">IF((OFFSET($A$1, 9 - 1, 52 - 1)) &gt;= (OFFSET($A$1, 73 - 1, 7 - 1)), "1","0")</f>
        <v>0</v>
      </c>
      <c r="BC9">
        <f ca="1" xml:space="preserve"> IF( AND( OFFSET($A$1, 9 - 1, 53 - 1) = "1", OFFSET($A$1, 9 - 1, 54 - 1) = "1" ), 1, IF( AND( OFFSET($A$1, 9 - 1, 53 - 1) = "1", OFFSET($A$1, 9 - 1, 54 - 1) = "0" ), 2, IF( AND( OFFSET($A$1, 9 - 1, 53 - 1) = "0", OFFSET($A$1, 9 - 1, 54 - 1) = "1" ), 3, 4 ) ) )</f>
        <v>4</v>
      </c>
      <c r="BE9" s="3">
        <v>2.6640871521689067E-3</v>
      </c>
      <c r="BF9" s="3" t="str">
        <f>"0"</f>
        <v>0</v>
      </c>
      <c r="BG9" t="str">
        <f ca="1">IF((OFFSET($A$1, 9 - 1, 57 - 1)) &gt;= (OFFSET($A$1, 97 - 1, 7 - 1)), "1","0")</f>
        <v>0</v>
      </c>
      <c r="BH9">
        <f ca="1" xml:space="preserve"> IF( AND( OFFSET($A$1, 9 - 1, 58 - 1) = "1", OFFSET($A$1, 9 - 1, 59 - 1) = "1" ), 1, IF( AND( OFFSET($A$1, 9 - 1, 58 - 1) = "1", OFFSET($A$1, 9 - 1, 59 - 1) = "0" ), 2, IF( AND( OFFSET($A$1, 9 - 1, 58 - 1) = "0", OFFSET($A$1, 9 - 1, 59 - 1) = "1" ), 3, 4 ) ) )</f>
        <v>4</v>
      </c>
    </row>
    <row r="10" spans="2:60" ht="18.75" x14ac:dyDescent="0.3">
      <c r="B10" s="21" t="s">
        <v>249</v>
      </c>
      <c r="AZ10" s="3">
        <v>0.76344364285904009</v>
      </c>
      <c r="BA10" s="3" t="str">
        <f>"1"</f>
        <v>1</v>
      </c>
      <c r="BB10" t="str">
        <f ca="1">IF((OFFSET($A$1, 10 - 1, 52 - 1)) &gt;= (OFFSET($A$1, 73 - 1, 7 - 1)), "1","0")</f>
        <v>1</v>
      </c>
      <c r="BC10">
        <f ca="1" xml:space="preserve"> IF( AND( OFFSET($A$1, 10 - 1, 53 - 1) = "1", OFFSET($A$1, 10 - 1, 54 - 1) = "1" ), 1, IF( AND( OFFSET($A$1, 10 - 1, 53 - 1) = "1", OFFSET($A$1, 10 - 1, 54 - 1) = "0" ), 2, IF( AND( OFFSET($A$1, 10 - 1, 53 - 1) = "0", OFFSET($A$1, 10 - 1, 54 - 1) = "1" ), 3, 4 ) ) )</f>
        <v>1</v>
      </c>
      <c r="BE10" s="3">
        <v>6.1990381774628532E-2</v>
      </c>
      <c r="BF10" s="3" t="str">
        <f>"0"</f>
        <v>0</v>
      </c>
      <c r="BG10" t="str">
        <f ca="1">IF((OFFSET($A$1, 10 - 1, 57 - 1)) &gt;= (OFFSET($A$1, 97 - 1, 7 - 1)), "1","0")</f>
        <v>0</v>
      </c>
      <c r="BH10">
        <f ca="1" xml:space="preserve"> IF( AND( OFFSET($A$1, 10 - 1, 58 - 1) = "1", OFFSET($A$1, 10 - 1, 59 - 1) = "1" ), 1, IF( AND( OFFSET($A$1, 10 - 1, 58 - 1) = "1", OFFSET($A$1, 10 - 1, 59 - 1) = "0" ), 2, IF( AND( OFFSET($A$1, 10 - 1, 58 - 1) = "0", OFFSET($A$1, 10 - 1, 59 - 1) = "1" ), 3, 4 ) ) )</f>
        <v>4</v>
      </c>
    </row>
    <row r="11" spans="2:60" x14ac:dyDescent="0.25">
      <c r="AZ11" s="3">
        <v>3.9967597583531363E-2</v>
      </c>
      <c r="BA11" s="3" t="str">
        <f>"0"</f>
        <v>0</v>
      </c>
      <c r="BB11" t="str">
        <f ca="1">IF((OFFSET($A$1, 11 - 1, 52 - 1)) &gt;= (OFFSET($A$1, 73 - 1, 7 - 1)), "1","0")</f>
        <v>0</v>
      </c>
      <c r="BC11">
        <f ca="1" xml:space="preserve"> IF( AND( OFFSET($A$1, 11 - 1, 53 - 1) = "1", OFFSET($A$1, 11 - 1, 54 - 1) = "1" ), 1, IF( AND( OFFSET($A$1, 11 - 1, 53 - 1) = "1", OFFSET($A$1, 11 - 1, 54 - 1) = "0" ), 2, IF( AND( OFFSET($A$1, 11 - 1, 53 - 1) = "0", OFFSET($A$1, 11 - 1, 54 - 1) = "1" ), 3, 4 ) ) )</f>
        <v>4</v>
      </c>
      <c r="BE11" s="3">
        <v>0.10473108520416485</v>
      </c>
      <c r="BF11" s="3" t="str">
        <f>"0"</f>
        <v>0</v>
      </c>
      <c r="BG11" t="str">
        <f ca="1">IF((OFFSET($A$1, 11 - 1, 57 - 1)) &gt;= (OFFSET($A$1, 97 - 1, 7 - 1)), "1","0")</f>
        <v>0</v>
      </c>
      <c r="BH11">
        <f ca="1" xml:space="preserve"> IF( AND( OFFSET($A$1, 11 - 1, 58 - 1) = "1", OFFSET($A$1, 11 - 1, 59 - 1) = "1" ), 1, IF( AND( OFFSET($A$1, 11 - 1, 58 - 1) = "1", OFFSET($A$1, 11 - 1, 59 - 1) = "0" ), 2, IF( AND( OFFSET($A$1, 11 - 1, 58 - 1) = "0", OFFSET($A$1, 11 - 1, 59 - 1) = "1" ), 3, 4 ) ) )</f>
        <v>4</v>
      </c>
    </row>
    <row r="12" spans="2:60" ht="15.75" x14ac:dyDescent="0.25">
      <c r="C12" s="6" t="s">
        <v>195</v>
      </c>
      <c r="D12" s="7"/>
      <c r="E12" s="7"/>
      <c r="F12" s="7"/>
      <c r="G12" s="7"/>
      <c r="H12" s="7"/>
      <c r="I12" s="7"/>
      <c r="J12" s="7"/>
      <c r="K12" s="8"/>
      <c r="AZ12" s="3">
        <v>1.3112325448542921E-2</v>
      </c>
      <c r="BA12" s="3" t="str">
        <f>"0"</f>
        <v>0</v>
      </c>
      <c r="BB12" t="str">
        <f ca="1">IF((OFFSET($A$1, 12 - 1, 52 - 1)) &gt;= (OFFSET($A$1, 73 - 1, 7 - 1)), "1","0")</f>
        <v>0</v>
      </c>
      <c r="BC12">
        <f ca="1" xml:space="preserve"> IF( AND( OFFSET($A$1, 12 - 1, 53 - 1) = "1", OFFSET($A$1, 12 - 1, 54 - 1) = "1" ), 1, IF( AND( OFFSET($A$1, 12 - 1, 53 - 1) = "1", OFFSET($A$1, 12 - 1, 54 - 1) = "0" ), 2, IF( AND( OFFSET($A$1, 12 - 1, 53 - 1) = "0", OFFSET($A$1, 12 - 1, 54 - 1) = "1" ), 3, 4 ) ) )</f>
        <v>4</v>
      </c>
      <c r="BE12" s="3">
        <v>2.6640871521689067E-3</v>
      </c>
      <c r="BF12" s="3" t="str">
        <f>"0"</f>
        <v>0</v>
      </c>
      <c r="BG12" t="str">
        <f ca="1">IF((OFFSET($A$1, 12 - 1, 57 - 1)) &gt;= (OFFSET($A$1, 97 - 1, 7 - 1)), "1","0")</f>
        <v>0</v>
      </c>
      <c r="BH12">
        <f ca="1" xml:space="preserve"> IF( AND( OFFSET($A$1, 12 - 1, 58 - 1) = "1", OFFSET($A$1, 12 - 1, 59 - 1) = "1" ), 1, IF( AND( OFFSET($A$1, 12 - 1, 58 - 1) = "1", OFFSET($A$1, 12 - 1, 59 - 1) = "0" ), 2, IF( AND( OFFSET($A$1, 12 - 1, 58 - 1) = "0", OFFSET($A$1, 12 - 1, 59 - 1) = "1" ), 3, 4 ) ) )</f>
        <v>4</v>
      </c>
    </row>
    <row r="13" spans="2:60" x14ac:dyDescent="0.25">
      <c r="C13" s="9" t="s">
        <v>260</v>
      </c>
      <c r="D13" s="10"/>
      <c r="E13" s="10"/>
      <c r="F13" s="11"/>
      <c r="G13" s="15" t="s">
        <v>261</v>
      </c>
      <c r="H13" s="16"/>
      <c r="I13" s="16"/>
      <c r="J13" s="16"/>
      <c r="K13" s="17"/>
      <c r="AZ13" s="3">
        <v>6.8635221814071085E-2</v>
      </c>
      <c r="BA13" s="3" t="str">
        <f>"0"</f>
        <v>0</v>
      </c>
      <c r="BB13" t="str">
        <f ca="1">IF((OFFSET($A$1, 13 - 1, 52 - 1)) &gt;= (OFFSET($A$1, 73 - 1, 7 - 1)), "1","0")</f>
        <v>0</v>
      </c>
      <c r="BC13">
        <f ca="1" xml:space="preserve"> IF( AND( OFFSET($A$1, 13 - 1, 53 - 1) = "1", OFFSET($A$1, 13 - 1, 54 - 1) = "1" ), 1, IF( AND( OFFSET($A$1, 13 - 1, 53 - 1) = "1", OFFSET($A$1, 13 - 1, 54 - 1) = "0" ), 2, IF( AND( OFFSET($A$1, 13 - 1, 53 - 1) = "0", OFFSET($A$1, 13 - 1, 54 - 1) = "1" ), 3, 4 ) ) )</f>
        <v>4</v>
      </c>
      <c r="BE13" s="3">
        <v>1.4599400719354203E-2</v>
      </c>
      <c r="BF13" s="3" t="str">
        <f>"0"</f>
        <v>0</v>
      </c>
      <c r="BG13" t="str">
        <f ca="1">IF((OFFSET($A$1, 13 - 1, 57 - 1)) &gt;= (OFFSET($A$1, 97 - 1, 7 - 1)), "1","0")</f>
        <v>0</v>
      </c>
      <c r="BH13">
        <f ca="1" xml:space="preserve"> IF( AND( OFFSET($A$1, 13 - 1, 58 - 1) = "1", OFFSET($A$1, 13 - 1, 59 - 1) = "1" ), 1, IF( AND( OFFSET($A$1, 13 - 1, 58 - 1) = "1", OFFSET($A$1, 13 - 1, 59 - 1) = "0" ), 2, IF( AND( OFFSET($A$1, 13 - 1, 58 - 1) = "0", OFFSET($A$1, 13 - 1, 59 - 1) = "1" ), 3, 4 ) ) )</f>
        <v>4</v>
      </c>
    </row>
    <row r="14" spans="2:60" x14ac:dyDescent="0.25">
      <c r="C14" s="9" t="s">
        <v>262</v>
      </c>
      <c r="D14" s="10"/>
      <c r="E14" s="10"/>
      <c r="F14" s="11"/>
      <c r="G14" s="15" t="s">
        <v>263</v>
      </c>
      <c r="H14" s="16"/>
      <c r="I14" s="16"/>
      <c r="J14" s="16"/>
      <c r="K14" s="17"/>
      <c r="AZ14" s="3">
        <v>0.10473108520416485</v>
      </c>
      <c r="BA14" s="3" t="str">
        <f>"0"</f>
        <v>0</v>
      </c>
      <c r="BB14" t="str">
        <f ca="1">IF((OFFSET($A$1, 14 - 1, 52 - 1)) &gt;= (OFFSET($A$1, 73 - 1, 7 - 1)), "1","0")</f>
        <v>0</v>
      </c>
      <c r="BC14">
        <f ca="1" xml:space="preserve"> IF( AND( OFFSET($A$1, 14 - 1, 53 - 1) = "1", OFFSET($A$1, 14 - 1, 54 - 1) = "1" ), 1, IF( AND( OFFSET($A$1, 14 - 1, 53 - 1) = "1", OFFSET($A$1, 14 - 1, 54 - 1) = "0" ), 2, IF( AND( OFFSET($A$1, 14 - 1, 53 - 1) = "0", OFFSET($A$1, 14 - 1, 54 - 1) = "1" ), 3, 4 ) ) )</f>
        <v>4</v>
      </c>
      <c r="BE14" s="3">
        <v>6.8635221814071085E-2</v>
      </c>
      <c r="BF14" s="3" t="str">
        <f>"0"</f>
        <v>0</v>
      </c>
      <c r="BG14" t="str">
        <f ca="1">IF((OFFSET($A$1, 14 - 1, 57 - 1)) &gt;= (OFFSET($A$1, 97 - 1, 7 - 1)), "1","0")</f>
        <v>0</v>
      </c>
      <c r="BH14">
        <f ca="1" xml:space="preserve"> IF( AND( OFFSET($A$1, 14 - 1, 58 - 1) = "1", OFFSET($A$1, 14 - 1, 59 - 1) = "1" ), 1, IF( AND( OFFSET($A$1, 14 - 1, 58 - 1) = "1", OFFSET($A$1, 14 - 1, 59 - 1) = "0" ), 2, IF( AND( OFFSET($A$1, 14 - 1, 58 - 1) = "0", OFFSET($A$1, 14 - 1, 59 - 1) = "1" ), 3, 4 ) ) )</f>
        <v>4</v>
      </c>
    </row>
    <row r="15" spans="2:60" x14ac:dyDescent="0.25">
      <c r="C15" s="9" t="s">
        <v>264</v>
      </c>
      <c r="D15" s="10"/>
      <c r="E15" s="10"/>
      <c r="F15" s="11"/>
      <c r="G15" s="15" t="s">
        <v>265</v>
      </c>
      <c r="H15" s="16"/>
      <c r="I15" s="16"/>
      <c r="J15" s="16"/>
      <c r="K15" s="17"/>
      <c r="AZ15" s="3">
        <v>0.36783741989417773</v>
      </c>
      <c r="BA15" s="3" t="str">
        <f>"1"</f>
        <v>1</v>
      </c>
      <c r="BB15" t="str">
        <f ca="1">IF((OFFSET($A$1, 15 - 1, 52 - 1)) &gt;= (OFFSET($A$1, 73 - 1, 7 - 1)), "1","0")</f>
        <v>0</v>
      </c>
      <c r="BC15">
        <f ca="1" xml:space="preserve"> IF( AND( OFFSET($A$1, 15 - 1, 53 - 1) = "1", OFFSET($A$1, 15 - 1, 54 - 1) = "1" ), 1, IF( AND( OFFSET($A$1, 15 - 1, 53 - 1) = "1", OFFSET($A$1, 15 - 1, 54 - 1) = "0" ), 2, IF( AND( OFFSET($A$1, 15 - 1, 53 - 1) = "0", OFFSET($A$1, 15 - 1, 54 - 1) = "1" ), 3, 4 ) ) )</f>
        <v>2</v>
      </c>
      <c r="BE15" s="3">
        <v>0.17155090223931616</v>
      </c>
      <c r="BF15" s="3" t="str">
        <f>"1"</f>
        <v>1</v>
      </c>
      <c r="BG15" t="str">
        <f ca="1">IF((OFFSET($A$1, 15 - 1, 57 - 1)) &gt;= (OFFSET($A$1, 97 - 1, 7 - 1)), "1","0")</f>
        <v>0</v>
      </c>
      <c r="BH15">
        <f ca="1" xml:space="preserve"> IF( AND( OFFSET($A$1, 15 - 1, 58 - 1) = "1", OFFSET($A$1, 15 - 1, 59 - 1) = "1" ), 1, IF( AND( OFFSET($A$1, 15 - 1, 58 - 1) = "1", OFFSET($A$1, 15 - 1, 59 - 1) = "0" ), 2, IF( AND( OFFSET($A$1, 15 - 1, 58 - 1) = "0", OFFSET($A$1, 15 - 1, 59 - 1) = "1" ), 3, 4 ) ) )</f>
        <v>2</v>
      </c>
    </row>
    <row r="16" spans="2:60" x14ac:dyDescent="0.25">
      <c r="C16" s="9" t="s">
        <v>266</v>
      </c>
      <c r="D16" s="10"/>
      <c r="E16" s="10"/>
      <c r="F16" s="11"/>
      <c r="G16" s="15">
        <v>105</v>
      </c>
      <c r="H16" s="16"/>
      <c r="I16" s="16"/>
      <c r="J16" s="16"/>
      <c r="K16" s="17"/>
      <c r="AZ16" s="3">
        <v>1.3112325448542921E-2</v>
      </c>
      <c r="BA16" s="3" t="str">
        <f>"0"</f>
        <v>0</v>
      </c>
      <c r="BB16" t="str">
        <f ca="1">IF((OFFSET($A$1, 16 - 1, 52 - 1)) &gt;= (OFFSET($A$1, 73 - 1, 7 - 1)), "1","0")</f>
        <v>0</v>
      </c>
      <c r="BC16">
        <f ca="1" xml:space="preserve"> IF( AND( OFFSET($A$1, 16 - 1, 53 - 1) = "1", OFFSET($A$1, 16 - 1, 54 - 1) = "1" ), 1, IF( AND( OFFSET($A$1, 16 - 1, 53 - 1) = "1", OFFSET($A$1, 16 - 1, 54 - 1) = "0" ), 2, IF( AND( OFFSET($A$1, 16 - 1, 53 - 1) = "0", OFFSET($A$1, 16 - 1, 54 - 1) = "1" ), 3, 4 ) ) )</f>
        <v>4</v>
      </c>
      <c r="BE16" s="3">
        <v>0.31308174134100825</v>
      </c>
      <c r="BF16" s="3" t="str">
        <f>"0"</f>
        <v>0</v>
      </c>
      <c r="BG16" t="str">
        <f ca="1">IF((OFFSET($A$1, 16 - 1, 57 - 1)) &gt;= (OFFSET($A$1, 97 - 1, 7 - 1)), "1","0")</f>
        <v>0</v>
      </c>
      <c r="BH16">
        <f ca="1" xml:space="preserve"> IF( AND( OFFSET($A$1, 16 - 1, 58 - 1) = "1", OFFSET($A$1, 16 - 1, 59 - 1) = "1" ), 1, IF( AND( OFFSET($A$1, 16 - 1, 58 - 1) = "1", OFFSET($A$1, 16 - 1, 59 - 1) = "0" ), 2, IF( AND( OFFSET($A$1, 16 - 1, 58 - 1) = "0", OFFSET($A$1, 16 - 1, 59 - 1) = "1" ), 3, 4 ) ) )</f>
        <v>4</v>
      </c>
    </row>
    <row r="17" spans="3:60" x14ac:dyDescent="0.25">
      <c r="C17" s="9" t="s">
        <v>267</v>
      </c>
      <c r="D17" s="10"/>
      <c r="E17" s="10"/>
      <c r="F17" s="11"/>
      <c r="G17" s="15" t="s">
        <v>268</v>
      </c>
      <c r="H17" s="16"/>
      <c r="I17" s="16"/>
      <c r="J17" s="16"/>
      <c r="K17" s="17"/>
      <c r="AZ17" s="3">
        <v>1.4599400719354203E-2</v>
      </c>
      <c r="BA17" s="3" t="str">
        <f>"0"</f>
        <v>0</v>
      </c>
      <c r="BB17" t="str">
        <f ca="1">IF((OFFSET($A$1, 17 - 1, 52 - 1)) &gt;= (OFFSET($A$1, 73 - 1, 7 - 1)), "1","0")</f>
        <v>0</v>
      </c>
      <c r="BC17">
        <f ca="1" xml:space="preserve"> IF( AND( OFFSET($A$1, 17 - 1, 53 - 1) = "1", OFFSET($A$1, 17 - 1, 54 - 1) = "1" ), 1, IF( AND( OFFSET($A$1, 17 - 1, 53 - 1) = "1", OFFSET($A$1, 17 - 1, 54 - 1) = "0" ), 2, IF( AND( OFFSET($A$1, 17 - 1, 53 - 1) = "0", OFFSET($A$1, 17 - 1, 54 - 1) = "1" ), 3, 4 ) ) )</f>
        <v>4</v>
      </c>
      <c r="BE17" s="3">
        <v>4.7061241626921574E-3</v>
      </c>
      <c r="BF17" s="3" t="str">
        <f>"0"</f>
        <v>0</v>
      </c>
      <c r="BG17" t="str">
        <f ca="1">IF((OFFSET($A$1, 17 - 1, 57 - 1)) &gt;= (OFFSET($A$1, 97 - 1, 7 - 1)), "1","0")</f>
        <v>0</v>
      </c>
      <c r="BH17">
        <f ca="1" xml:space="preserve"> IF( AND( OFFSET($A$1, 17 - 1, 58 - 1) = "1", OFFSET($A$1, 17 - 1, 59 - 1) = "1" ), 1, IF( AND( OFFSET($A$1, 17 - 1, 58 - 1) = "1", OFFSET($A$1, 17 - 1, 59 - 1) = "0" ), 2, IF( AND( OFFSET($A$1, 17 - 1, 58 - 1) = "0", OFFSET($A$1, 17 - 1, 59 - 1) = "1" ), 3, 4 ) ) )</f>
        <v>4</v>
      </c>
    </row>
    <row r="18" spans="3:60" x14ac:dyDescent="0.25">
      <c r="C18" s="9" t="s">
        <v>269</v>
      </c>
      <c r="D18" s="10"/>
      <c r="E18" s="10"/>
      <c r="F18" s="11"/>
      <c r="G18" s="15">
        <v>66</v>
      </c>
      <c r="H18" s="16"/>
      <c r="I18" s="16"/>
      <c r="J18" s="16"/>
      <c r="K18" s="17"/>
      <c r="AZ18" s="3">
        <v>8.3003667265397815E-3</v>
      </c>
      <c r="BA18" s="3" t="str">
        <f>"0"</f>
        <v>0</v>
      </c>
      <c r="BB18" t="str">
        <f ca="1">IF((OFFSET($A$1, 18 - 1, 52 - 1)) &gt;= (OFFSET($A$1, 73 - 1, 7 - 1)), "1","0")</f>
        <v>0</v>
      </c>
      <c r="BC18">
        <f ca="1" xml:space="preserve"> IF( AND( OFFSET($A$1, 18 - 1, 53 - 1) = "1", OFFSET($A$1, 18 - 1, 54 - 1) = "1" ), 1, IF( AND( OFFSET($A$1, 18 - 1, 53 - 1) = "1", OFFSET($A$1, 18 - 1, 54 - 1) = "0" ), 2, IF( AND( OFFSET($A$1, 18 - 1, 53 - 1) = "0", OFFSET($A$1, 18 - 1, 54 - 1) = "1" ), 3, 4 ) ) )</f>
        <v>4</v>
      </c>
      <c r="BE18" s="3">
        <v>2.5555500696915728E-2</v>
      </c>
      <c r="BF18" s="3" t="str">
        <f>"0"</f>
        <v>0</v>
      </c>
      <c r="BG18" t="str">
        <f ca="1">IF((OFFSET($A$1, 18 - 1, 57 - 1)) &gt;= (OFFSET($A$1, 97 - 1, 7 - 1)), "1","0")</f>
        <v>0</v>
      </c>
      <c r="BH18">
        <f ca="1" xml:space="preserve"> IF( AND( OFFSET($A$1, 18 - 1, 58 - 1) = "1", OFFSET($A$1, 18 - 1, 59 - 1) = "1" ), 1, IF( AND( OFFSET($A$1, 18 - 1, 58 - 1) = "1", OFFSET($A$1, 18 - 1, 59 - 1) = "0" ), 2, IF( AND( OFFSET($A$1, 18 - 1, 58 - 1) = "0", OFFSET($A$1, 18 - 1, 59 - 1) = "1" ), 3, 4 ) ) )</f>
        <v>4</v>
      </c>
    </row>
    <row r="19" spans="3:60" x14ac:dyDescent="0.25">
      <c r="AZ19" s="3">
        <v>6.1990381774628532E-2</v>
      </c>
      <c r="BA19" s="3" t="str">
        <f>"0"</f>
        <v>0</v>
      </c>
      <c r="BB19" t="str">
        <f ca="1">IF((OFFSET($A$1, 19 - 1, 52 - 1)) &gt;= (OFFSET($A$1, 73 - 1, 7 - 1)), "1","0")</f>
        <v>0</v>
      </c>
      <c r="BC19">
        <f ca="1" xml:space="preserve"> IF( AND( OFFSET($A$1, 19 - 1, 53 - 1) = "1", OFFSET($A$1, 19 - 1, 54 - 1) = "1" ), 1, IF( AND( OFFSET($A$1, 19 - 1, 53 - 1) = "1", OFFSET($A$1, 19 - 1, 54 - 1) = "0" ), 2, IF( AND( OFFSET($A$1, 19 - 1, 53 - 1) = "0", OFFSET($A$1, 19 - 1, 54 - 1) = "1" ), 3, 4 ) ) )</f>
        <v>4</v>
      </c>
      <c r="BE19" s="3">
        <v>1.3112325448542921E-2</v>
      </c>
      <c r="BF19" s="3" t="str">
        <f>"0"</f>
        <v>0</v>
      </c>
      <c r="BG19" t="str">
        <f ca="1">IF((OFFSET($A$1, 19 - 1, 57 - 1)) &gt;= (OFFSET($A$1, 97 - 1, 7 - 1)), "1","0")</f>
        <v>0</v>
      </c>
      <c r="BH19">
        <f ca="1" xml:space="preserve"> IF( AND( OFFSET($A$1, 19 - 1, 58 - 1) = "1", OFFSET($A$1, 19 - 1, 59 - 1) = "1" ), 1, IF( AND( OFFSET($A$1, 19 - 1, 58 - 1) = "1", OFFSET($A$1, 19 - 1, 59 - 1) = "0" ), 2, IF( AND( OFFSET($A$1, 19 - 1, 58 - 1) = "0", OFFSET($A$1, 19 - 1, 59 - 1) = "1" ), 3, 4 ) ) )</f>
        <v>4</v>
      </c>
    </row>
    <row r="20" spans="3:60" ht="15.75" x14ac:dyDescent="0.25">
      <c r="C20" s="6" t="s">
        <v>270</v>
      </c>
      <c r="D20" s="7"/>
      <c r="E20" s="7"/>
      <c r="F20" s="8"/>
      <c r="AZ20" s="3">
        <v>0.74320943315777543</v>
      </c>
      <c r="BA20" s="3" t="str">
        <f>"1"</f>
        <v>1</v>
      </c>
      <c r="BB20" t="str">
        <f ca="1">IF((OFFSET($A$1, 20 - 1, 52 - 1)) &gt;= (OFFSET($A$1, 73 - 1, 7 - 1)), "1","0")</f>
        <v>1</v>
      </c>
      <c r="BC20">
        <f ca="1" xml:space="preserve"> IF( AND( OFFSET($A$1, 20 - 1, 53 - 1) = "1", OFFSET($A$1, 20 - 1, 54 - 1) = "1" ), 1, IF( AND( OFFSET($A$1, 20 - 1, 53 - 1) = "1", OFFSET($A$1, 20 - 1, 54 - 1) = "0" ), 2, IF( AND( OFFSET($A$1, 20 - 1, 53 - 1) = "0", OFFSET($A$1, 20 - 1, 54 - 1) = "1" ), 3, 4 ) ) )</f>
        <v>1</v>
      </c>
      <c r="BE20" s="3">
        <v>0.83668541480523573</v>
      </c>
      <c r="BF20" s="3" t="str">
        <f>"1"</f>
        <v>1</v>
      </c>
      <c r="BG20" t="str">
        <f ca="1">IF((OFFSET($A$1, 20 - 1, 57 - 1)) &gt;= (OFFSET($A$1, 97 - 1, 7 - 1)), "1","0")</f>
        <v>1</v>
      </c>
      <c r="BH20">
        <f ca="1" xml:space="preserve"> IF( AND( OFFSET($A$1, 20 - 1, 58 - 1) = "1", OFFSET($A$1, 20 - 1, 59 - 1) = "1" ), 1, IF( AND( OFFSET($A$1, 20 - 1, 58 - 1) = "1", OFFSET($A$1, 20 - 1, 59 - 1) = "0" ), 2, IF( AND( OFFSET($A$1, 20 - 1, 58 - 1) = "0", OFFSET($A$1, 20 - 1, 59 - 1) = "1" ), 3, 4 ) ) )</f>
        <v>1</v>
      </c>
    </row>
    <row r="21" spans="3:60" x14ac:dyDescent="0.25">
      <c r="C21" s="9" t="s">
        <v>271</v>
      </c>
      <c r="D21" s="11"/>
      <c r="E21" s="15">
        <v>2</v>
      </c>
      <c r="F21" s="17"/>
      <c r="AZ21" s="3">
        <v>0.34289008688995654</v>
      </c>
      <c r="BA21" s="3" t="str">
        <f>"0"</f>
        <v>0</v>
      </c>
      <c r="BB21" t="str">
        <f ca="1">IF((OFFSET($A$1, 21 - 1, 52 - 1)) &gt;= (OFFSET($A$1, 73 - 1, 7 - 1)), "1","0")</f>
        <v>0</v>
      </c>
      <c r="BC21">
        <f ca="1" xml:space="preserve"> IF( AND( OFFSET($A$1, 21 - 1, 53 - 1) = "1", OFFSET($A$1, 21 - 1, 54 - 1) = "1" ), 1, IF( AND( OFFSET($A$1, 21 - 1, 53 - 1) = "1", OFFSET($A$1, 21 - 1, 54 - 1) = "0" ), 2, IF( AND( OFFSET($A$1, 21 - 1, 53 - 1) = "0", OFFSET($A$1, 21 - 1, 54 - 1) = "1" ), 3, 4 ) ) )</f>
        <v>4</v>
      </c>
      <c r="BE21" s="3">
        <v>4.4363430878092497E-2</v>
      </c>
      <c r="BF21" s="3" t="str">
        <f>"1"</f>
        <v>1</v>
      </c>
      <c r="BG21" t="str">
        <f ca="1">IF((OFFSET($A$1, 21 - 1, 57 - 1)) &gt;= (OFFSET($A$1, 97 - 1, 7 - 1)), "1","0")</f>
        <v>0</v>
      </c>
      <c r="BH21">
        <f ca="1" xml:space="preserve"> IF( AND( OFFSET($A$1, 21 - 1, 58 - 1) = "1", OFFSET($A$1, 21 - 1, 59 - 1) = "1" ), 1, IF( AND( OFFSET($A$1, 21 - 1, 58 - 1) = "1", OFFSET($A$1, 21 - 1, 59 - 1) = "0" ), 2, IF( AND( OFFSET($A$1, 21 - 1, 58 - 1) = "0", OFFSET($A$1, 21 - 1, 59 - 1) = "1" ), 3, 4 ) ) )</f>
        <v>2</v>
      </c>
    </row>
    <row r="22" spans="3:60" x14ac:dyDescent="0.25">
      <c r="C22" s="9" t="s">
        <v>272</v>
      </c>
      <c r="D22" s="11"/>
      <c r="E22" s="3" t="s">
        <v>2</v>
      </c>
      <c r="F22" s="3" t="s">
        <v>3</v>
      </c>
      <c r="AZ22" s="3">
        <v>2.6640871521689067E-3</v>
      </c>
      <c r="BA22" s="3" t="str">
        <f>"0"</f>
        <v>0</v>
      </c>
      <c r="BB22" t="str">
        <f ca="1">IF((OFFSET($A$1, 22 - 1, 52 - 1)) &gt;= (OFFSET($A$1, 73 - 1, 7 - 1)), "1","0")</f>
        <v>0</v>
      </c>
      <c r="BC22">
        <f ca="1" xml:space="preserve"> IF( AND( OFFSET($A$1, 22 - 1, 53 - 1) = "1", OFFSET($A$1, 22 - 1, 54 - 1) = "1" ), 1, IF( AND( OFFSET($A$1, 22 - 1, 53 - 1) = "1", OFFSET($A$1, 22 - 1, 54 - 1) = "0" ), 2, IF( AND( OFFSET($A$1, 22 - 1, 53 - 1) = "0", OFFSET($A$1, 22 - 1, 54 - 1) = "1" ), 3, 4 ) ) )</f>
        <v>4</v>
      </c>
      <c r="BE22" s="3">
        <v>0.2682297773834319</v>
      </c>
      <c r="BF22" s="3" t="str">
        <f>"0"</f>
        <v>0</v>
      </c>
      <c r="BG22" t="str">
        <f ca="1">IF((OFFSET($A$1, 22 - 1, 57 - 1)) &gt;= (OFFSET($A$1, 97 - 1, 7 - 1)), "1","0")</f>
        <v>0</v>
      </c>
      <c r="BH22">
        <f ca="1" xml:space="preserve"> IF( AND( OFFSET($A$1, 22 - 1, 58 - 1) = "1", OFFSET($A$1, 22 - 1, 59 - 1) = "1" ), 1, IF( AND( OFFSET($A$1, 22 - 1, 58 - 1) = "1", OFFSET($A$1, 22 - 1, 59 - 1) = "0" ), 2, IF( AND( OFFSET($A$1, 22 - 1, 58 - 1) = "0", OFFSET($A$1, 22 - 1, 59 - 1) = "1" ), 3, 4 ) ) )</f>
        <v>4</v>
      </c>
    </row>
    <row r="23" spans="3:60" x14ac:dyDescent="0.25">
      <c r="C23" s="9" t="s">
        <v>273</v>
      </c>
      <c r="D23" s="11"/>
      <c r="E23" s="12" t="s">
        <v>5</v>
      </c>
      <c r="F23" s="14"/>
      <c r="AZ23" s="3">
        <v>1.4599400719354203E-2</v>
      </c>
      <c r="BA23" s="3" t="str">
        <f>"0"</f>
        <v>0</v>
      </c>
      <c r="BB23" t="str">
        <f ca="1">IF((OFFSET($A$1, 23 - 1, 52 - 1)) &gt;= (OFFSET($A$1, 73 - 1, 7 - 1)), "1","0")</f>
        <v>0</v>
      </c>
      <c r="BC23">
        <f ca="1" xml:space="preserve"> IF( AND( OFFSET($A$1, 23 - 1, 53 - 1) = "1", OFFSET($A$1, 23 - 1, 54 - 1) = "1" ), 1, IF( AND( OFFSET($A$1, 23 - 1, 53 - 1) = "1", OFFSET($A$1, 23 - 1, 54 - 1) = "0" ), 2, IF( AND( OFFSET($A$1, 23 - 1, 53 - 1) = "0", OFFSET($A$1, 23 - 1, 54 - 1) = "1" ), 3, 4 ) ) )</f>
        <v>4</v>
      </c>
      <c r="BE23" s="3">
        <v>2.3897784938870111E-3</v>
      </c>
      <c r="BF23" s="3" t="str">
        <f>"0"</f>
        <v>0</v>
      </c>
      <c r="BG23" t="str">
        <f ca="1">IF((OFFSET($A$1, 23 - 1, 57 - 1)) &gt;= (OFFSET($A$1, 97 - 1, 7 - 1)), "1","0")</f>
        <v>0</v>
      </c>
      <c r="BH23">
        <f ca="1" xml:space="preserve"> IF( AND( OFFSET($A$1, 23 - 1, 58 - 1) = "1", OFFSET($A$1, 23 - 1, 59 - 1) = "1" ), 1, IF( AND( OFFSET($A$1, 23 - 1, 58 - 1) = "1", OFFSET($A$1, 23 - 1, 59 - 1) = "0" ), 2, IF( AND( OFFSET($A$1, 23 - 1, 58 - 1) = "0", OFFSET($A$1, 23 - 1, 59 - 1) = "1" ), 3, 4 ) ) )</f>
        <v>4</v>
      </c>
    </row>
    <row r="24" spans="3:60" x14ac:dyDescent="0.25">
      <c r="AZ24" s="3">
        <v>1.4599400719354203E-2</v>
      </c>
      <c r="BA24" s="3" t="str">
        <f>"0"</f>
        <v>0</v>
      </c>
      <c r="BB24" t="str">
        <f ca="1">IF((OFFSET($A$1, 24 - 1, 52 - 1)) &gt;= (OFFSET($A$1, 73 - 1, 7 - 1)), "1","0")</f>
        <v>0</v>
      </c>
      <c r="BC24">
        <f ca="1" xml:space="preserve"> IF( AND( OFFSET($A$1, 24 - 1, 53 - 1) = "1", OFFSET($A$1, 24 - 1, 54 - 1) = "1" ), 1, IF( AND( OFFSET($A$1, 24 - 1, 53 - 1) = "1", OFFSET($A$1, 24 - 1, 54 - 1) = "0" ), 2, IF( AND( OFFSET($A$1, 24 - 1, 53 - 1) = "0", OFFSET($A$1, 24 - 1, 54 - 1) = "1" ), 3, 4 ) ) )</f>
        <v>4</v>
      </c>
      <c r="BE24" s="3">
        <v>2.6640871521689067E-3</v>
      </c>
      <c r="BF24" s="3" t="str">
        <f>"0"</f>
        <v>0</v>
      </c>
      <c r="BG24" t="str">
        <f ca="1">IF((OFFSET($A$1, 24 - 1, 57 - 1)) &gt;= (OFFSET($A$1, 97 - 1, 7 - 1)), "1","0")</f>
        <v>0</v>
      </c>
      <c r="BH24">
        <f ca="1" xml:space="preserve"> IF( AND( OFFSET($A$1, 24 - 1, 58 - 1) = "1", OFFSET($A$1, 24 - 1, 59 - 1) = "1" ), 1, IF( AND( OFFSET($A$1, 24 - 1, 58 - 1) = "1", OFFSET($A$1, 24 - 1, 59 - 1) = "0" ), 2, IF( AND( OFFSET($A$1, 24 - 1, 58 - 1) = "0", OFFSET($A$1, 24 - 1, 59 - 1) = "1" ), 3, 4 ) ) )</f>
        <v>4</v>
      </c>
    </row>
    <row r="25" spans="3:60" ht="15.75" x14ac:dyDescent="0.25">
      <c r="C25" s="6" t="s">
        <v>274</v>
      </c>
      <c r="D25" s="7"/>
      <c r="E25" s="7"/>
      <c r="F25" s="7"/>
      <c r="G25" s="7"/>
      <c r="H25" s="7"/>
      <c r="I25" s="7"/>
      <c r="J25" s="8"/>
      <c r="AZ25" s="3">
        <v>0.17155090223931616</v>
      </c>
      <c r="BA25" s="3" t="str">
        <f>"1"</f>
        <v>1</v>
      </c>
      <c r="BB25" t="str">
        <f ca="1">IF((OFFSET($A$1, 25 - 1, 52 - 1)) &gt;= (OFFSET($A$1, 73 - 1, 7 - 1)), "1","0")</f>
        <v>0</v>
      </c>
      <c r="BC25">
        <f ca="1" xml:space="preserve"> IF( AND( OFFSET($A$1, 25 - 1, 53 - 1) = "1", OFFSET($A$1, 25 - 1, 54 - 1) = "1" ), 1, IF( AND( OFFSET($A$1, 25 - 1, 53 - 1) = "1", OFFSET($A$1, 25 - 1, 54 - 1) = "0" ), 2, IF( AND( OFFSET($A$1, 25 - 1, 53 - 1) = "0", OFFSET($A$1, 25 - 1, 54 - 1) = "1" ), 3, 4 ) ) )</f>
        <v>2</v>
      </c>
      <c r="BE25" s="3">
        <v>1.506770177865201E-3</v>
      </c>
      <c r="BF25" s="3" t="str">
        <f>"0"</f>
        <v>0</v>
      </c>
      <c r="BG25" t="str">
        <f ca="1">IF((OFFSET($A$1, 25 - 1, 57 - 1)) &gt;= (OFFSET($A$1, 97 - 1, 7 - 1)), "1","0")</f>
        <v>0</v>
      </c>
      <c r="BH25">
        <f ca="1" xml:space="preserve"> IF( AND( OFFSET($A$1, 25 - 1, 58 - 1) = "1", OFFSET($A$1, 25 - 1, 59 - 1) = "1" ), 1, IF( AND( OFFSET($A$1, 25 - 1, 58 - 1) = "1", OFFSET($A$1, 25 - 1, 59 - 1) = "0" ), 2, IF( AND( OFFSET($A$1, 25 - 1, 58 - 1) = "0", OFFSET($A$1, 25 - 1, 59 - 1) = "1" ), 3, 4 ) ) )</f>
        <v>4</v>
      </c>
    </row>
    <row r="26" spans="3:60" x14ac:dyDescent="0.25">
      <c r="C26" s="9" t="s">
        <v>275</v>
      </c>
      <c r="D26" s="10"/>
      <c r="E26" s="10"/>
      <c r="F26" s="11"/>
      <c r="G26" s="15" t="s">
        <v>276</v>
      </c>
      <c r="H26" s="16"/>
      <c r="I26" s="16"/>
      <c r="J26" s="17"/>
      <c r="AZ26" s="3">
        <v>1.506770177865201E-3</v>
      </c>
      <c r="BA26" s="3" t="str">
        <f>"0"</f>
        <v>0</v>
      </c>
      <c r="BB26" t="str">
        <f ca="1">IF((OFFSET($A$1, 26 - 1, 52 - 1)) &gt;= (OFFSET($A$1, 73 - 1, 7 - 1)), "1","0")</f>
        <v>0</v>
      </c>
      <c r="BC26">
        <f ca="1" xml:space="preserve"> IF( AND( OFFSET($A$1, 26 - 1, 53 - 1) = "1", OFFSET($A$1, 26 - 1, 54 - 1) = "1" ), 1, IF( AND( OFFSET($A$1, 26 - 1, 53 - 1) = "1", OFFSET($A$1, 26 - 1, 54 - 1) = "0" ), 2, IF( AND( OFFSET($A$1, 26 - 1, 53 - 1) = "0", OFFSET($A$1, 26 - 1, 54 - 1) = "1" ), 3, 4 ) ) )</f>
        <v>4</v>
      </c>
      <c r="BE26" s="3">
        <v>6.8635221814071085E-2</v>
      </c>
      <c r="BF26" s="3" t="str">
        <f>"0"</f>
        <v>0</v>
      </c>
      <c r="BG26" t="str">
        <f ca="1">IF((OFFSET($A$1, 26 - 1, 57 - 1)) &gt;= (OFFSET($A$1, 97 - 1, 7 - 1)), "1","0")</f>
        <v>0</v>
      </c>
      <c r="BH26">
        <f ca="1" xml:space="preserve"> IF( AND( OFFSET($A$1, 26 - 1, 58 - 1) = "1", OFFSET($A$1, 26 - 1, 59 - 1) = "1" ), 1, IF( AND( OFFSET($A$1, 26 - 1, 58 - 1) = "1", OFFSET($A$1, 26 - 1, 59 - 1) = "0" ), 2, IF( AND( OFFSET($A$1, 26 - 1, 58 - 1) = "0", OFFSET($A$1, 26 - 1, 59 - 1) = "1" ), 3, 4 ) ) )</f>
        <v>4</v>
      </c>
    </row>
    <row r="27" spans="3:60" x14ac:dyDescent="0.25">
      <c r="C27" s="9" t="s">
        <v>277</v>
      </c>
      <c r="D27" s="10"/>
      <c r="E27" s="10"/>
      <c r="F27" s="11"/>
      <c r="G27" s="15">
        <v>95</v>
      </c>
      <c r="H27" s="16"/>
      <c r="I27" s="16"/>
      <c r="J27" s="17"/>
      <c r="AZ27" s="3">
        <v>2.6640871521689067E-3</v>
      </c>
      <c r="BA27" s="3" t="str">
        <f>"0"</f>
        <v>0</v>
      </c>
      <c r="BB27" t="str">
        <f ca="1">IF((OFFSET($A$1, 27 - 1, 52 - 1)) &gt;= (OFFSET($A$1, 73 - 1, 7 - 1)), "1","0")</f>
        <v>0</v>
      </c>
      <c r="BC27">
        <f ca="1" xml:space="preserve"> IF( AND( OFFSET($A$1, 27 - 1, 53 - 1) = "1", OFFSET($A$1, 27 - 1, 54 - 1) = "1" ), 1, IF( AND( OFFSET($A$1, 27 - 1, 53 - 1) = "1", OFFSET($A$1, 27 - 1, 54 - 1) = "0" ), 2, IF( AND( OFFSET($A$1, 27 - 1, 53 - 1) = "0", OFFSET($A$1, 27 - 1, 54 - 1) = "1" ), 3, 4 ) ) )</f>
        <v>4</v>
      </c>
      <c r="BE27" s="3">
        <v>2.2978475151535619E-2</v>
      </c>
      <c r="BF27" s="3" t="str">
        <f>"0"</f>
        <v>0</v>
      </c>
      <c r="BG27" t="str">
        <f ca="1">IF((OFFSET($A$1, 27 - 1, 57 - 1)) &gt;= (OFFSET($A$1, 97 - 1, 7 - 1)), "1","0")</f>
        <v>0</v>
      </c>
      <c r="BH27">
        <f ca="1" xml:space="preserve"> IF( AND( OFFSET($A$1, 27 - 1, 58 - 1) = "1", OFFSET($A$1, 27 - 1, 59 - 1) = "1" ), 1, IF( AND( OFFSET($A$1, 27 - 1, 58 - 1) = "1", OFFSET($A$1, 27 - 1, 59 - 1) = "0" ), 2, IF( AND( OFFSET($A$1, 27 - 1, 58 - 1) = "0", OFFSET($A$1, 27 - 1, 59 - 1) = "1" ), 3, 4 ) ) )</f>
        <v>4</v>
      </c>
    </row>
    <row r="28" spans="3:60" x14ac:dyDescent="0.25">
      <c r="C28" s="9" t="s">
        <v>278</v>
      </c>
      <c r="D28" s="10"/>
      <c r="E28" s="10"/>
      <c r="F28" s="11"/>
      <c r="G28" s="15">
        <v>50</v>
      </c>
      <c r="H28" s="16"/>
      <c r="I28" s="16"/>
      <c r="J28" s="17"/>
      <c r="AZ28" s="3">
        <v>4.7061241626921574E-3</v>
      </c>
      <c r="BA28" s="3" t="str">
        <f>"0"</f>
        <v>0</v>
      </c>
      <c r="BB28" t="str">
        <f ca="1">IF((OFFSET($A$1, 28 - 1, 52 - 1)) &gt;= (OFFSET($A$1, 73 - 1, 7 - 1)), "1","0")</f>
        <v>0</v>
      </c>
      <c r="BC28">
        <f ca="1" xml:space="preserve"> IF( AND( OFFSET($A$1, 28 - 1, 53 - 1) = "1", OFFSET($A$1, 28 - 1, 54 - 1) = "1" ), 1, IF( AND( OFFSET($A$1, 28 - 1, 53 - 1) = "1", OFFSET($A$1, 28 - 1, 54 - 1) = "0" ), 2, IF( AND( OFFSET($A$1, 28 - 1, 53 - 1) = "0", OFFSET($A$1, 28 - 1, 54 - 1) = "1" ), 3, 4 ) ) )</f>
        <v>4</v>
      </c>
      <c r="BE28" s="3">
        <v>8.5177861473353185E-4</v>
      </c>
      <c r="BF28" s="3" t="str">
        <f>"0"</f>
        <v>0</v>
      </c>
      <c r="BG28" t="str">
        <f ca="1">IF((OFFSET($A$1, 28 - 1, 57 - 1)) &gt;= (OFFSET($A$1, 97 - 1, 7 - 1)), "1","0")</f>
        <v>0</v>
      </c>
      <c r="BH28">
        <f ca="1" xml:space="preserve"> IF( AND( OFFSET($A$1, 28 - 1, 58 - 1) = "1", OFFSET($A$1, 28 - 1, 59 - 1) = "1" ), 1, IF( AND( OFFSET($A$1, 28 - 1, 58 - 1) = "1", OFFSET($A$1, 28 - 1, 59 - 1) = "0" ), 2, IF( AND( OFFSET($A$1, 28 - 1, 58 - 1) = "0", OFFSET($A$1, 28 - 1, 59 - 1) = "1" ), 3, 4 ) ) )</f>
        <v>4</v>
      </c>
    </row>
    <row r="29" spans="3:60" x14ac:dyDescent="0.25">
      <c r="C29" s="9" t="s">
        <v>279</v>
      </c>
      <c r="D29" s="10"/>
      <c r="E29" s="10"/>
      <c r="F29" s="11"/>
      <c r="G29" s="15" t="s">
        <v>276</v>
      </c>
      <c r="H29" s="16"/>
      <c r="I29" s="16"/>
      <c r="J29" s="17"/>
      <c r="AZ29" s="3">
        <v>0.50738627171947515</v>
      </c>
      <c r="BA29" s="3" t="str">
        <f>"1"</f>
        <v>1</v>
      </c>
      <c r="BB29" t="str">
        <f ca="1">IF((OFFSET($A$1, 29 - 1, 52 - 1)) &gt;= (OFFSET($A$1, 73 - 1, 7 - 1)), "1","0")</f>
        <v>1</v>
      </c>
      <c r="BC29">
        <f ca="1" xml:space="preserve"> IF( AND( OFFSET($A$1, 29 - 1, 53 - 1) = "1", OFFSET($A$1, 29 - 1, 54 - 1) = "1" ), 1, IF( AND( OFFSET($A$1, 29 - 1, 53 - 1) = "1", OFFSET($A$1, 29 - 1, 54 - 1) = "0" ), 2, IF( AND( OFFSET($A$1, 29 - 1, 53 - 1) = "0", OFFSET($A$1, 29 - 1, 54 - 1) = "1" ), 3, 4 ) ) )</f>
        <v>1</v>
      </c>
      <c r="BE29" s="3">
        <v>3.5990929333768816E-2</v>
      </c>
      <c r="BF29" s="3" t="str">
        <f>"0"</f>
        <v>0</v>
      </c>
      <c r="BG29" t="str">
        <f ca="1">IF((OFFSET($A$1, 29 - 1, 57 - 1)) &gt;= (OFFSET($A$1, 97 - 1, 7 - 1)), "1","0")</f>
        <v>0</v>
      </c>
      <c r="BH29">
        <f ca="1" xml:space="preserve"> IF( AND( OFFSET($A$1, 29 - 1, 58 - 1) = "1", OFFSET($A$1, 29 - 1, 59 - 1) = "1" ), 1, IF( AND( OFFSET($A$1, 29 - 1, 58 - 1) = "1", OFFSET($A$1, 29 - 1, 59 - 1) = "0" ), 2, IF( AND( OFFSET($A$1, 29 - 1, 58 - 1) = "0", OFFSET($A$1, 29 - 1, 59 - 1) = "1" ), 3, 4 ) ) )</f>
        <v>4</v>
      </c>
    </row>
    <row r="30" spans="3:60" x14ac:dyDescent="0.25">
      <c r="C30" s="9" t="s">
        <v>285</v>
      </c>
      <c r="D30" s="10"/>
      <c r="E30" s="10"/>
      <c r="F30" s="11"/>
      <c r="G30" s="15" t="s">
        <v>276</v>
      </c>
      <c r="H30" s="16"/>
      <c r="I30" s="16"/>
      <c r="J30" s="17"/>
      <c r="AZ30" s="3">
        <v>0.62049840743522267</v>
      </c>
      <c r="BA30" s="3" t="str">
        <f>"0"</f>
        <v>0</v>
      </c>
      <c r="BB30" t="str">
        <f ca="1">IF((OFFSET($A$1, 30 - 1, 52 - 1)) &gt;= (OFFSET($A$1, 73 - 1, 7 - 1)), "1","0")</f>
        <v>1</v>
      </c>
      <c r="BC30">
        <f ca="1" xml:space="preserve"> IF( AND( OFFSET($A$1, 30 - 1, 53 - 1) = "1", OFFSET($A$1, 30 - 1, 54 - 1) = "1" ), 1, IF( AND( OFFSET($A$1, 30 - 1, 53 - 1) = "1", OFFSET($A$1, 30 - 1, 54 - 1) = "0" ), 2, IF( AND( OFFSET($A$1, 30 - 1, 53 - 1) = "0", OFFSET($A$1, 30 - 1, 54 - 1) = "1" ), 3, 4 ) ) )</f>
        <v>3</v>
      </c>
      <c r="BE30" s="3">
        <v>8.3003667265397815E-3</v>
      </c>
      <c r="BF30" s="3" t="str">
        <f>"0"</f>
        <v>0</v>
      </c>
      <c r="BG30" t="str">
        <f ca="1">IF((OFFSET($A$1, 30 - 1, 57 - 1)) &gt;= (OFFSET($A$1, 97 - 1, 7 - 1)), "1","0")</f>
        <v>0</v>
      </c>
      <c r="BH30">
        <f ca="1" xml:space="preserve"> IF( AND( OFFSET($A$1, 30 - 1, 58 - 1) = "1", OFFSET($A$1, 30 - 1, 59 - 1) = "1" ), 1, IF( AND( OFFSET($A$1, 30 - 1, 58 - 1) = "1", OFFSET($A$1, 30 - 1, 59 - 1) = "0" ), 2, IF( AND( OFFSET($A$1, 30 - 1, 58 - 1) = "0", OFFSET($A$1, 30 - 1, 59 - 1) = "1" ), 3, 4 ) ) )</f>
        <v>4</v>
      </c>
    </row>
    <row r="31" spans="3:60" x14ac:dyDescent="0.25">
      <c r="C31" s="9" t="s">
        <v>286</v>
      </c>
      <c r="D31" s="10"/>
      <c r="E31" s="10"/>
      <c r="F31" s="11"/>
      <c r="G31" s="15" t="s">
        <v>276</v>
      </c>
      <c r="H31" s="16"/>
      <c r="I31" s="16"/>
      <c r="J31" s="17"/>
      <c r="AZ31" s="3">
        <v>1.506770177865201E-3</v>
      </c>
      <c r="BA31" s="3" t="str">
        <f>"0"</f>
        <v>0</v>
      </c>
      <c r="BB31" t="str">
        <f ca="1">IF((OFFSET($A$1, 31 - 1, 52 - 1)) &gt;= (OFFSET($A$1, 73 - 1, 7 - 1)), "1","0")</f>
        <v>0</v>
      </c>
      <c r="BC31">
        <f ca="1" xml:space="preserve"> IF( AND( OFFSET($A$1, 31 - 1, 53 - 1) = "1", OFFSET($A$1, 31 - 1, 54 - 1) = "1" ), 1, IF( AND( OFFSET($A$1, 31 - 1, 53 - 1) = "1", OFFSET($A$1, 31 - 1, 54 - 1) = "0" ), 2, IF( AND( OFFSET($A$1, 31 - 1, 53 - 1) = "0", OFFSET($A$1, 31 - 1, 54 - 1) = "1" ), 3, 4 ) ) )</f>
        <v>4</v>
      </c>
      <c r="BE31" s="3">
        <v>0.41979037458463492</v>
      </c>
      <c r="BF31" s="3" t="str">
        <f>"1"</f>
        <v>1</v>
      </c>
      <c r="BG31" t="str">
        <f ca="1">IF((OFFSET($A$1, 31 - 1, 57 - 1)) &gt;= (OFFSET($A$1, 97 - 1, 7 - 1)), "1","0")</f>
        <v>0</v>
      </c>
      <c r="BH31">
        <f ca="1" xml:space="preserve"> IF( AND( OFFSET($A$1, 31 - 1, 58 - 1) = "1", OFFSET($A$1, 31 - 1, 59 - 1) = "1" ), 1, IF( AND( OFFSET($A$1, 31 - 1, 58 - 1) = "1", OFFSET($A$1, 31 - 1, 59 - 1) = "0" ), 2, IF( AND( OFFSET($A$1, 31 - 1, 58 - 1) = "0", OFFSET($A$1, 31 - 1, 59 - 1) = "1" ), 3, 4 ) ) )</f>
        <v>2</v>
      </c>
    </row>
    <row r="32" spans="3:60" x14ac:dyDescent="0.25">
      <c r="AZ32" s="3">
        <v>8.3003667265397815E-3</v>
      </c>
      <c r="BA32" s="3" t="str">
        <f>"0"</f>
        <v>0</v>
      </c>
      <c r="BB32" t="str">
        <f ca="1">IF((OFFSET($A$1, 32 - 1, 52 - 1)) &gt;= (OFFSET($A$1, 73 - 1, 7 - 1)), "1","0")</f>
        <v>0</v>
      </c>
      <c r="BC32">
        <f ca="1" xml:space="preserve"> IF( AND( OFFSET($A$1, 32 - 1, 53 - 1) = "1", OFFSET($A$1, 32 - 1, 54 - 1) = "1" ), 1, IF( AND( OFFSET($A$1, 32 - 1, 53 - 1) = "1", OFFSET($A$1, 32 - 1, 54 - 1) = "0" ), 2, IF( AND( OFFSET($A$1, 32 - 1, 53 - 1) = "0", OFFSET($A$1, 32 - 1, 54 - 1) = "1" ), 3, 4 ) ) )</f>
        <v>4</v>
      </c>
      <c r="BE32" s="3">
        <v>1.3112325448542921E-2</v>
      </c>
      <c r="BF32" s="3" t="str">
        <f>"0"</f>
        <v>0</v>
      </c>
      <c r="BG32" t="str">
        <f ca="1">IF((OFFSET($A$1, 32 - 1, 57 - 1)) &gt;= (OFFSET($A$1, 97 - 1, 7 - 1)), "1","0")</f>
        <v>0</v>
      </c>
      <c r="BH32">
        <f ca="1" xml:space="preserve"> IF( AND( OFFSET($A$1, 32 - 1, 58 - 1) = "1", OFFSET($A$1, 32 - 1, 59 - 1) = "1" ), 1, IF( AND( OFFSET($A$1, 32 - 1, 58 - 1) = "1", OFFSET($A$1, 32 - 1, 59 - 1) = "0" ), 2, IF( AND( OFFSET($A$1, 32 - 1, 58 - 1) = "0", OFFSET($A$1, 32 - 1, 59 - 1) = "1" ), 3, 4 ) ) )</f>
        <v>4</v>
      </c>
    </row>
    <row r="33" spans="2:60" ht="15.75" x14ac:dyDescent="0.25">
      <c r="C33" s="6" t="s">
        <v>287</v>
      </c>
      <c r="D33" s="7"/>
      <c r="E33" s="7"/>
      <c r="F33" s="7"/>
      <c r="G33" s="8"/>
      <c r="AZ33" s="3">
        <v>1.4599400719354203E-2</v>
      </c>
      <c r="BA33" s="3" t="str">
        <f>"0"</f>
        <v>0</v>
      </c>
      <c r="BB33" t="str">
        <f ca="1">IF((OFFSET($A$1, 33 - 1, 52 - 1)) &gt;= (OFFSET($A$1, 73 - 1, 7 - 1)), "1","0")</f>
        <v>0</v>
      </c>
      <c r="BC33">
        <f ca="1" xml:space="preserve"> IF( AND( OFFSET($A$1, 33 - 1, 53 - 1) = "1", OFFSET($A$1, 33 - 1, 54 - 1) = "1" ), 1, IF( AND( OFFSET($A$1, 33 - 1, 53 - 1) = "1", OFFSET($A$1, 33 - 1, 54 - 1) = "0" ), 2, IF( AND( OFFSET($A$1, 33 - 1, 53 - 1) = "0", OFFSET($A$1, 33 - 1, 54 - 1) = "1" ), 3, 4 ) ) )</f>
        <v>4</v>
      </c>
      <c r="BE33" s="3">
        <v>0.10473108520416485</v>
      </c>
      <c r="BF33" s="3" t="str">
        <f>"0"</f>
        <v>0</v>
      </c>
      <c r="BG33" t="str">
        <f ca="1">IF((OFFSET($A$1, 33 - 1, 57 - 1)) &gt;= (OFFSET($A$1, 97 - 1, 7 - 1)), "1","0")</f>
        <v>0</v>
      </c>
      <c r="BH33">
        <f ca="1" xml:space="preserve"> IF( AND( OFFSET($A$1, 33 - 1, 58 - 1) = "1", OFFSET($A$1, 33 - 1, 59 - 1) = "1" ), 1, IF( AND( OFFSET($A$1, 33 - 1, 58 - 1) = "1", OFFSET($A$1, 33 - 1, 59 - 1) = "0" ), 2, IF( AND( OFFSET($A$1, 33 - 1, 58 - 1) = "0", OFFSET($A$1, 33 - 1, 59 - 1) = "1" ), 3, 4 ) ) )</f>
        <v>4</v>
      </c>
    </row>
    <row r="34" spans="2:60" x14ac:dyDescent="0.25">
      <c r="C34" s="12" t="s">
        <v>288</v>
      </c>
      <c r="D34" s="13"/>
      <c r="E34" s="13"/>
      <c r="F34" s="13"/>
      <c r="G34" s="14"/>
      <c r="AZ34" s="3">
        <v>1.3112325448542921E-2</v>
      </c>
      <c r="BA34" s="3" t="str">
        <f>"0"</f>
        <v>0</v>
      </c>
      <c r="BB34" t="str">
        <f ca="1">IF((OFFSET($A$1, 34 - 1, 52 - 1)) &gt;= (OFFSET($A$1, 73 - 1, 7 - 1)), "1","0")</f>
        <v>0</v>
      </c>
      <c r="BC34">
        <f ca="1" xml:space="preserve"> IF( AND( OFFSET($A$1, 34 - 1, 53 - 1) = "1", OFFSET($A$1, 34 - 1, 54 - 1) = "1" ), 1, IF( AND( OFFSET($A$1, 34 - 1, 53 - 1) = "1", OFFSET($A$1, 34 - 1, 54 - 1) = "0" ), 2, IF( AND( OFFSET($A$1, 34 - 1, 53 - 1) = "0", OFFSET($A$1, 34 - 1, 54 - 1) = "1" ), 3, 4 ) ) )</f>
        <v>4</v>
      </c>
      <c r="BE34" s="3">
        <v>2.5555500696915728E-2</v>
      </c>
      <c r="BF34" s="3" t="str">
        <f>"0"</f>
        <v>0</v>
      </c>
      <c r="BG34" t="str">
        <f ca="1">IF((OFFSET($A$1, 34 - 1, 57 - 1)) &gt;= (OFFSET($A$1, 97 - 1, 7 - 1)), "1","0")</f>
        <v>0</v>
      </c>
      <c r="BH34">
        <f ca="1" xml:space="preserve"> IF( AND( OFFSET($A$1, 34 - 1, 58 - 1) = "1", OFFSET($A$1, 34 - 1, 59 - 1) = "1" ), 1, IF( AND( OFFSET($A$1, 34 - 1, 58 - 1) = "1", OFFSET($A$1, 34 - 1, 59 - 1) = "0" ), 2, IF( AND( OFFSET($A$1, 34 - 1, 58 - 1) = "0", OFFSET($A$1, 34 - 1, 59 - 1) = "1" ), 3, 4 ) ) )</f>
        <v>4</v>
      </c>
    </row>
    <row r="35" spans="2:60" x14ac:dyDescent="0.25">
      <c r="C35" s="12" t="s">
        <v>366</v>
      </c>
      <c r="D35" s="13"/>
      <c r="E35" s="13"/>
      <c r="F35" s="13"/>
      <c r="G35" s="14"/>
      <c r="AZ35" s="3">
        <v>0.85103040467978375</v>
      </c>
      <c r="BA35" s="3" t="str">
        <f>"1"</f>
        <v>1</v>
      </c>
      <c r="BB35" t="str">
        <f ca="1">IF((OFFSET($A$1, 35 - 1, 52 - 1)) &gt;= (OFFSET($A$1, 73 - 1, 7 - 1)), "1","0")</f>
        <v>1</v>
      </c>
      <c r="BC35">
        <f ca="1" xml:space="preserve"> IF( AND( OFFSET($A$1, 35 - 1, 53 - 1) = "1", OFFSET($A$1, 35 - 1, 54 - 1) = "1" ), 1, IF( AND( OFFSET($A$1, 35 - 1, 53 - 1) = "1", OFFSET($A$1, 35 - 1, 54 - 1) = "0" ), 2, IF( AND( OFFSET($A$1, 35 - 1, 53 - 1) = "0", OFFSET($A$1, 35 - 1, 54 - 1) = "1" ), 3, 4 ) ) )</f>
        <v>1</v>
      </c>
      <c r="BE35" s="3">
        <v>2.0655809194170219E-2</v>
      </c>
      <c r="BF35" s="3" t="str">
        <f>"0"</f>
        <v>0</v>
      </c>
      <c r="BG35" t="str">
        <f ca="1">IF((OFFSET($A$1, 35 - 1, 57 - 1)) &gt;= (OFFSET($A$1, 97 - 1, 7 - 1)), "1","0")</f>
        <v>0</v>
      </c>
      <c r="BH35">
        <f ca="1" xml:space="preserve"> IF( AND( OFFSET($A$1, 35 - 1, 58 - 1) = "1", OFFSET($A$1, 35 - 1, 59 - 1) = "1" ), 1, IF( AND( OFFSET($A$1, 35 - 1, 58 - 1) = "1", OFFSET($A$1, 35 - 1, 59 - 1) = "0" ), 2, IF( AND( OFFSET($A$1, 35 - 1, 58 - 1) = "0", OFFSET($A$1, 35 - 1, 59 - 1) = "1" ), 3, 4 ) ) )</f>
        <v>4</v>
      </c>
    </row>
    <row r="36" spans="2:60" x14ac:dyDescent="0.25">
      <c r="C36" s="12" t="s">
        <v>289</v>
      </c>
      <c r="D36" s="13"/>
      <c r="E36" s="13"/>
      <c r="F36" s="13"/>
      <c r="G36" s="14"/>
      <c r="AZ36" s="3">
        <v>3.9967597583531363E-2</v>
      </c>
      <c r="BA36" s="3" t="str">
        <f>"1"</f>
        <v>1</v>
      </c>
      <c r="BB36" t="str">
        <f ca="1">IF((OFFSET($A$1, 36 - 1, 52 - 1)) &gt;= (OFFSET($A$1, 73 - 1, 7 - 1)), "1","0")</f>
        <v>0</v>
      </c>
      <c r="BC36">
        <f ca="1" xml:space="preserve"> IF( AND( OFFSET($A$1, 36 - 1, 53 - 1) = "1", OFFSET($A$1, 36 - 1, 54 - 1) = "1" ), 1, IF( AND( OFFSET($A$1, 36 - 1, 53 - 1) = "1", OFFSET($A$1, 36 - 1, 54 - 1) = "0" ), 2, IF( AND( OFFSET($A$1, 36 - 1, 53 - 1) = "0", OFFSET($A$1, 36 - 1, 54 - 1) = "1" ), 3, 4 ) ) )</f>
        <v>2</v>
      </c>
      <c r="BE36" s="3">
        <v>8.3003667265397815E-3</v>
      </c>
      <c r="BF36" s="3" t="str">
        <f>"0"</f>
        <v>0</v>
      </c>
      <c r="BG36" t="str">
        <f ca="1">IF((OFFSET($A$1, 36 - 1, 57 - 1)) &gt;= (OFFSET($A$1, 97 - 1, 7 - 1)), "1","0")</f>
        <v>0</v>
      </c>
      <c r="BH36">
        <f ca="1" xml:space="preserve"> IF( AND( OFFSET($A$1, 36 - 1, 58 - 1) = "1", OFFSET($A$1, 36 - 1, 59 - 1) = "1" ), 1, IF( AND( OFFSET($A$1, 36 - 1, 58 - 1) = "1", OFFSET($A$1, 36 - 1, 59 - 1) = "0" ), 2, IF( AND( OFFSET($A$1, 36 - 1, 58 - 1) = "0", OFFSET($A$1, 36 - 1, 59 - 1) = "1" ), 3, 4 ) ) )</f>
        <v>4</v>
      </c>
    </row>
    <row r="37" spans="2:60" x14ac:dyDescent="0.25">
      <c r="C37" s="12" t="s">
        <v>290</v>
      </c>
      <c r="D37" s="13"/>
      <c r="E37" s="13"/>
      <c r="F37" s="13"/>
      <c r="G37" s="14"/>
      <c r="AZ37" s="3">
        <v>3.9967597583531363E-2</v>
      </c>
      <c r="BA37" s="3" t="str">
        <f>"0"</f>
        <v>0</v>
      </c>
      <c r="BB37" t="str">
        <f ca="1">IF((OFFSET($A$1, 37 - 1, 52 - 1)) &gt;= (OFFSET($A$1, 73 - 1, 7 - 1)), "1","0")</f>
        <v>0</v>
      </c>
      <c r="BC37">
        <f ca="1" xml:space="preserve"> IF( AND( OFFSET($A$1, 37 - 1, 53 - 1) = "1", OFFSET($A$1, 37 - 1, 54 - 1) = "1" ), 1, IF( AND( OFFSET($A$1, 37 - 1, 53 - 1) = "1", OFFSET($A$1, 37 - 1, 54 - 1) = "0" ), 2, IF( AND( OFFSET($A$1, 37 - 1, 53 - 1) = "0", OFFSET($A$1, 37 - 1, 54 - 1) = "1" ), 3, 4 ) ) )</f>
        <v>4</v>
      </c>
      <c r="BE37" s="3">
        <v>0.62049840743522267</v>
      </c>
      <c r="BF37" s="3" t="str">
        <f>"0"</f>
        <v>0</v>
      </c>
      <c r="BG37" t="str">
        <f ca="1">IF((OFFSET($A$1, 37 - 1, 57 - 1)) &gt;= (OFFSET($A$1, 97 - 1, 7 - 1)), "1","0")</f>
        <v>1</v>
      </c>
      <c r="BH37">
        <f ca="1" xml:space="preserve"> IF( AND( OFFSET($A$1, 37 - 1, 58 - 1) = "1", OFFSET($A$1, 37 - 1, 59 - 1) = "1" ), 1, IF( AND( OFFSET($A$1, 37 - 1, 58 - 1) = "1", OFFSET($A$1, 37 - 1, 59 - 1) = "0" ), 2, IF( AND( OFFSET($A$1, 37 - 1, 58 - 1) = "0", OFFSET($A$1, 37 - 1, 59 - 1) = "1" ), 3, 4 ) ) )</f>
        <v>3</v>
      </c>
    </row>
    <row r="38" spans="2:60" x14ac:dyDescent="0.25">
      <c r="C38" s="12" t="s">
        <v>367</v>
      </c>
      <c r="D38" s="13"/>
      <c r="E38" s="13"/>
      <c r="F38" s="13"/>
      <c r="G38" s="14"/>
      <c r="AZ38" s="3">
        <v>6.8635221814071085E-2</v>
      </c>
      <c r="BA38" s="3" t="str">
        <f>"0"</f>
        <v>0</v>
      </c>
      <c r="BB38" t="str">
        <f ca="1">IF((OFFSET($A$1, 38 - 1, 52 - 1)) &gt;= (OFFSET($A$1, 73 - 1, 7 - 1)), "1","0")</f>
        <v>0</v>
      </c>
      <c r="BC38">
        <f ca="1" xml:space="preserve"> IF( AND( OFFSET($A$1, 38 - 1, 53 - 1) = "1", OFFSET($A$1, 38 - 1, 54 - 1) = "1" ), 1, IF( AND( OFFSET($A$1, 38 - 1, 53 - 1) = "1", OFFSET($A$1, 38 - 1, 54 - 1) = "0" ), 2, IF( AND( OFFSET($A$1, 38 - 1, 53 - 1) = "0", OFFSET($A$1, 38 - 1, 54 - 1) = "1" ), 3, 4 ) ) )</f>
        <v>4</v>
      </c>
      <c r="BE38" s="3">
        <v>1.3112325448542921E-2</v>
      </c>
      <c r="BF38" s="3" t="str">
        <f>"0"</f>
        <v>0</v>
      </c>
      <c r="BG38" t="str">
        <f ca="1">IF((OFFSET($A$1, 38 - 1, 57 - 1)) &gt;= (OFFSET($A$1, 97 - 1, 7 - 1)), "1","0")</f>
        <v>0</v>
      </c>
      <c r="BH38">
        <f ca="1" xml:space="preserve"> IF( AND( OFFSET($A$1, 38 - 1, 58 - 1) = "1", OFFSET($A$1, 38 - 1, 59 - 1) = "1" ), 1, IF( AND( OFFSET($A$1, 38 - 1, 58 - 1) = "1", OFFSET($A$1, 38 - 1, 59 - 1) = "0" ), 2, IF( AND( OFFSET($A$1, 38 - 1, 58 - 1) = "0", OFFSET($A$1, 38 - 1, 59 - 1) = "1" ), 3, 4 ) ) )</f>
        <v>4</v>
      </c>
    </row>
    <row r="39" spans="2:60" x14ac:dyDescent="0.25">
      <c r="C39" s="12" t="s">
        <v>291</v>
      </c>
      <c r="D39" s="13"/>
      <c r="E39" s="13"/>
      <c r="F39" s="13"/>
      <c r="G39" s="14"/>
      <c r="AZ39" s="3">
        <v>0.18759104097085189</v>
      </c>
      <c r="BA39" s="3" t="str">
        <f>"0"</f>
        <v>0</v>
      </c>
      <c r="BB39" t="str">
        <f ca="1">IF((OFFSET($A$1, 39 - 1, 52 - 1)) &gt;= (OFFSET($A$1, 73 - 1, 7 - 1)), "1","0")</f>
        <v>0</v>
      </c>
      <c r="BC39">
        <f ca="1" xml:space="preserve"> IF( AND( OFFSET($A$1, 39 - 1, 53 - 1) = "1", OFFSET($A$1, 39 - 1, 54 - 1) = "1" ), 1, IF( AND( OFFSET($A$1, 39 - 1, 53 - 1) = "1", OFFSET($A$1, 39 - 1, 54 - 1) = "0" ), 2, IF( AND( OFFSET($A$1, 39 - 1, 53 - 1) = "0", OFFSET($A$1, 39 - 1, 54 - 1) = "1" ), 3, 4 ) ) )</f>
        <v>4</v>
      </c>
      <c r="BE39" s="3">
        <v>7.5934671623267821E-2</v>
      </c>
      <c r="BF39" s="3" t="str">
        <f>"0"</f>
        <v>0</v>
      </c>
      <c r="BG39" t="str">
        <f ca="1">IF((OFFSET($A$1, 39 - 1, 57 - 1)) &gt;= (OFFSET($A$1, 97 - 1, 7 - 1)), "1","0")</f>
        <v>0</v>
      </c>
      <c r="BH39">
        <f ca="1" xml:space="preserve"> IF( AND( OFFSET($A$1, 39 - 1, 58 - 1) = "1", OFFSET($A$1, 39 - 1, 59 - 1) = "1" ), 1, IF( AND( OFFSET($A$1, 39 - 1, 58 - 1) = "1", OFFSET($A$1, 39 - 1, 59 - 1) = "0" ), 2, IF( AND( OFFSET($A$1, 39 - 1, 58 - 1) = "0", OFFSET($A$1, 39 - 1, 59 - 1) = "1" ), 3, 4 ) ) )</f>
        <v>4</v>
      </c>
    </row>
    <row r="40" spans="2:60" x14ac:dyDescent="0.25">
      <c r="C40" s="12" t="s">
        <v>376</v>
      </c>
      <c r="D40" s="13"/>
      <c r="E40" s="13"/>
      <c r="F40" s="13"/>
      <c r="G40" s="14"/>
      <c r="AZ40" s="3">
        <v>0.15661788414101474</v>
      </c>
      <c r="BA40" s="3" t="str">
        <f>"0"</f>
        <v>0</v>
      </c>
      <c r="BB40" t="str">
        <f ca="1">IF((OFFSET($A$1, 40 - 1, 52 - 1)) &gt;= (OFFSET($A$1, 73 - 1, 7 - 1)), "1","0")</f>
        <v>0</v>
      </c>
      <c r="BC40">
        <f ca="1" xml:space="preserve"> IF( AND( OFFSET($A$1, 40 - 1, 53 - 1) = "1", OFFSET($A$1, 40 - 1, 54 - 1) = "1" ), 1, IF( AND( OFFSET($A$1, 40 - 1, 53 - 1) = "1", OFFSET($A$1, 40 - 1, 54 - 1) = "0" ), 2, IF( AND( OFFSET($A$1, 40 - 1, 53 - 1) = "0", OFFSET($A$1, 40 - 1, 54 - 1) = "1" ), 3, 4 ) ) )</f>
        <v>4</v>
      </c>
      <c r="BE40" s="3">
        <v>2.6640871521689067E-3</v>
      </c>
      <c r="BF40" s="3" t="str">
        <f>"0"</f>
        <v>0</v>
      </c>
      <c r="BG40" t="str">
        <f ca="1">IF((OFFSET($A$1, 40 - 1, 57 - 1)) &gt;= (OFFSET($A$1, 97 - 1, 7 - 1)), "1","0")</f>
        <v>0</v>
      </c>
      <c r="BH40">
        <f ca="1" xml:space="preserve"> IF( AND( OFFSET($A$1, 40 - 1, 58 - 1) = "1", OFFSET($A$1, 40 - 1, 59 - 1) = "1" ), 1, IF( AND( OFFSET($A$1, 40 - 1, 58 - 1) = "1", OFFSET($A$1, 40 - 1, 59 - 1) = "0" ), 2, IF( AND( OFFSET($A$1, 40 - 1, 58 - 1) = "0", OFFSET($A$1, 40 - 1, 59 - 1) = "1" ), 3, 4 ) ) )</f>
        <v>4</v>
      </c>
    </row>
    <row r="41" spans="2:60" x14ac:dyDescent="0.25">
      <c r="AZ41" s="3">
        <v>2.6640871521689067E-3</v>
      </c>
      <c r="BA41" s="3" t="str">
        <f>"0"</f>
        <v>0</v>
      </c>
      <c r="BB41" t="str">
        <f ca="1">IF((OFFSET($A$1, 41 - 1, 52 - 1)) &gt;= (OFFSET($A$1, 73 - 1, 7 - 1)), "1","0")</f>
        <v>0</v>
      </c>
      <c r="BC41">
        <f ca="1" xml:space="preserve"> IF( AND( OFFSET($A$1, 41 - 1, 53 - 1) = "1", OFFSET($A$1, 41 - 1, 54 - 1) = "1" ), 1, IF( AND( OFFSET($A$1, 41 - 1, 53 - 1) = "1", OFFSET($A$1, 41 - 1, 54 - 1) = "0" ), 2, IF( AND( OFFSET($A$1, 41 - 1, 53 - 1) = "0", OFFSET($A$1, 41 - 1, 54 - 1) = "1" ), 3, 4 ) ) )</f>
        <v>4</v>
      </c>
      <c r="BE41" s="3">
        <v>0.64579357254318581</v>
      </c>
      <c r="BF41" s="3" t="str">
        <f>"1"</f>
        <v>1</v>
      </c>
      <c r="BG41" t="str">
        <f ca="1">IF((OFFSET($A$1, 41 - 1, 57 - 1)) &gt;= (OFFSET($A$1, 97 - 1, 7 - 1)), "1","0")</f>
        <v>1</v>
      </c>
      <c r="BH41">
        <f ca="1" xml:space="preserve"> IF( AND( OFFSET($A$1, 41 - 1, 58 - 1) = "1", OFFSET($A$1, 41 - 1, 59 - 1) = "1" ), 1, IF( AND( OFFSET($A$1, 41 - 1, 58 - 1) = "1", OFFSET($A$1, 41 - 1, 59 - 1) = "0" ), 2, IF( AND( OFFSET($A$1, 41 - 1, 58 - 1) = "0", OFFSET($A$1, 41 - 1, 59 - 1) = "1" ), 3, 4 ) ) )</f>
        <v>1</v>
      </c>
    </row>
    <row r="42" spans="2:60" x14ac:dyDescent="0.25">
      <c r="AZ42" s="3">
        <v>8.3003667265397815E-3</v>
      </c>
      <c r="BA42" s="3" t="str">
        <f>"0"</f>
        <v>0</v>
      </c>
      <c r="BB42" t="str">
        <f ca="1">IF((OFFSET($A$1, 42 - 1, 52 - 1)) &gt;= (OFFSET($A$1, 73 - 1, 7 - 1)), "1","0")</f>
        <v>0</v>
      </c>
      <c r="BC42">
        <f ca="1" xml:space="preserve"> IF( AND( OFFSET($A$1, 42 - 1, 53 - 1) = "1", OFFSET($A$1, 42 - 1, 54 - 1) = "1" ), 1, IF( AND( OFFSET($A$1, 42 - 1, 53 - 1) = "1", OFFSET($A$1, 42 - 1, 54 - 1) = "0" ), 2, IF( AND( OFFSET($A$1, 42 - 1, 53 - 1) = "0", OFFSET($A$1, 42 - 1, 54 - 1) = "1" ), 3, 4 ) ) )</f>
        <v>4</v>
      </c>
      <c r="BE42" s="3">
        <v>3.5990929333768816E-2</v>
      </c>
      <c r="BF42" s="3" t="str">
        <f>"0"</f>
        <v>0</v>
      </c>
      <c r="BG42" t="str">
        <f ca="1">IF((OFFSET($A$1, 42 - 1, 57 - 1)) &gt;= (OFFSET($A$1, 97 - 1, 7 - 1)), "1","0")</f>
        <v>0</v>
      </c>
      <c r="BH42">
        <f ca="1" xml:space="preserve"> IF( AND( OFFSET($A$1, 42 - 1, 58 - 1) = "1", OFFSET($A$1, 42 - 1, 59 - 1) = "1" ), 1, IF( AND( OFFSET($A$1, 42 - 1, 58 - 1) = "1", OFFSET($A$1, 42 - 1, 59 - 1) = "0" ), 2, IF( AND( OFFSET($A$1, 42 - 1, 58 - 1) = "0", OFFSET($A$1, 42 - 1, 59 - 1) = "1" ), 3, 4 ) ) )</f>
        <v>4</v>
      </c>
    </row>
    <row r="43" spans="2:60" ht="18.75" x14ac:dyDescent="0.3">
      <c r="B43" s="21" t="s">
        <v>292</v>
      </c>
      <c r="AZ43" s="3">
        <v>5.5950208335353399E-2</v>
      </c>
      <c r="BA43" s="3" t="str">
        <f>"0"</f>
        <v>0</v>
      </c>
      <c r="BB43" t="str">
        <f ca="1">IF((OFFSET($A$1, 43 - 1, 52 - 1)) &gt;= (OFFSET($A$1, 73 - 1, 7 - 1)), "1","0")</f>
        <v>0</v>
      </c>
      <c r="BC43">
        <f ca="1" xml:space="preserve"> IF( AND( OFFSET($A$1, 43 - 1, 53 - 1) = "1", OFFSET($A$1, 43 - 1, 54 - 1) = "1" ), 1, IF( AND( OFFSET($A$1, 43 - 1, 53 - 1) = "1", OFFSET($A$1, 43 - 1, 54 - 1) = "0" ), 2, IF( AND( OFFSET($A$1, 43 - 1, 53 - 1) = "0", OFFSET($A$1, 43 - 1, 54 - 1) = "1" ), 3, 4 ) ) )</f>
        <v>4</v>
      </c>
      <c r="BE43" s="3">
        <v>8.5177861473353185E-4</v>
      </c>
      <c r="BF43" s="3" t="str">
        <f>"0"</f>
        <v>0</v>
      </c>
      <c r="BG43" t="str">
        <f ca="1">IF((OFFSET($A$1, 43 - 1, 57 - 1)) &gt;= (OFFSET($A$1, 97 - 1, 7 - 1)), "1","0")</f>
        <v>0</v>
      </c>
      <c r="BH43">
        <f ca="1" xml:space="preserve"> IF( AND( OFFSET($A$1, 43 - 1, 58 - 1) = "1", OFFSET($A$1, 43 - 1, 59 - 1) = "1" ), 1, IF( AND( OFFSET($A$1, 43 - 1, 58 - 1) = "1", OFFSET($A$1, 43 - 1, 59 - 1) = "0" ), 2, IF( AND( OFFSET($A$1, 43 - 1, 58 - 1) = "0", OFFSET($A$1, 43 - 1, 59 - 1) = "1" ), 3, 4 ) ) )</f>
        <v>4</v>
      </c>
    </row>
    <row r="44" spans="2:60" x14ac:dyDescent="0.25">
      <c r="AZ44" s="3">
        <v>0.11539375631539449</v>
      </c>
      <c r="BA44" s="3" t="str">
        <f>"0"</f>
        <v>0</v>
      </c>
      <c r="BB44" t="str">
        <f ca="1">IF((OFFSET($A$1, 44 - 1, 52 - 1)) &gt;= (OFFSET($A$1, 73 - 1, 7 - 1)), "1","0")</f>
        <v>0</v>
      </c>
      <c r="BC44">
        <f ca="1" xml:space="preserve"> IF( AND( OFFSET($A$1, 44 - 1, 53 - 1) = "1", OFFSET($A$1, 44 - 1, 54 - 1) = "1" ), 1, IF( AND( OFFSET($A$1, 44 - 1, 53 - 1) = "1", OFFSET($A$1, 44 - 1, 54 - 1) = "0" ), 2, IF( AND( OFFSET($A$1, 44 - 1, 53 - 1) = "0", OFFSET($A$1, 44 - 1, 54 - 1) = "1" ), 3, 4 ) ) )</f>
        <v>4</v>
      </c>
      <c r="BE44" s="3">
        <v>7.4500517088275046E-3</v>
      </c>
      <c r="BF44" s="3" t="str">
        <f>"0"</f>
        <v>0</v>
      </c>
      <c r="BG44" t="str">
        <f ca="1">IF((OFFSET($A$1, 44 - 1, 57 - 1)) &gt;= (OFFSET($A$1, 97 - 1, 7 - 1)), "1","0")</f>
        <v>0</v>
      </c>
      <c r="BH44">
        <f ca="1" xml:space="preserve"> IF( AND( OFFSET($A$1, 44 - 1, 58 - 1) = "1", OFFSET($A$1, 44 - 1, 59 - 1) = "1" ), 1, IF( AND( OFFSET($A$1, 44 - 1, 58 - 1) = "1", OFFSET($A$1, 44 - 1, 59 - 1) = "0" ), 2, IF( AND( OFFSET($A$1, 44 - 1, 58 - 1) = "0", OFFSET($A$1, 44 - 1, 59 - 1) = "1" ), 3, 4 ) ) )</f>
        <v>4</v>
      </c>
    </row>
    <row r="45" spans="2:60" x14ac:dyDescent="0.25">
      <c r="C45" s="12" t="s">
        <v>293</v>
      </c>
      <c r="D45" s="13"/>
      <c r="E45" s="13"/>
      <c r="F45" s="13"/>
      <c r="G45" s="14"/>
      <c r="AZ45" s="3">
        <v>0.2682297773834319</v>
      </c>
      <c r="BA45" s="3" t="str">
        <f>"1"</f>
        <v>1</v>
      </c>
      <c r="BB45" t="str">
        <f ca="1">IF((OFFSET($A$1, 45 - 1, 52 - 1)) &gt;= (OFFSET($A$1, 73 - 1, 7 - 1)), "1","0")</f>
        <v>0</v>
      </c>
      <c r="BC45">
        <f ca="1" xml:space="preserve"> IF( AND( OFFSET($A$1, 45 - 1, 53 - 1) = "1", OFFSET($A$1, 45 - 1, 54 - 1) = "1" ), 1, IF( AND( OFFSET($A$1, 45 - 1, 53 - 1) = "1", OFFSET($A$1, 45 - 1, 54 - 1) = "0" ), 2, IF( AND( OFFSET($A$1, 45 - 1, 53 - 1) = "0", OFFSET($A$1, 45 - 1, 54 - 1) = "1" ), 3, 4 ) ) )</f>
        <v>2</v>
      </c>
      <c r="BE45" s="3">
        <v>7.4500517088275046E-3</v>
      </c>
      <c r="BF45" s="3" t="str">
        <f>"0"</f>
        <v>0</v>
      </c>
      <c r="BG45" t="str">
        <f ca="1">IF((OFFSET($A$1, 45 - 1, 57 - 1)) &gt;= (OFFSET($A$1, 97 - 1, 7 - 1)), "1","0")</f>
        <v>0</v>
      </c>
      <c r="BH45">
        <f ca="1" xml:space="preserve"> IF( AND( OFFSET($A$1, 45 - 1, 58 - 1) = "1", OFFSET($A$1, 45 - 1, 59 - 1) = "1" ), 1, IF( AND( OFFSET($A$1, 45 - 1, 58 - 1) = "1", OFFSET($A$1, 45 - 1, 59 - 1) = "0" ), 2, IF( AND( OFFSET($A$1, 45 - 1, 58 - 1) = "0", OFFSET($A$1, 45 - 1, 59 - 1) = "1" ), 3, 4 ) ) )</f>
        <v>4</v>
      </c>
    </row>
    <row r="46" spans="2:60" x14ac:dyDescent="0.25">
      <c r="AZ46" s="3">
        <v>1.4599400719354203E-2</v>
      </c>
      <c r="BA46" s="3" t="str">
        <f>"0"</f>
        <v>0</v>
      </c>
      <c r="BB46" t="str">
        <f ca="1">IF((OFFSET($A$1, 46 - 1, 52 - 1)) &gt;= (OFFSET($A$1, 73 - 1, 7 - 1)), "1","0")</f>
        <v>0</v>
      </c>
      <c r="BC46">
        <f ca="1" xml:space="preserve"> IF( AND( OFFSET($A$1, 46 - 1, 53 - 1) = "1", OFFSET($A$1, 46 - 1, 54 - 1) = "1" ), 1, IF( AND( OFFSET($A$1, 46 - 1, 53 - 1) = "1", OFFSET($A$1, 46 - 1, 54 - 1) = "0" ), 2, IF( AND( OFFSET($A$1, 46 - 1, 53 - 1) = "0", OFFSET($A$1, 46 - 1, 54 - 1) = "1" ), 3, 4 ) ) )</f>
        <v>4</v>
      </c>
      <c r="BE46" s="3">
        <v>8.3003667265397815E-3</v>
      </c>
      <c r="BF46" s="3" t="str">
        <f>"0"</f>
        <v>0</v>
      </c>
      <c r="BG46" t="str">
        <f ca="1">IF((OFFSET($A$1, 46 - 1, 57 - 1)) &gt;= (OFFSET($A$1, 97 - 1, 7 - 1)), "1","0")</f>
        <v>0</v>
      </c>
      <c r="BH46">
        <f ca="1" xml:space="preserve"> IF( AND( OFFSET($A$1, 46 - 1, 58 - 1) = "1", OFFSET($A$1, 46 - 1, 59 - 1) = "1" ), 1, IF( AND( OFFSET($A$1, 46 - 1, 58 - 1) = "1", OFFSET($A$1, 46 - 1, 59 - 1) = "0" ), 2, IF( AND( OFFSET($A$1, 46 - 1, 58 - 1) = "0", OFFSET($A$1, 46 - 1, 59 - 1) = "1" ), 3, 4 ) ) )</f>
        <v>4</v>
      </c>
    </row>
    <row r="47" spans="2:60" x14ac:dyDescent="0.25">
      <c r="C47" s="5" t="s">
        <v>294</v>
      </c>
      <c r="D47" s="5" t="s">
        <v>295</v>
      </c>
      <c r="AZ47" s="3">
        <v>2.5555500696915728E-2</v>
      </c>
      <c r="BA47" s="3" t="str">
        <f>"0"</f>
        <v>0</v>
      </c>
      <c r="BB47" t="str">
        <f ca="1">IF((OFFSET($A$1, 47 - 1, 52 - 1)) &gt;= (OFFSET($A$1, 73 - 1, 7 - 1)), "1","0")</f>
        <v>0</v>
      </c>
      <c r="BC47">
        <f ca="1" xml:space="preserve"> IF( AND( OFFSET($A$1, 47 - 1, 53 - 1) = "1", OFFSET($A$1, 47 - 1, 54 - 1) = "1" ), 1, IF( AND( OFFSET($A$1, 47 - 1, 53 - 1) = "1", OFFSET($A$1, 47 - 1, 54 - 1) = "0" ), 2, IF( AND( OFFSET($A$1, 47 - 1, 53 - 1) = "0", OFFSET($A$1, 47 - 1, 54 - 1) = "1" ), 3, 4 ) ) )</f>
        <v>4</v>
      </c>
      <c r="BE47" s="3">
        <v>1.506770177865201E-3</v>
      </c>
      <c r="BF47" s="3" t="str">
        <f>"0"</f>
        <v>0</v>
      </c>
      <c r="BG47" t="str">
        <f ca="1">IF((OFFSET($A$1, 47 - 1, 57 - 1)) &gt;= (OFFSET($A$1, 97 - 1, 7 - 1)), "1","0")</f>
        <v>0</v>
      </c>
      <c r="BH47">
        <f ca="1" xml:space="preserve"> IF( AND( OFFSET($A$1, 47 - 1, 58 - 1) = "1", OFFSET($A$1, 47 - 1, 59 - 1) = "1" ), 1, IF( AND( OFFSET($A$1, 47 - 1, 58 - 1) = "1", OFFSET($A$1, 47 - 1, 59 - 1) = "0" ), 2, IF( AND( OFFSET($A$1, 47 - 1, 58 - 1) = "0", OFFSET($A$1, 47 - 1, 59 - 1) = "1" ), 3, 4 ) ) )</f>
        <v>4</v>
      </c>
    </row>
    <row r="48" spans="2:60" x14ac:dyDescent="0.25">
      <c r="C48" s="4">
        <v>0</v>
      </c>
      <c r="D48" s="3">
        <v>0.8</v>
      </c>
      <c r="AZ48" s="3">
        <v>3.9967597583531363E-2</v>
      </c>
      <c r="BA48" s="3" t="str">
        <f>"0"</f>
        <v>0</v>
      </c>
      <c r="BB48" t="str">
        <f ca="1">IF((OFFSET($A$1, 48 - 1, 52 - 1)) &gt;= (OFFSET($A$1, 73 - 1, 7 - 1)), "1","0")</f>
        <v>0</v>
      </c>
      <c r="BC48">
        <f ca="1" xml:space="preserve"> IF( AND( OFFSET($A$1, 48 - 1, 53 - 1) = "1", OFFSET($A$1, 48 - 1, 54 - 1) = "1" ), 1, IF( AND( OFFSET($A$1, 48 - 1, 53 - 1) = "1", OFFSET($A$1, 48 - 1, 54 - 1) = "0" ), 2, IF( AND( OFFSET($A$1, 48 - 1, 53 - 1) = "0", OFFSET($A$1, 48 - 1, 54 - 1) = "1" ), 3, 4 ) ) )</f>
        <v>4</v>
      </c>
      <c r="BE48" s="3">
        <v>8.3003667265397815E-3</v>
      </c>
      <c r="BF48" s="3" t="str">
        <f>"0"</f>
        <v>0</v>
      </c>
      <c r="BG48" t="str">
        <f ca="1">IF((OFFSET($A$1, 48 - 1, 57 - 1)) &gt;= (OFFSET($A$1, 97 - 1, 7 - 1)), "1","0")</f>
        <v>0</v>
      </c>
      <c r="BH48">
        <f ca="1" xml:space="preserve"> IF( AND( OFFSET($A$1, 48 - 1, 58 - 1) = "1", OFFSET($A$1, 48 - 1, 59 - 1) = "1" ), 1, IF( AND( OFFSET($A$1, 48 - 1, 58 - 1) = "1", OFFSET($A$1, 48 - 1, 59 - 1) = "0" ), 2, IF( AND( OFFSET($A$1, 48 - 1, 58 - 1) = "0", OFFSET($A$1, 48 - 1, 59 - 1) = "1" ), 3, 4 ) ) )</f>
        <v>4</v>
      </c>
    </row>
    <row r="49" spans="2:60" x14ac:dyDescent="0.25">
      <c r="C49" s="4">
        <v>1</v>
      </c>
      <c r="D49" s="3">
        <v>0.2</v>
      </c>
      <c r="AZ49" s="3">
        <v>6.8635221814071085E-2</v>
      </c>
      <c r="BA49" s="3" t="str">
        <f>"0"</f>
        <v>0</v>
      </c>
      <c r="BB49" t="str">
        <f ca="1">IF((OFFSET($A$1, 49 - 1, 52 - 1)) &gt;= (OFFSET($A$1, 73 - 1, 7 - 1)), "1","0")</f>
        <v>0</v>
      </c>
      <c r="BC49">
        <f ca="1" xml:space="preserve"> IF( AND( OFFSET($A$1, 49 - 1, 53 - 1) = "1", OFFSET($A$1, 49 - 1, 54 - 1) = "1" ), 1, IF( AND( OFFSET($A$1, 49 - 1, 53 - 1) = "1", OFFSET($A$1, 49 - 1, 54 - 1) = "0" ), 2, IF( AND( OFFSET($A$1, 49 - 1, 53 - 1) = "0", OFFSET($A$1, 49 - 1, 54 - 1) = "1" ), 3, 4 ) ) )</f>
        <v>4</v>
      </c>
      <c r="BE49" s="3">
        <v>3.9967597583531363E-2</v>
      </c>
      <c r="BF49" s="3" t="str">
        <f>"1"</f>
        <v>1</v>
      </c>
      <c r="BG49" t="str">
        <f ca="1">IF((OFFSET($A$1, 49 - 1, 57 - 1)) &gt;= (OFFSET($A$1, 97 - 1, 7 - 1)), "1","0")</f>
        <v>0</v>
      </c>
      <c r="BH49">
        <f ca="1" xml:space="preserve"> IF( AND( OFFSET($A$1, 49 - 1, 58 - 1) = "1", OFFSET($A$1, 49 - 1, 59 - 1) = "1" ), 1, IF( AND( OFFSET($A$1, 49 - 1, 58 - 1) = "1", OFFSET($A$1, 49 - 1, 59 - 1) = "0" ), 2, IF( AND( OFFSET($A$1, 49 - 1, 58 - 1) = "0", OFFSET($A$1, 49 - 1, 59 - 1) = "1" ), 3, 4 ) ) )</f>
        <v>2</v>
      </c>
    </row>
    <row r="50" spans="2:60" x14ac:dyDescent="0.25">
      <c r="AZ50" s="3">
        <v>0.85103040467978375</v>
      </c>
      <c r="BA50" s="3" t="str">
        <f>"1"</f>
        <v>1</v>
      </c>
      <c r="BB50" t="str">
        <f ca="1">IF((OFFSET($A$1, 50 - 1, 52 - 1)) &gt;= (OFFSET($A$1, 73 - 1, 7 - 1)), "1","0")</f>
        <v>1</v>
      </c>
      <c r="BC50">
        <f ca="1" xml:space="preserve"> IF( AND( OFFSET($A$1, 50 - 1, 53 - 1) = "1", OFFSET($A$1, 50 - 1, 54 - 1) = "1" ), 1, IF( AND( OFFSET($A$1, 50 - 1, 53 - 1) = "1", OFFSET($A$1, 50 - 1, 54 - 1) = "0" ), 2, IF( AND( OFFSET($A$1, 50 - 1, 53 - 1) = "0", OFFSET($A$1, 50 - 1, 54 - 1) = "1" ), 3, 4 ) ) )</f>
        <v>1</v>
      </c>
      <c r="BE50" s="3">
        <v>1.3112325448542921E-2</v>
      </c>
      <c r="BF50" s="3" t="str">
        <f>"0"</f>
        <v>0</v>
      </c>
      <c r="BG50" t="str">
        <f ca="1">IF((OFFSET($A$1, 50 - 1, 57 - 1)) &gt;= (OFFSET($A$1, 97 - 1, 7 - 1)), "1","0")</f>
        <v>0</v>
      </c>
      <c r="BH50">
        <f ca="1" xml:space="preserve"> IF( AND( OFFSET($A$1, 50 - 1, 58 - 1) = "1", OFFSET($A$1, 50 - 1, 59 - 1) = "1" ), 1, IF( AND( OFFSET($A$1, 50 - 1, 58 - 1) = "1", OFFSET($A$1, 50 - 1, 59 - 1) = "0" ), 2, IF( AND( OFFSET($A$1, 50 - 1, 58 - 1) = "0", OFFSET($A$1, 50 - 1, 59 - 1) = "1" ), 3, 4 ) ) )</f>
        <v>4</v>
      </c>
    </row>
    <row r="51" spans="2:60" x14ac:dyDescent="0.25">
      <c r="AZ51" s="3">
        <v>2.6640871521689067E-3</v>
      </c>
      <c r="BA51" s="3" t="str">
        <f>"0"</f>
        <v>0</v>
      </c>
      <c r="BB51" t="str">
        <f ca="1">IF((OFFSET($A$1, 51 - 1, 52 - 1)) &gt;= (OFFSET($A$1, 73 - 1, 7 - 1)), "1","0")</f>
        <v>0</v>
      </c>
      <c r="BC51">
        <f ca="1" xml:space="preserve"> IF( AND( OFFSET($A$1, 51 - 1, 53 - 1) = "1", OFFSET($A$1, 51 - 1, 54 - 1) = "1" ), 1, IF( AND( OFFSET($A$1, 51 - 1, 53 - 1) = "1", OFFSET($A$1, 51 - 1, 54 - 1) = "0" ), 2, IF( AND( OFFSET($A$1, 51 - 1, 53 - 1) = "0", OFFSET($A$1, 51 - 1, 54 - 1) = "1" ), 3, 4 ) ) )</f>
        <v>4</v>
      </c>
      <c r="BE51" s="3">
        <v>2.6640871521689067E-3</v>
      </c>
      <c r="BF51" s="3" t="str">
        <f>"0"</f>
        <v>0</v>
      </c>
      <c r="BG51" t="str">
        <f ca="1">IF((OFFSET($A$1, 51 - 1, 57 - 1)) &gt;= (OFFSET($A$1, 97 - 1, 7 - 1)), "1","0")</f>
        <v>0</v>
      </c>
      <c r="BH51">
        <f ca="1" xml:space="preserve"> IF( AND( OFFSET($A$1, 51 - 1, 58 - 1) = "1", OFFSET($A$1, 51 - 1, 59 - 1) = "1" ), 1, IF( AND( OFFSET($A$1, 51 - 1, 58 - 1) = "1", OFFSET($A$1, 51 - 1, 59 - 1) = "0" ), 2, IF( AND( OFFSET($A$1, 51 - 1, 58 - 1) = "0", OFFSET($A$1, 51 - 1, 59 - 1) = "1" ), 3, 4 ) ) )</f>
        <v>4</v>
      </c>
    </row>
    <row r="52" spans="2:60" ht="18.75" x14ac:dyDescent="0.3">
      <c r="B52" s="21" t="s">
        <v>296</v>
      </c>
      <c r="AZ52" s="3">
        <v>2.3897784938870111E-3</v>
      </c>
      <c r="BA52" s="3" t="str">
        <f>"0"</f>
        <v>0</v>
      </c>
      <c r="BB52" t="str">
        <f ca="1">IF((OFFSET($A$1, 52 - 1, 52 - 1)) &gt;= (OFFSET($A$1, 73 - 1, 7 - 1)), "1","0")</f>
        <v>0</v>
      </c>
      <c r="BC52">
        <f ca="1" xml:space="preserve"> IF( AND( OFFSET($A$1, 52 - 1, 53 - 1) = "1", OFFSET($A$1, 52 - 1, 54 - 1) = "1" ), 1, IF( AND( OFFSET($A$1, 52 - 1, 53 - 1) = "1", OFFSET($A$1, 52 - 1, 54 - 1) = "0" ), 2, IF( AND( OFFSET($A$1, 52 - 1, 53 - 1) = "0", OFFSET($A$1, 52 - 1, 54 - 1) = "1" ), 3, 4 ) ) )</f>
        <v>4</v>
      </c>
      <c r="BE52" s="3">
        <v>3.5990929333768816E-2</v>
      </c>
      <c r="BF52" s="3" t="str">
        <f>"0"</f>
        <v>0</v>
      </c>
      <c r="BG52" t="str">
        <f ca="1">IF((OFFSET($A$1, 52 - 1, 57 - 1)) &gt;= (OFFSET($A$1, 97 - 1, 7 - 1)), "1","0")</f>
        <v>0</v>
      </c>
      <c r="BH52">
        <f ca="1" xml:space="preserve"> IF( AND( OFFSET($A$1, 52 - 1, 58 - 1) = "1", OFFSET($A$1, 52 - 1, 59 - 1) = "1" ), 1, IF( AND( OFFSET($A$1, 52 - 1, 58 - 1) = "1", OFFSET($A$1, 52 - 1, 59 - 1) = "0" ), 2, IF( AND( OFFSET($A$1, 52 - 1, 58 - 1) = "0", OFFSET($A$1, 52 - 1, 59 - 1) = "1" ), 3, 4 ) ) )</f>
        <v>4</v>
      </c>
    </row>
    <row r="53" spans="2:60" x14ac:dyDescent="0.25">
      <c r="AZ53" s="3">
        <v>1.4599400719354203E-2</v>
      </c>
      <c r="BA53" s="3" t="str">
        <f>"0"</f>
        <v>0</v>
      </c>
      <c r="BB53" t="str">
        <f ca="1">IF((OFFSET($A$1, 53 - 1, 52 - 1)) &gt;= (OFFSET($A$1, 73 - 1, 7 - 1)), "1","0")</f>
        <v>0</v>
      </c>
      <c r="BC53">
        <f ca="1" xml:space="preserve"> IF( AND( OFFSET($A$1, 53 - 1, 53 - 1) = "1", OFFSET($A$1, 53 - 1, 54 - 1) = "1" ), 1, IF( AND( OFFSET($A$1, 53 - 1, 53 - 1) = "1", OFFSET($A$1, 53 - 1, 54 - 1) = "0" ), 2, IF( AND( OFFSET($A$1, 53 - 1, 53 - 1) = "0", OFFSET($A$1, 53 - 1, 54 - 1) = "1" ), 3, 4 ) ) )</f>
        <v>4</v>
      </c>
      <c r="BE53" s="3">
        <v>0.36783741989417773</v>
      </c>
      <c r="BF53" s="3" t="str">
        <f>"0"</f>
        <v>0</v>
      </c>
      <c r="BG53" t="str">
        <f ca="1">IF((OFFSET($A$1, 53 - 1, 57 - 1)) &gt;= (OFFSET($A$1, 97 - 1, 7 - 1)), "1","0")</f>
        <v>0</v>
      </c>
      <c r="BH53">
        <f ca="1" xml:space="preserve"> IF( AND( OFFSET($A$1, 53 - 1, 58 - 1) = "1", OFFSET($A$1, 53 - 1, 59 - 1) = "1" ), 1, IF( AND( OFFSET($A$1, 53 - 1, 58 - 1) = "1", OFFSET($A$1, 53 - 1, 59 - 1) = "0" ), 2, IF( AND( OFFSET($A$1, 53 - 1, 58 - 1) = "0", OFFSET($A$1, 53 - 1, 59 - 1) = "1" ), 3, 4 ) ) )</f>
        <v>4</v>
      </c>
    </row>
    <row r="54" spans="2:60" x14ac:dyDescent="0.25">
      <c r="C54" s="31" t="s">
        <v>297</v>
      </c>
      <c r="D54" s="32"/>
      <c r="E54" s="33"/>
      <c r="F54" s="3">
        <v>1.8748734029917544E-12</v>
      </c>
      <c r="AZ54" s="3">
        <v>3.9967597583531363E-2</v>
      </c>
      <c r="BA54" s="3" t="str">
        <f>"0"</f>
        <v>0</v>
      </c>
      <c r="BB54" t="str">
        <f ca="1">IF((OFFSET($A$1, 54 - 1, 52 - 1)) &gt;= (OFFSET($A$1, 73 - 1, 7 - 1)), "1","0")</f>
        <v>0</v>
      </c>
      <c r="BC54">
        <f ca="1" xml:space="preserve"> IF( AND( OFFSET($A$1, 54 - 1, 53 - 1) = "1", OFFSET($A$1, 54 - 1, 54 - 1) = "1" ), 1, IF( AND( OFFSET($A$1, 54 - 1, 53 - 1) = "1", OFFSET($A$1, 54 - 1, 54 - 1) = "0" ), 2, IF( AND( OFFSET($A$1, 54 - 1, 53 - 1) = "0", OFFSET($A$1, 54 - 1, 54 - 1) = "1" ), 3, 4 ) ) )</f>
        <v>4</v>
      </c>
      <c r="BE54" s="3">
        <v>0.29014358821209585</v>
      </c>
      <c r="BF54" s="3" t="str">
        <f>"0"</f>
        <v>0</v>
      </c>
      <c r="BG54" t="str">
        <f ca="1">IF((OFFSET($A$1, 54 - 1, 57 - 1)) &gt;= (OFFSET($A$1, 97 - 1, 7 - 1)), "1","0")</f>
        <v>0</v>
      </c>
      <c r="BH54">
        <f ca="1" xml:space="preserve"> IF( AND( OFFSET($A$1, 54 - 1, 58 - 1) = "1", OFFSET($A$1, 54 - 1, 59 - 1) = "1" ), 1, IF( AND( OFFSET($A$1, 54 - 1, 58 - 1) = "1", OFFSET($A$1, 54 - 1, 59 - 1) = "0" ), 2, IF( AND( OFFSET($A$1, 54 - 1, 58 - 1) = "0", OFFSET($A$1, 54 - 1, 59 - 1) = "1" ), 3, 4 ) ) )</f>
        <v>4</v>
      </c>
    </row>
    <row r="55" spans="2:60" x14ac:dyDescent="0.25">
      <c r="AZ55" s="3">
        <v>0.91001011394916054</v>
      </c>
      <c r="BA55" s="3" t="str">
        <f>"1"</f>
        <v>1</v>
      </c>
      <c r="BB55" t="str">
        <f ca="1">IF((OFFSET($A$1, 55 - 1, 52 - 1)) &gt;= (OFFSET($A$1, 73 - 1, 7 - 1)), "1","0")</f>
        <v>1</v>
      </c>
      <c r="BC55">
        <f ca="1" xml:space="preserve"> IF( AND( OFFSET($A$1, 55 - 1, 53 - 1) = "1", OFFSET($A$1, 55 - 1, 54 - 1) = "1" ), 1, IF( AND( OFFSET($A$1, 55 - 1, 53 - 1) = "1", OFFSET($A$1, 55 - 1, 54 - 1) = "0" ), 2, IF( AND( OFFSET($A$1, 55 - 1, 53 - 1) = "0", OFFSET($A$1, 55 - 1, 54 - 1) = "1" ), 3, 4 ) ) )</f>
        <v>1</v>
      </c>
      <c r="BE55" s="3">
        <v>0.41979037458463492</v>
      </c>
      <c r="BF55" s="3" t="str">
        <f>"0"</f>
        <v>0</v>
      </c>
      <c r="BG55" t="str">
        <f ca="1">IF((OFFSET($A$1, 55 - 1, 57 - 1)) &gt;= (OFFSET($A$1, 97 - 1, 7 - 1)), "1","0")</f>
        <v>0</v>
      </c>
      <c r="BH55">
        <f ca="1" xml:space="preserve"> IF( AND( OFFSET($A$1, 55 - 1, 58 - 1) = "1", OFFSET($A$1, 55 - 1, 59 - 1) = "1" ), 1, IF( AND( OFFSET($A$1, 55 - 1, 58 - 1) = "1", OFFSET($A$1, 55 - 1, 59 - 1) = "0" ), 2, IF( AND( OFFSET($A$1, 55 - 1, 58 - 1) = "0", OFFSET($A$1, 55 - 1, 59 - 1) = "1" ), 3, 4 ) ) )</f>
        <v>4</v>
      </c>
    </row>
    <row r="56" spans="2:60" ht="15.75" x14ac:dyDescent="0.25">
      <c r="C56" s="34" t="s">
        <v>298</v>
      </c>
      <c r="D56" s="35"/>
      <c r="E56" s="34" t="s">
        <v>299</v>
      </c>
      <c r="F56" s="35"/>
      <c r="AZ56" s="3">
        <v>3.9967597583531363E-2</v>
      </c>
      <c r="BA56" s="3" t="str">
        <f>"0"</f>
        <v>0</v>
      </c>
      <c r="BB56" t="str">
        <f ca="1">IF((OFFSET($A$1, 56 - 1, 52 - 1)) &gt;= (OFFSET($A$1, 73 - 1, 7 - 1)), "1","0")</f>
        <v>0</v>
      </c>
      <c r="BC56">
        <f ca="1" xml:space="preserve"> IF( AND( OFFSET($A$1, 56 - 1, 53 - 1) = "1", OFFSET($A$1, 56 - 1, 54 - 1) = "1" ), 1, IF( AND( OFFSET($A$1, 56 - 1, 53 - 1) = "1", OFFSET($A$1, 56 - 1, 54 - 1) = "0" ), 2, IF( AND( OFFSET($A$1, 56 - 1, 53 - 1) = "0", OFFSET($A$1, 56 - 1, 54 - 1) = "1" ), 3, 4 ) ) )</f>
        <v>4</v>
      </c>
      <c r="BE56" s="3">
        <v>6.8635221814071085E-2</v>
      </c>
      <c r="BF56" s="3" t="str">
        <f>"0"</f>
        <v>0</v>
      </c>
      <c r="BG56" t="str">
        <f ca="1">IF((OFFSET($A$1, 56 - 1, 57 - 1)) &gt;= (OFFSET($A$1, 97 - 1, 7 - 1)), "1","0")</f>
        <v>0</v>
      </c>
      <c r="BH56">
        <f ca="1" xml:space="preserve"> IF( AND( OFFSET($A$1, 56 - 1, 58 - 1) = "1", OFFSET($A$1, 56 - 1, 59 - 1) = "1" ), 1, IF( AND( OFFSET($A$1, 56 - 1, 58 - 1) = "1", OFFSET($A$1, 56 - 1, 59 - 1) = "0" ), 2, IF( AND( OFFSET($A$1, 56 - 1, 58 - 1) = "0", OFFSET($A$1, 56 - 1, 59 - 1) = "1" ), 3, 4 ) ) )</f>
        <v>4</v>
      </c>
    </row>
    <row r="57" spans="2:60" x14ac:dyDescent="0.25">
      <c r="C57" s="24" t="s">
        <v>300</v>
      </c>
      <c r="D57" s="24" t="s">
        <v>301</v>
      </c>
      <c r="E57" s="24" t="s">
        <v>300</v>
      </c>
      <c r="F57" s="24" t="s">
        <v>301</v>
      </c>
      <c r="AZ57" s="3">
        <v>4.7061241626921574E-3</v>
      </c>
      <c r="BA57" s="3" t="str">
        <f>"0"</f>
        <v>0</v>
      </c>
      <c r="BB57" t="str">
        <f ca="1">IF((OFFSET($A$1, 57 - 1, 52 - 1)) &gt;= (OFFSET($A$1, 73 - 1, 7 - 1)), "1","0")</f>
        <v>0</v>
      </c>
      <c r="BC57">
        <f ca="1" xml:space="preserve"> IF( AND( OFFSET($A$1, 57 - 1, 53 - 1) = "1", OFFSET($A$1, 57 - 1, 54 - 1) = "1" ), 1, IF( AND( OFFSET($A$1, 57 - 1, 53 - 1) = "1", OFFSET($A$1, 57 - 1, 54 - 1) = "0" ), 2, IF( AND( OFFSET($A$1, 57 - 1, 53 - 1) = "0", OFFSET($A$1, 57 - 1, 54 - 1) = "1" ), 3, 4 ) ) )</f>
        <v>4</v>
      </c>
      <c r="BE57" s="3">
        <v>1.3112325448542921E-2</v>
      </c>
      <c r="BF57" s="3" t="str">
        <f>"0"</f>
        <v>0</v>
      </c>
      <c r="BG57" t="str">
        <f ca="1">IF((OFFSET($A$1, 57 - 1, 57 - 1)) &gt;= (OFFSET($A$1, 97 - 1, 7 - 1)), "1","0")</f>
        <v>0</v>
      </c>
      <c r="BH57">
        <f ca="1" xml:space="preserve"> IF( AND( OFFSET($A$1, 57 - 1, 58 - 1) = "1", OFFSET($A$1, 57 - 1, 59 - 1) = "1" ), 1, IF( AND( OFFSET($A$1, 57 - 1, 58 - 1) = "1", OFFSET($A$1, 57 - 1, 59 - 1) = "0" ), 2, IF( AND( OFFSET($A$1, 57 - 1, 58 - 1) = "0", OFFSET($A$1, 57 - 1, 59 - 1) = "1" ), 3, 4 ) ) )</f>
        <v>4</v>
      </c>
    </row>
    <row r="58" spans="2:60" x14ac:dyDescent="0.25">
      <c r="C58" s="4" t="s">
        <v>302</v>
      </c>
      <c r="D58" s="3">
        <v>3.3076930075884623</v>
      </c>
      <c r="AZ58" s="3">
        <v>4.4363430878092497E-2</v>
      </c>
      <c r="BA58" s="3" t="str">
        <f>"0"</f>
        <v>0</v>
      </c>
      <c r="BB58" t="str">
        <f ca="1">IF((OFFSET($A$1, 58 - 1, 52 - 1)) &gt;= (OFFSET($A$1, 73 - 1, 7 - 1)), "1","0")</f>
        <v>0</v>
      </c>
      <c r="BC58">
        <f ca="1" xml:space="preserve"> IF( AND( OFFSET($A$1, 58 - 1, 53 - 1) = "1", OFFSET($A$1, 58 - 1, 54 - 1) = "1" ), 1, IF( AND( OFFSET($A$1, 58 - 1, 53 - 1) = "1", OFFSET($A$1, 58 - 1, 54 - 1) = "0" ), 2, IF( AND( OFFSET($A$1, 58 - 1, 53 - 1) = "0", OFFSET($A$1, 58 - 1, 54 - 1) = "1" ), 3, 4 ) ) )</f>
        <v>4</v>
      </c>
      <c r="BE58" s="3">
        <v>2.2978475151535619E-2</v>
      </c>
      <c r="BF58" s="3" t="str">
        <f>"1"</f>
        <v>1</v>
      </c>
      <c r="BG58" t="str">
        <f ca="1">IF((OFFSET($A$1, 58 - 1, 57 - 1)) &gt;= (OFFSET($A$1, 97 - 1, 7 - 1)), "1","0")</f>
        <v>0</v>
      </c>
      <c r="BH58">
        <f ca="1" xml:space="preserve"> IF( AND( OFFSET($A$1, 58 - 1, 58 - 1) = "1", OFFSET($A$1, 58 - 1, 59 - 1) = "1" ), 1, IF( AND( OFFSET($A$1, 58 - 1, 58 - 1) = "1", OFFSET($A$1, 58 - 1, 59 - 1) = "0" ), 2, IF( AND( OFFSET($A$1, 58 - 1, 58 - 1) = "0", OFFSET($A$1, 58 - 1, 59 - 1) = "1" ), 3, 4 ) ) )</f>
        <v>2</v>
      </c>
    </row>
    <row r="59" spans="2:60" x14ac:dyDescent="0.25">
      <c r="C59" s="4" t="s">
        <v>2</v>
      </c>
      <c r="D59" s="3">
        <v>80.417659752071899</v>
      </c>
      <c r="AZ59" s="3">
        <v>0.10473108520416485</v>
      </c>
      <c r="BA59" s="3" t="str">
        <f>"0"</f>
        <v>0</v>
      </c>
      <c r="BB59" t="str">
        <f ca="1">IF((OFFSET($A$1, 59 - 1, 52 - 1)) &gt;= (OFFSET($A$1, 73 - 1, 7 - 1)), "1","0")</f>
        <v>0</v>
      </c>
      <c r="BC59">
        <f ca="1" xml:space="preserve"> IF( AND( OFFSET($A$1, 59 - 1, 53 - 1) = "1", OFFSET($A$1, 59 - 1, 54 - 1) = "1" ), 1, IF( AND( OFFSET($A$1, 59 - 1, 53 - 1) = "1", OFFSET($A$1, 59 - 1, 54 - 1) = "0" ), 2, IF( AND( OFFSET($A$1, 59 - 1, 53 - 1) = "0", OFFSET($A$1, 59 - 1, 54 - 1) = "1" ), 3, 4 ) ) )</f>
        <v>4</v>
      </c>
      <c r="BE59" s="3">
        <v>0.64579357254318581</v>
      </c>
      <c r="BF59" s="3" t="str">
        <f>"0"</f>
        <v>0</v>
      </c>
      <c r="BG59" t="str">
        <f ca="1">IF((OFFSET($A$1, 59 - 1, 57 - 1)) &gt;= (OFFSET($A$1, 97 - 1, 7 - 1)), "1","0")</f>
        <v>1</v>
      </c>
      <c r="BH59">
        <f ca="1" xml:space="preserve"> IF( AND( OFFSET($A$1, 59 - 1, 58 - 1) = "1", OFFSET($A$1, 59 - 1, 59 - 1) = "1" ), 1, IF( AND( OFFSET($A$1, 59 - 1, 58 - 1) = "1", OFFSET($A$1, 59 - 1, 59 - 1) = "0" ), 2, IF( AND( OFFSET($A$1, 59 - 1, 58 - 1) = "0", OFFSET($A$1, 59 - 1, 59 - 1) = "1" ), 3, 4 ) ) )</f>
        <v>3</v>
      </c>
    </row>
    <row r="60" spans="2:60" x14ac:dyDescent="0.25">
      <c r="C60" s="4" t="s">
        <v>3</v>
      </c>
      <c r="D60" s="3">
        <v>11.761422762956848</v>
      </c>
      <c r="AZ60" s="3">
        <v>0.18759104097085189</v>
      </c>
      <c r="BA60" s="3" t="str">
        <f>"1"</f>
        <v>1</v>
      </c>
      <c r="BB60" t="str">
        <f ca="1">IF((OFFSET($A$1, 60 - 1, 52 - 1)) &gt;= (OFFSET($A$1, 73 - 1, 7 - 1)), "1","0")</f>
        <v>0</v>
      </c>
      <c r="BC60">
        <f ca="1" xml:space="preserve"> IF( AND( OFFSET($A$1, 60 - 1, 53 - 1) = "1", OFFSET($A$1, 60 - 1, 54 - 1) = "1" ), 1, IF( AND( OFFSET($A$1, 60 - 1, 53 - 1) = "1", OFFSET($A$1, 60 - 1, 54 - 1) = "0" ), 2, IF( AND( OFFSET($A$1, 60 - 1, 53 - 1) = "0", OFFSET($A$1, 60 - 1, 54 - 1) = "1" ), 3, 4 ) ) )</f>
        <v>2</v>
      </c>
      <c r="BE60" s="3">
        <v>8.3003667265397815E-3</v>
      </c>
      <c r="BF60" s="3" t="str">
        <f>"0"</f>
        <v>0</v>
      </c>
      <c r="BG60" t="str">
        <f ca="1">IF((OFFSET($A$1, 60 - 1, 57 - 1)) &gt;= (OFFSET($A$1, 97 - 1, 7 - 1)), "1","0")</f>
        <v>0</v>
      </c>
      <c r="BH60">
        <f ca="1" xml:space="preserve"> IF( AND( OFFSET($A$1, 60 - 1, 58 - 1) = "1", OFFSET($A$1, 60 - 1, 59 - 1) = "1" ), 1, IF( AND( OFFSET($A$1, 60 - 1, 58 - 1) = "1", OFFSET($A$1, 60 - 1, 59 - 1) = "0" ), 2, IF( AND( OFFSET($A$1, 60 - 1, 58 - 1) = "0", OFFSET($A$1, 60 - 1, 59 - 1) = "1" ), 3, 4 ) ) )</f>
        <v>4</v>
      </c>
    </row>
    <row r="61" spans="2:60" x14ac:dyDescent="0.25">
      <c r="AZ61" s="3">
        <v>1.4599400719354203E-2</v>
      </c>
      <c r="BA61" s="3" t="str">
        <f>"0"</f>
        <v>0</v>
      </c>
      <c r="BB61" t="str">
        <f ca="1">IF((OFFSET($A$1, 61 - 1, 52 - 1)) &gt;= (OFFSET($A$1, 73 - 1, 7 - 1)), "1","0")</f>
        <v>0</v>
      </c>
      <c r="BC61">
        <f ca="1" xml:space="preserve"> IF( AND( OFFSET($A$1, 61 - 1, 53 - 1) = "1", OFFSET($A$1, 61 - 1, 54 - 1) = "1" ), 1, IF( AND( OFFSET($A$1, 61 - 1, 53 - 1) = "1", OFFSET($A$1, 61 - 1, 54 - 1) = "0" ), 2, IF( AND( OFFSET($A$1, 61 - 1, 53 - 1) = "0", OFFSET($A$1, 61 - 1, 54 - 1) = "1" ), 3, 4 ) ) )</f>
        <v>4</v>
      </c>
      <c r="BE61" s="3">
        <v>6.1990381774628532E-2</v>
      </c>
      <c r="BF61" s="3" t="str">
        <f>"0"</f>
        <v>0</v>
      </c>
      <c r="BG61" t="str">
        <f ca="1">IF((OFFSET($A$1, 61 - 1, 57 - 1)) &gt;= (OFFSET($A$1, 97 - 1, 7 - 1)), "1","0")</f>
        <v>0</v>
      </c>
      <c r="BH61">
        <f ca="1" xml:space="preserve"> IF( AND( OFFSET($A$1, 61 - 1, 58 - 1) = "1", OFFSET($A$1, 61 - 1, 59 - 1) = "1" ), 1, IF( AND( OFFSET($A$1, 61 - 1, 58 - 1) = "1", OFFSET($A$1, 61 - 1, 59 - 1) = "0" ), 2, IF( AND( OFFSET($A$1, 61 - 1, 58 - 1) = "0", OFFSET($A$1, 61 - 1, 59 - 1) = "1" ), 3, 4 ) ) )</f>
        <v>4</v>
      </c>
    </row>
    <row r="62" spans="2:60" x14ac:dyDescent="0.25">
      <c r="AZ62" s="3">
        <v>1.3112325448542921E-2</v>
      </c>
      <c r="BA62" s="3" t="str">
        <f>"0"</f>
        <v>0</v>
      </c>
      <c r="BB62" t="str">
        <f ca="1">IF((OFFSET($A$1, 62 - 1, 52 - 1)) &gt;= (OFFSET($A$1, 73 - 1, 7 - 1)), "1","0")</f>
        <v>0</v>
      </c>
      <c r="BC62">
        <f ca="1" xml:space="preserve"> IF( AND( OFFSET($A$1, 62 - 1, 53 - 1) = "1", OFFSET($A$1, 62 - 1, 54 - 1) = "1" ), 1, IF( AND( OFFSET($A$1, 62 - 1, 53 - 1) = "1", OFFSET($A$1, 62 - 1, 54 - 1) = "0" ), 2, IF( AND( OFFSET($A$1, 62 - 1, 53 - 1) = "0", OFFSET($A$1, 62 - 1, 54 - 1) = "1" ), 3, 4 ) ) )</f>
        <v>4</v>
      </c>
      <c r="BE62" s="3">
        <v>0.18759104097085189</v>
      </c>
      <c r="BF62" s="3" t="str">
        <f>"0"</f>
        <v>0</v>
      </c>
      <c r="BG62" t="str">
        <f ca="1">IF((OFFSET($A$1, 62 - 1, 57 - 1)) &gt;= (OFFSET($A$1, 97 - 1, 7 - 1)), "1","0")</f>
        <v>0</v>
      </c>
      <c r="BH62">
        <f ca="1" xml:space="preserve"> IF( AND( OFFSET($A$1, 62 - 1, 58 - 1) = "1", OFFSET($A$1, 62 - 1, 59 - 1) = "1" ), 1, IF( AND( OFFSET($A$1, 62 - 1, 58 - 1) = "1", OFFSET($A$1, 62 - 1, 59 - 1) = "0" ), 2, IF( AND( OFFSET($A$1, 62 - 1, 58 - 1) = "0", OFFSET($A$1, 62 - 1, 59 - 1) = "1" ), 3, 4 ) ) )</f>
        <v>4</v>
      </c>
    </row>
    <row r="63" spans="2:60" ht="18.75" x14ac:dyDescent="0.3">
      <c r="B63" s="21" t="s">
        <v>303</v>
      </c>
      <c r="AZ63" s="3">
        <v>1.3112325448542921E-2</v>
      </c>
      <c r="BA63" s="3" t="str">
        <f>"0"</f>
        <v>0</v>
      </c>
      <c r="BB63" t="str">
        <f ca="1">IF((OFFSET($A$1, 63 - 1, 52 - 1)) &gt;= (OFFSET($A$1, 73 - 1, 7 - 1)), "1","0")</f>
        <v>0</v>
      </c>
      <c r="BC63">
        <f ca="1" xml:space="preserve"> IF( AND( OFFSET($A$1, 63 - 1, 53 - 1) = "1", OFFSET($A$1, 63 - 1, 54 - 1) = "1" ), 1, IF( AND( OFFSET($A$1, 63 - 1, 53 - 1) = "1", OFFSET($A$1, 63 - 1, 54 - 1) = "0" ), 2, IF( AND( OFFSET($A$1, 63 - 1, 53 - 1) = "0", OFFSET($A$1, 63 - 1, 54 - 1) = "1" ), 3, 4 ) ) )</f>
        <v>4</v>
      </c>
      <c r="BE63" s="3">
        <v>1.3112325448542921E-2</v>
      </c>
      <c r="BF63" s="3" t="str">
        <f>"0"</f>
        <v>0</v>
      </c>
      <c r="BG63" t="str">
        <f ca="1">IF((OFFSET($A$1, 63 - 1, 57 - 1)) &gt;= (OFFSET($A$1, 97 - 1, 7 - 1)), "1","0")</f>
        <v>0</v>
      </c>
      <c r="BH63">
        <f ca="1" xml:space="preserve"> IF( AND( OFFSET($A$1, 63 - 1, 58 - 1) = "1", OFFSET($A$1, 63 - 1, 59 - 1) = "1" ), 1, IF( AND( OFFSET($A$1, 63 - 1, 58 - 1) = "1", OFFSET($A$1, 63 - 1, 59 - 1) = "0" ), 2, IF( AND( OFFSET($A$1, 63 - 1, 58 - 1) = "0", OFFSET($A$1, 63 - 1, 59 - 1) = "1" ), 3, 4 ) ) )</f>
        <v>4</v>
      </c>
    </row>
    <row r="64" spans="2:60" x14ac:dyDescent="0.25">
      <c r="AZ64" s="3">
        <v>3.9967597583531363E-2</v>
      </c>
      <c r="BA64" s="3" t="str">
        <f>"0"</f>
        <v>0</v>
      </c>
      <c r="BB64" t="str">
        <f ca="1">IF((OFFSET($A$1, 64 - 1, 52 - 1)) &gt;= (OFFSET($A$1, 73 - 1, 7 - 1)), "1","0")</f>
        <v>0</v>
      </c>
      <c r="BC64">
        <f ca="1" xml:space="preserve"> IF( AND( OFFSET($A$1, 64 - 1, 53 - 1) = "1", OFFSET($A$1, 64 - 1, 54 - 1) = "1" ), 1, IF( AND( OFFSET($A$1, 64 - 1, 53 - 1) = "1", OFFSET($A$1, 64 - 1, 54 - 1) = "0" ), 2, IF( AND( OFFSET($A$1, 64 - 1, 53 - 1) = "0", OFFSET($A$1, 64 - 1, 54 - 1) = "1" ), 3, 4 ) ) )</f>
        <v>4</v>
      </c>
      <c r="BE64" s="3">
        <v>8.3003667265397815E-3</v>
      </c>
      <c r="BF64" s="3" t="str">
        <f>"0"</f>
        <v>0</v>
      </c>
      <c r="BG64" t="str">
        <f ca="1">IF((OFFSET($A$1, 64 - 1, 57 - 1)) &gt;= (OFFSET($A$1, 97 - 1, 7 - 1)), "1","0")</f>
        <v>0</v>
      </c>
      <c r="BH64">
        <f ca="1" xml:space="preserve"> IF( AND( OFFSET($A$1, 64 - 1, 58 - 1) = "1", OFFSET($A$1, 64 - 1, 59 - 1) = "1" ), 1, IF( AND( OFFSET($A$1, 64 - 1, 58 - 1) = "1", OFFSET($A$1, 64 - 1, 59 - 1) = "0" ), 2, IF( AND( OFFSET($A$1, 64 - 1, 58 - 1) = "0", OFFSET($A$1, 64 - 1, 59 - 1) = "1" ), 3, 4 ) ) )</f>
        <v>4</v>
      </c>
    </row>
    <row r="65" spans="2:60" ht="25.5" x14ac:dyDescent="0.25">
      <c r="C65" s="25" t="s">
        <v>304</v>
      </c>
      <c r="D65" s="23" t="s">
        <v>305</v>
      </c>
      <c r="E65" s="23" t="s">
        <v>306</v>
      </c>
      <c r="F65" s="23" t="s">
        <v>307</v>
      </c>
      <c r="G65" s="23" t="s">
        <v>308</v>
      </c>
      <c r="H65" s="23" t="s">
        <v>309</v>
      </c>
      <c r="I65" s="23" t="s">
        <v>310</v>
      </c>
      <c r="J65" s="23" t="s">
        <v>311</v>
      </c>
      <c r="L65" s="4" t="s">
        <v>312</v>
      </c>
      <c r="M65" s="3">
        <v>102</v>
      </c>
      <c r="AZ65" s="3">
        <v>0.67029858559512201</v>
      </c>
      <c r="BA65" s="3" t="str">
        <f>"1"</f>
        <v>1</v>
      </c>
      <c r="BB65" t="str">
        <f ca="1">IF((OFFSET($A$1, 65 - 1, 52 - 1)) &gt;= (OFFSET($A$1, 73 - 1, 7 - 1)), "1","0")</f>
        <v>1</v>
      </c>
      <c r="BC65">
        <f ca="1" xml:space="preserve"> IF( AND( OFFSET($A$1, 65 - 1, 53 - 1) = "1", OFFSET($A$1, 65 - 1, 54 - 1) = "1" ), 1, IF( AND( OFFSET($A$1, 65 - 1, 53 - 1) = "1", OFFSET($A$1, 65 - 1, 54 - 1) = "0" ), 2, IF( AND( OFFSET($A$1, 65 - 1, 53 - 1) = "0", OFFSET($A$1, 65 - 1, 54 - 1) = "1" ), 3, 4 ) ) )</f>
        <v>1</v>
      </c>
      <c r="BE65" s="3">
        <v>2.6640871521689067E-3</v>
      </c>
      <c r="BF65" s="3" t="str">
        <f>"0"</f>
        <v>0</v>
      </c>
      <c r="BG65" t="str">
        <f ca="1">IF((OFFSET($A$1, 65 - 1, 57 - 1)) &gt;= (OFFSET($A$1, 97 - 1, 7 - 1)), "1","0")</f>
        <v>0</v>
      </c>
      <c r="BH65">
        <f ca="1" xml:space="preserve"> IF( AND( OFFSET($A$1, 65 - 1, 58 - 1) = "1", OFFSET($A$1, 65 - 1, 59 - 1) = "1" ), 1, IF( AND( OFFSET($A$1, 65 - 1, 58 - 1) = "1", OFFSET($A$1, 65 - 1, 59 - 1) = "0" ), 2, IF( AND( OFFSET($A$1, 65 - 1, 58 - 1) = "0", OFFSET($A$1, 65 - 1, 59 - 1) = "1" ), 3, 4 ) ) )</f>
        <v>4</v>
      </c>
    </row>
    <row r="66" spans="2:60" x14ac:dyDescent="0.25">
      <c r="C66" s="4" t="s">
        <v>302</v>
      </c>
      <c r="D66" s="3">
        <v>-8.2094373604416155</v>
      </c>
      <c r="E66" s="3">
        <v>1.6940984604247442</v>
      </c>
      <c r="F66" s="3">
        <v>23.482779024902438</v>
      </c>
      <c r="G66" s="3">
        <v>1.2603688279069861E-6</v>
      </c>
      <c r="H66" s="3">
        <v>2.7207375769220678E-4</v>
      </c>
      <c r="I66" s="3">
        <v>9.8325786947441935E-6</v>
      </c>
      <c r="J66" s="3">
        <v>7.528455344509551E-3</v>
      </c>
      <c r="L66" s="4" t="s">
        <v>313</v>
      </c>
      <c r="M66" s="3">
        <v>53.696900599678393</v>
      </c>
      <c r="AZ66" s="3">
        <v>2.6640871521689067E-3</v>
      </c>
      <c r="BA66" s="3" t="str">
        <f>"0"</f>
        <v>0</v>
      </c>
      <c r="BB66" t="str">
        <f ca="1">IF((OFFSET($A$1, 66 - 1, 52 - 1)) &gt;= (OFFSET($A$1, 73 - 1, 7 - 1)), "1","0")</f>
        <v>0</v>
      </c>
      <c r="BC66">
        <f ca="1" xml:space="preserve"> IF( AND( OFFSET($A$1, 66 - 1, 53 - 1) = "1", OFFSET($A$1, 66 - 1, 54 - 1) = "1" ), 1, IF( AND( OFFSET($A$1, 66 - 1, 53 - 1) = "1", OFFSET($A$1, 66 - 1, 54 - 1) = "0" ), 2, IF( AND( OFFSET($A$1, 66 - 1, 53 - 1) = "0", OFFSET($A$1, 66 - 1, 54 - 1) = "1" ), 3, 4 ) ) )</f>
        <v>4</v>
      </c>
      <c r="BE66" s="3">
        <v>1.3112325448542921E-2</v>
      </c>
      <c r="BF66" s="3" t="str">
        <f>"0"</f>
        <v>0</v>
      </c>
      <c r="BG66" t="str">
        <f ca="1">IF((OFFSET($A$1, 66 - 1, 57 - 1)) &gt;= (OFFSET($A$1, 97 - 1, 7 - 1)), "1","0")</f>
        <v>0</v>
      </c>
      <c r="BH66">
        <f ca="1" xml:space="preserve"> IF( AND( OFFSET($A$1, 66 - 1, 58 - 1) = "1", OFFSET($A$1, 66 - 1, 59 - 1) = "1" ), 1, IF( AND( OFFSET($A$1, 66 - 1, 58 - 1) = "1", OFFSET($A$1, 66 - 1, 59 - 1) = "0" ), 2, IF( AND( OFFSET($A$1, 66 - 1, 58 - 1) = "0", OFFSET($A$1, 66 - 1, 59 - 1) = "1" ), 3, 4 ) ) )</f>
        <v>4</v>
      </c>
    </row>
    <row r="67" spans="2:60" x14ac:dyDescent="0.25">
      <c r="C67" s="4" t="s">
        <v>2</v>
      </c>
      <c r="D67" s="3">
        <v>0.57105279763206274</v>
      </c>
      <c r="E67" s="3">
        <v>0.16491667052039177</v>
      </c>
      <c r="F67" s="3">
        <v>11.990116708455727</v>
      </c>
      <c r="G67" s="3">
        <v>5.3483440248421944E-4</v>
      </c>
      <c r="H67" s="3">
        <v>1.7701296591007696</v>
      </c>
      <c r="I67" s="3">
        <v>1.2812319332944875</v>
      </c>
      <c r="J67" s="3">
        <v>2.4455829804142208</v>
      </c>
      <c r="L67" s="4" t="s">
        <v>314</v>
      </c>
      <c r="M67" s="3">
        <v>4</v>
      </c>
      <c r="AZ67" s="3">
        <v>0.24739423909304692</v>
      </c>
      <c r="BA67" s="3" t="str">
        <f>"0"</f>
        <v>0</v>
      </c>
      <c r="BB67" t="str">
        <f ca="1">IF((OFFSET($A$1, 67 - 1, 52 - 1)) &gt;= (OFFSET($A$1, 73 - 1, 7 - 1)), "1","0")</f>
        <v>0</v>
      </c>
      <c r="BC67">
        <f ca="1" xml:space="preserve"> IF( AND( OFFSET($A$1, 67 - 1, 53 - 1) = "1", OFFSET($A$1, 67 - 1, 54 - 1) = "1" ), 1, IF( AND( OFFSET($A$1, 67 - 1, 53 - 1) = "1", OFFSET($A$1, 67 - 1, 54 - 1) = "0" ), 2, IF( AND( OFFSET($A$1, 67 - 1, 53 - 1) = "0", OFFSET($A$1, 67 - 1, 54 - 1) = "1" ), 3, 4 ) ) )</f>
        <v>4</v>
      </c>
    </row>
    <row r="68" spans="2:60" x14ac:dyDescent="0.25">
      <c r="C68" s="4" t="s">
        <v>3</v>
      </c>
      <c r="D68" s="3">
        <v>1.0331698060337335</v>
      </c>
      <c r="E68" s="3">
        <v>0.29796400077205587</v>
      </c>
      <c r="F68" s="3">
        <v>12.023082228711214</v>
      </c>
      <c r="G68" s="3">
        <v>5.254573601224179E-4</v>
      </c>
      <c r="H68" s="3">
        <v>2.809958757056171</v>
      </c>
      <c r="I68" s="3">
        <v>1.567012743612181</v>
      </c>
      <c r="J68" s="3">
        <v>5.0388028103431965</v>
      </c>
      <c r="L68" s="4" t="s">
        <v>315</v>
      </c>
      <c r="M68" s="3">
        <v>0.48901221369560044</v>
      </c>
      <c r="AZ68" s="3">
        <v>0.11539375631539449</v>
      </c>
      <c r="BA68" s="3" t="str">
        <f>"0"</f>
        <v>0</v>
      </c>
      <c r="BB68" t="str">
        <f ca="1">IF((OFFSET($A$1, 68 - 1, 52 - 1)) &gt;= (OFFSET($A$1, 73 - 1, 7 - 1)), "1","0")</f>
        <v>0</v>
      </c>
      <c r="BC68">
        <f ca="1" xml:space="preserve"> IF( AND( OFFSET($A$1, 68 - 1, 53 - 1) = "1", OFFSET($A$1, 68 - 1, 54 - 1) = "1" ), 1, IF( AND( OFFSET($A$1, 68 - 1, 53 - 1) = "1", OFFSET($A$1, 68 - 1, 54 - 1) = "0" ), 2, IF( AND( OFFSET($A$1, 68 - 1, 53 - 1) = "0", OFFSET($A$1, 68 - 1, 54 - 1) = "1" ), 3, 4 ) ) )</f>
        <v>4</v>
      </c>
    </row>
    <row r="69" spans="2:60" x14ac:dyDescent="0.25">
      <c r="AZ69" s="3">
        <v>0.11539375631539449</v>
      </c>
      <c r="BA69" s="3" t="str">
        <f>"0"</f>
        <v>0</v>
      </c>
      <c r="BB69" t="str">
        <f ca="1">IF((OFFSET($A$1, 69 - 1, 52 - 1)) &gt;= (OFFSET($A$1, 73 - 1, 7 - 1)), "1","0")</f>
        <v>0</v>
      </c>
      <c r="BC69">
        <f ca="1" xml:space="preserve"> IF( AND( OFFSET($A$1, 69 - 1, 53 - 1) = "1", OFFSET($A$1, 69 - 1, 54 - 1) = "1" ), 1, IF( AND( OFFSET($A$1, 69 - 1, 53 - 1) = "1", OFFSET($A$1, 69 - 1, 54 - 1) = "0" ), 2, IF( AND( OFFSET($A$1, 69 - 1, 53 - 1) = "0", OFFSET($A$1, 69 - 1, 54 - 1) = "1" ), 3, 4 ) ) )</f>
        <v>4</v>
      </c>
    </row>
    <row r="70" spans="2:60" x14ac:dyDescent="0.25">
      <c r="AZ70" s="3">
        <v>0.98050636300015592</v>
      </c>
      <c r="BA70" s="3" t="str">
        <f>"1"</f>
        <v>1</v>
      </c>
      <c r="BB70" t="str">
        <f ca="1">IF((OFFSET($A$1, 70 - 1, 52 - 1)) &gt;= (OFFSET($A$1, 73 - 1, 7 - 1)), "1","0")</f>
        <v>1</v>
      </c>
      <c r="BC70">
        <f ca="1" xml:space="preserve"> IF( AND( OFFSET($A$1, 70 - 1, 53 - 1) = "1", OFFSET($A$1, 70 - 1, 54 - 1) = "1" ), 1, IF( AND( OFFSET($A$1, 70 - 1, 53 - 1) = "1", OFFSET($A$1, 70 - 1, 54 - 1) = "0" ), 2, IF( AND( OFFSET($A$1, 70 - 1, 53 - 1) = "0", OFFSET($A$1, 70 - 1, 54 - 1) = "1" ), 3, 4 ) ) )</f>
        <v>1</v>
      </c>
    </row>
    <row r="71" spans="2:60" ht="18.75" x14ac:dyDescent="0.3">
      <c r="B71" s="21" t="s">
        <v>328</v>
      </c>
      <c r="AZ71" s="3">
        <v>1.4599400719354203E-2</v>
      </c>
      <c r="BA71" s="3" t="str">
        <f>"0"</f>
        <v>0</v>
      </c>
      <c r="BB71" t="str">
        <f ca="1">IF((OFFSET($A$1, 71 - 1, 52 - 1)) &gt;= (OFFSET($A$1, 73 - 1, 7 - 1)), "1","0")</f>
        <v>0</v>
      </c>
      <c r="BC71">
        <f ca="1" xml:space="preserve"> IF( AND( OFFSET($A$1, 71 - 1, 53 - 1) = "1", OFFSET($A$1, 71 - 1, 54 - 1) = "1" ), 1, IF( AND( OFFSET($A$1, 71 - 1, 53 - 1) = "1", OFFSET($A$1, 71 - 1, 54 - 1) = "0" ), 2, IF( AND( OFFSET($A$1, 71 - 1, 53 - 1) = "0", OFFSET($A$1, 71 - 1, 54 - 1) = "1" ), 3, 4 ) ) )</f>
        <v>4</v>
      </c>
    </row>
    <row r="72" spans="2:60" x14ac:dyDescent="0.25">
      <c r="AZ72" s="3">
        <v>1.4599400719354203E-2</v>
      </c>
      <c r="BA72" s="3" t="str">
        <f>"0"</f>
        <v>0</v>
      </c>
      <c r="BB72" t="str">
        <f ca="1">IF((OFFSET($A$1, 72 - 1, 52 - 1)) &gt;= (OFFSET($A$1, 73 - 1, 7 - 1)), "1","0")</f>
        <v>0</v>
      </c>
      <c r="BC72">
        <f ca="1" xml:space="preserve"> IF( AND( OFFSET($A$1, 72 - 1, 53 - 1) = "1", OFFSET($A$1, 72 - 1, 54 - 1) = "1" ), 1, IF( AND( OFFSET($A$1, 72 - 1, 53 - 1) = "1", OFFSET($A$1, 72 - 1, 54 - 1) = "0" ), 2, IF( AND( OFFSET($A$1, 72 - 1, 53 - 1) = "0", OFFSET($A$1, 72 - 1, 54 - 1) = "1" ), 3, 4 ) ) )</f>
        <v>4</v>
      </c>
    </row>
    <row r="73" spans="2:60" x14ac:dyDescent="0.25">
      <c r="C73" s="36" t="s">
        <v>329</v>
      </c>
      <c r="D73" s="37"/>
      <c r="E73" s="37"/>
      <c r="F73" s="38"/>
      <c r="G73" s="26">
        <v>0.5</v>
      </c>
      <c r="H73" s="36" t="s">
        <v>330</v>
      </c>
      <c r="I73" s="37"/>
      <c r="J73" s="37"/>
      <c r="K73" s="37"/>
      <c r="L73" s="37"/>
      <c r="M73" s="38"/>
      <c r="AZ73" s="3">
        <v>3.9967597583531363E-2</v>
      </c>
      <c r="BA73" s="3" t="str">
        <f>"0"</f>
        <v>0</v>
      </c>
      <c r="BB73" t="str">
        <f ca="1">IF((OFFSET($A$1, 73 - 1, 52 - 1)) &gt;= (OFFSET($A$1, 73 - 1, 7 - 1)), "1","0")</f>
        <v>0</v>
      </c>
      <c r="BC73">
        <f ca="1" xml:space="preserve"> IF( AND( OFFSET($A$1, 73 - 1, 53 - 1) = "1", OFFSET($A$1, 73 - 1, 54 - 1) = "1" ), 1, IF( AND( OFFSET($A$1, 73 - 1, 53 - 1) = "1", OFFSET($A$1, 73 - 1, 54 - 1) = "0" ), 2, IF( AND( OFFSET($A$1, 73 - 1, 53 - 1) = "0", OFFSET($A$1, 73 - 1, 54 - 1) = "1" ), 3, 4 ) ) )</f>
        <v>4</v>
      </c>
    </row>
    <row r="74" spans="2:60" x14ac:dyDescent="0.25">
      <c r="AZ74" s="3">
        <v>0.53456553385962824</v>
      </c>
      <c r="BA74" s="3" t="str">
        <f>"0"</f>
        <v>0</v>
      </c>
      <c r="BB74" t="str">
        <f ca="1">IF((OFFSET($A$1, 74 - 1, 52 - 1)) &gt;= (OFFSET($A$1, 73 - 1, 7 - 1)), "1","0")</f>
        <v>1</v>
      </c>
      <c r="BC74">
        <f ca="1" xml:space="preserve"> IF( AND( OFFSET($A$1, 74 - 1, 53 - 1) = "1", OFFSET($A$1, 74 - 1, 54 - 1) = "1" ), 1, IF( AND( OFFSET($A$1, 74 - 1, 53 - 1) = "1", OFFSET($A$1, 74 - 1, 54 - 1) = "0" ), 2, IF( AND( OFFSET($A$1, 74 - 1, 53 - 1) = "0", OFFSET($A$1, 74 - 1, 54 - 1) = "1" ), 3, 4 ) ) )</f>
        <v>3</v>
      </c>
    </row>
    <row r="75" spans="2:60" ht="15.75" x14ac:dyDescent="0.25">
      <c r="C75" s="6" t="s">
        <v>331</v>
      </c>
      <c r="D75" s="7"/>
      <c r="E75" s="8"/>
      <c r="AZ75" s="3">
        <v>0.91001011394916054</v>
      </c>
      <c r="BA75" s="3" t="str">
        <f>"1"</f>
        <v>1</v>
      </c>
      <c r="BB75" t="str">
        <f ca="1">IF((OFFSET($A$1, 75 - 1, 52 - 1)) &gt;= (OFFSET($A$1, 73 - 1, 7 - 1)), "1","0")</f>
        <v>1</v>
      </c>
      <c r="BC75">
        <f ca="1" xml:space="preserve"> IF( AND( OFFSET($A$1, 75 - 1, 53 - 1) = "1", OFFSET($A$1, 75 - 1, 54 - 1) = "1" ), 1, IF( AND( OFFSET($A$1, 75 - 1, 53 - 1) = "1", OFFSET($A$1, 75 - 1, 54 - 1) = "0" ), 2, IF( AND( OFFSET($A$1, 75 - 1, 53 - 1) = "0", OFFSET($A$1, 75 - 1, 54 - 1) = "1" ), 3, 4 ) ) )</f>
        <v>1</v>
      </c>
    </row>
    <row r="76" spans="2:60" x14ac:dyDescent="0.25">
      <c r="C76" s="5"/>
      <c r="D76" s="39" t="s">
        <v>332</v>
      </c>
      <c r="E76" s="40"/>
      <c r="AZ76" s="3">
        <v>2.6640871521689067E-3</v>
      </c>
      <c r="BA76" s="3" t="str">
        <f>"0"</f>
        <v>0</v>
      </c>
      <c r="BB76" t="str">
        <f ca="1">IF((OFFSET($A$1, 76 - 1, 52 - 1)) &gt;= (OFFSET($A$1, 73 - 1, 7 - 1)), "1","0")</f>
        <v>0</v>
      </c>
      <c r="BC76">
        <f ca="1" xml:space="preserve"> IF( AND( OFFSET($A$1, 76 - 1, 53 - 1) = "1", OFFSET($A$1, 76 - 1, 54 - 1) = "1" ), 1, IF( AND( OFFSET($A$1, 76 - 1, 53 - 1) = "1", OFFSET($A$1, 76 - 1, 54 - 1) = "0" ), 2, IF( AND( OFFSET($A$1, 76 - 1, 53 - 1) = "0", OFFSET($A$1, 76 - 1, 54 - 1) = "1" ), 3, 4 ) ) )</f>
        <v>4</v>
      </c>
    </row>
    <row r="77" spans="2:60" x14ac:dyDescent="0.25">
      <c r="C77" s="4" t="s">
        <v>333</v>
      </c>
      <c r="D77" s="5">
        <v>1</v>
      </c>
      <c r="E77" s="5">
        <v>0</v>
      </c>
      <c r="AZ77" s="3">
        <v>8.3003667265397815E-3</v>
      </c>
      <c r="BA77" s="3" t="str">
        <f>"0"</f>
        <v>0</v>
      </c>
      <c r="BB77" t="str">
        <f ca="1">IF((OFFSET($A$1, 77 - 1, 52 - 1)) &gt;= (OFFSET($A$1, 73 - 1, 7 - 1)), "1","0")</f>
        <v>0</v>
      </c>
      <c r="BC77">
        <f ca="1" xml:space="preserve"> IF( AND( OFFSET($A$1, 77 - 1, 53 - 1) = "1", OFFSET($A$1, 77 - 1, 54 - 1) = "1" ), 1, IF( AND( OFFSET($A$1, 77 - 1, 53 - 1) = "1", OFFSET($A$1, 77 - 1, 54 - 1) = "0" ), 2, IF( AND( OFFSET($A$1, 77 - 1, 53 - 1) = "0", OFFSET($A$1, 77 - 1, 54 - 1) = "1" ), 3, 4 ) ) )</f>
        <v>4</v>
      </c>
    </row>
    <row r="78" spans="2:60" x14ac:dyDescent="0.25">
      <c r="C78" s="4">
        <v>1</v>
      </c>
      <c r="D78" s="3">
        <f ca="1" xml:space="preserve"> COUNTIF( OFFSET($A$1, 1 - 1, 55 - 1, 106, 1), 1 )</f>
        <v>14</v>
      </c>
      <c r="E78" s="3">
        <f ca="1" xml:space="preserve"> COUNTIF( OFFSET($A$1, 1 - 1, 55 - 1, 106, 1), 2 )</f>
        <v>7</v>
      </c>
      <c r="AZ78" s="3">
        <v>1.4599400719354203E-2</v>
      </c>
      <c r="BA78" s="3" t="str">
        <f>"0"</f>
        <v>0</v>
      </c>
      <c r="BB78" t="str">
        <f ca="1">IF((OFFSET($A$1, 78 - 1, 52 - 1)) &gt;= (OFFSET($A$1, 73 - 1, 7 - 1)), "1","0")</f>
        <v>0</v>
      </c>
      <c r="BC78">
        <f ca="1" xml:space="preserve"> IF( AND( OFFSET($A$1, 78 - 1, 53 - 1) = "1", OFFSET($A$1, 78 - 1, 54 - 1) = "1" ), 1, IF( AND( OFFSET($A$1, 78 - 1, 53 - 1) = "1", OFFSET($A$1, 78 - 1, 54 - 1) = "0" ), 2, IF( AND( OFFSET($A$1, 78 - 1, 53 - 1) = "0", OFFSET($A$1, 78 - 1, 54 - 1) = "1" ), 3, 4 ) ) )</f>
        <v>4</v>
      </c>
    </row>
    <row r="79" spans="2:60" x14ac:dyDescent="0.25">
      <c r="C79" s="4">
        <v>0</v>
      </c>
      <c r="D79" s="3">
        <f ca="1" xml:space="preserve"> COUNTIF( OFFSET($A$1, 1 - 1, 55 - 1, 106, 1), 3 )</f>
        <v>5</v>
      </c>
      <c r="E79" s="3">
        <f ca="1" xml:space="preserve"> COUNTIF( OFFSET($A$1, 1 - 1, 55 - 1, 106, 1), 4 )</f>
        <v>79</v>
      </c>
      <c r="AZ79" s="3">
        <v>1.4599400719354203E-2</v>
      </c>
      <c r="BA79" s="3" t="str">
        <f>"0"</f>
        <v>0</v>
      </c>
      <c r="BB79" t="str">
        <f ca="1">IF((OFFSET($A$1, 79 - 1, 52 - 1)) &gt;= (OFFSET($A$1, 73 - 1, 7 - 1)), "1","0")</f>
        <v>0</v>
      </c>
      <c r="BC79">
        <f ca="1" xml:space="preserve"> IF( AND( OFFSET($A$1, 79 - 1, 53 - 1) = "1", OFFSET($A$1, 79 - 1, 54 - 1) = "1" ), 1, IF( AND( OFFSET($A$1, 79 - 1, 53 - 1) = "1", OFFSET($A$1, 79 - 1, 54 - 1) = "0" ), 2, IF( AND( OFFSET($A$1, 79 - 1, 53 - 1) = "0", OFFSET($A$1, 79 - 1, 54 - 1) = "1" ), 3, 4 ) ) )</f>
        <v>4</v>
      </c>
    </row>
    <row r="80" spans="2:60" x14ac:dyDescent="0.25">
      <c r="AZ80" s="3">
        <v>0.36783741989417773</v>
      </c>
      <c r="BA80" s="3" t="str">
        <f>"1"</f>
        <v>1</v>
      </c>
      <c r="BB80" t="str">
        <f ca="1">IF((OFFSET($A$1, 80 - 1, 52 - 1)) &gt;= (OFFSET($A$1, 73 - 1, 7 - 1)), "1","0")</f>
        <v>0</v>
      </c>
      <c r="BC80">
        <f ca="1" xml:space="preserve"> IF( AND( OFFSET($A$1, 80 - 1, 53 - 1) = "1", OFFSET($A$1, 80 - 1, 54 - 1) = "1" ), 1, IF( AND( OFFSET($A$1, 80 - 1, 53 - 1) = "1", OFFSET($A$1, 80 - 1, 54 - 1) = "0" ), 2, IF( AND( OFFSET($A$1, 80 - 1, 53 - 1) = "0", OFFSET($A$1, 80 - 1, 54 - 1) = "1" ), 3, 4 ) ) )</f>
        <v>2</v>
      </c>
    </row>
    <row r="81" spans="2:55" ht="15.75" x14ac:dyDescent="0.25">
      <c r="C81" s="6" t="s">
        <v>334</v>
      </c>
      <c r="D81" s="7"/>
      <c r="E81" s="7"/>
      <c r="F81" s="8"/>
      <c r="AZ81" s="3">
        <v>4.7061241626921574E-3</v>
      </c>
      <c r="BA81" s="3" t="str">
        <f>"0"</f>
        <v>0</v>
      </c>
      <c r="BB81" t="str">
        <f ca="1">IF((OFFSET($A$1, 81 - 1, 52 - 1)) &gt;= (OFFSET($A$1, 73 - 1, 7 - 1)), "1","0")</f>
        <v>0</v>
      </c>
      <c r="BC81">
        <f ca="1" xml:space="preserve"> IF( AND( OFFSET($A$1, 81 - 1, 53 - 1) = "1", OFFSET($A$1, 81 - 1, 54 - 1) = "1" ), 1, IF( AND( OFFSET($A$1, 81 - 1, 53 - 1) = "1", OFFSET($A$1, 81 - 1, 54 - 1) = "0" ), 2, IF( AND( OFFSET($A$1, 81 - 1, 53 - 1) = "0", OFFSET($A$1, 81 - 1, 54 - 1) = "1" ), 3, 4 ) ) )</f>
        <v>4</v>
      </c>
    </row>
    <row r="82" spans="2:55" x14ac:dyDescent="0.25">
      <c r="C82" s="5" t="s">
        <v>294</v>
      </c>
      <c r="D82" s="5" t="s">
        <v>335</v>
      </c>
      <c r="E82" s="5" t="s">
        <v>336</v>
      </c>
      <c r="F82" s="5" t="s">
        <v>337</v>
      </c>
      <c r="AZ82" s="3">
        <v>1.3112325448542921E-2</v>
      </c>
      <c r="BA82" s="3" t="str">
        <f>"0"</f>
        <v>0</v>
      </c>
      <c r="BB82" t="str">
        <f ca="1">IF((OFFSET($A$1, 82 - 1, 52 - 1)) &gt;= (OFFSET($A$1, 73 - 1, 7 - 1)), "1","0")</f>
        <v>0</v>
      </c>
      <c r="BC82">
        <f ca="1" xml:space="preserve"> IF( AND( OFFSET($A$1, 82 - 1, 53 - 1) = "1", OFFSET($A$1, 82 - 1, 54 - 1) = "1" ), 1, IF( AND( OFFSET($A$1, 82 - 1, 53 - 1) = "1", OFFSET($A$1, 82 - 1, 54 - 1) = "0" ), 2, IF( AND( OFFSET($A$1, 82 - 1, 53 - 1) = "0", OFFSET($A$1, 82 - 1, 54 - 1) = "1" ), 3, 4 ) ) )</f>
        <v>4</v>
      </c>
    </row>
    <row r="83" spans="2:55" x14ac:dyDescent="0.25">
      <c r="C83" s="4">
        <v>1</v>
      </c>
      <c r="D83" s="3">
        <f ca="1">SUM(OFFSET($A$1, 78 - 1, 4 - 1, 1, 2))</f>
        <v>21</v>
      </c>
      <c r="E83" s="3">
        <f ca="1">SUM(OFFSET($A$1, 78 - 1, 4 - 1, 1, 2)) - OFFSET($A$1, 78 - 1, 4 - 1)</f>
        <v>7</v>
      </c>
      <c r="F83" s="3">
        <f ca="1">IF(OFFSET($A$1, 83 - 1, 4 - 1)=0,"Undefined",((OFFSET($A$1, 83 - 1, 5 - 1))*100) / (OFFSET($A$1, 83 - 1, 4 - 1)))</f>
        <v>33.333333333333336</v>
      </c>
      <c r="AZ83" s="3">
        <v>3.5990929333768816E-2</v>
      </c>
      <c r="BA83" s="3" t="str">
        <f>"0"</f>
        <v>0</v>
      </c>
      <c r="BB83" t="str">
        <f ca="1">IF((OFFSET($A$1, 83 - 1, 52 - 1)) &gt;= (OFFSET($A$1, 73 - 1, 7 - 1)), "1","0")</f>
        <v>0</v>
      </c>
      <c r="BC83">
        <f ca="1" xml:space="preserve"> IF( AND( OFFSET($A$1, 83 - 1, 53 - 1) = "1", OFFSET($A$1, 83 - 1, 54 - 1) = "1" ), 1, IF( AND( OFFSET($A$1, 83 - 1, 53 - 1) = "1", OFFSET($A$1, 83 - 1, 54 - 1) = "0" ), 2, IF( AND( OFFSET($A$1, 83 - 1, 53 - 1) = "0", OFFSET($A$1, 83 - 1, 54 - 1) = "1" ), 3, 4 ) ) )</f>
        <v>4</v>
      </c>
    </row>
    <row r="84" spans="2:55" x14ac:dyDescent="0.25">
      <c r="C84" s="4">
        <v>0</v>
      </c>
      <c r="D84" s="3">
        <f ca="1">SUM(OFFSET($A$1, 79 - 1, 4 - 1, 1, 2))</f>
        <v>84</v>
      </c>
      <c r="E84" s="3">
        <f ca="1">SUM(OFFSET($A$1, 79 - 1, 4 - 1, 1, 2)) - OFFSET($A$1, 79 - 1, 5 - 1)</f>
        <v>5</v>
      </c>
      <c r="F84" s="3">
        <f ca="1">IF(OFFSET($A$1, 84 - 1, 4 - 1)=0,"Undefined",((OFFSET($A$1, 84 - 1, 5 - 1))*100) / (OFFSET($A$1, 84 - 1, 4 - 1)))</f>
        <v>5.9523809523809526</v>
      </c>
      <c r="AZ84" s="3">
        <v>0.39351286097555477</v>
      </c>
      <c r="BA84" s="3" t="str">
        <f>"0"</f>
        <v>0</v>
      </c>
      <c r="BB84" t="str">
        <f ca="1">IF((OFFSET($A$1, 84 - 1, 52 - 1)) &gt;= (OFFSET($A$1, 73 - 1, 7 - 1)), "1","0")</f>
        <v>0</v>
      </c>
      <c r="BC84">
        <f ca="1" xml:space="preserve"> IF( AND( OFFSET($A$1, 84 - 1, 53 - 1) = "1", OFFSET($A$1, 84 - 1, 54 - 1) = "1" ), 1, IF( AND( OFFSET($A$1, 84 - 1, 53 - 1) = "1", OFFSET($A$1, 84 - 1, 54 - 1) = "0" ), 2, IF( AND( OFFSET($A$1, 84 - 1, 53 - 1) = "0", OFFSET($A$1, 84 - 1, 54 - 1) = "1" ), 3, 4 ) ) )</f>
        <v>4</v>
      </c>
    </row>
    <row r="85" spans="2:55" x14ac:dyDescent="0.25">
      <c r="C85" s="4" t="s">
        <v>338</v>
      </c>
      <c r="D85" s="3">
        <f ca="1">SUM(OFFSET($A$1, 83 - 1, 4 - 1, 2, 1))</f>
        <v>105</v>
      </c>
      <c r="E85" s="3">
        <f ca="1">SUM(OFFSET($A$1, 83 - 1, 5 - 1, 2, 1))</f>
        <v>12</v>
      </c>
      <c r="F85" s="3">
        <f ca="1">IF(OFFSET($A$1, 85 - 1, 4 - 1)=0,"Undefined",((OFFSET($A$1, 85 - 1, 5 - 1))*100) / (OFFSET($A$1, 85 - 1, 4 - 1)))</f>
        <v>11.428571428571429</v>
      </c>
      <c r="AZ85" s="3">
        <v>0.67029858559512201</v>
      </c>
      <c r="BA85" s="3" t="str">
        <f>"1"</f>
        <v>1</v>
      </c>
      <c r="BB85" t="str">
        <f ca="1">IF((OFFSET($A$1, 85 - 1, 52 - 1)) &gt;= (OFFSET($A$1, 73 - 1, 7 - 1)), "1","0")</f>
        <v>1</v>
      </c>
      <c r="BC85">
        <f ca="1" xml:space="preserve"> IF( AND( OFFSET($A$1, 85 - 1, 53 - 1) = "1", OFFSET($A$1, 85 - 1, 54 - 1) = "1" ), 1, IF( AND( OFFSET($A$1, 85 - 1, 53 - 1) = "1", OFFSET($A$1, 85 - 1, 54 - 1) = "0" ), 2, IF( AND( OFFSET($A$1, 85 - 1, 53 - 1) = "0", OFFSET($A$1, 85 - 1, 54 - 1) = "1" ), 3, 4 ) ) )</f>
        <v>1</v>
      </c>
    </row>
    <row r="86" spans="2:55" x14ac:dyDescent="0.25">
      <c r="AZ86" s="3">
        <v>1.3112325448542921E-2</v>
      </c>
      <c r="BA86" s="3" t="str">
        <f>"0"</f>
        <v>0</v>
      </c>
      <c r="BB86" t="str">
        <f ca="1">IF((OFFSET($A$1, 86 - 1, 52 - 1)) &gt;= (OFFSET($A$1, 73 - 1, 7 - 1)), "1","0")</f>
        <v>0</v>
      </c>
      <c r="BC86">
        <f ca="1" xml:space="preserve"> IF( AND( OFFSET($A$1, 86 - 1, 53 - 1) = "1", OFFSET($A$1, 86 - 1, 54 - 1) = "1" ), 1, IF( AND( OFFSET($A$1, 86 - 1, 53 - 1) = "1", OFFSET($A$1, 86 - 1, 54 - 1) = "0" ), 2, IF( AND( OFFSET($A$1, 86 - 1, 53 - 1) = "0", OFFSET($A$1, 86 - 1, 54 - 1) = "1" ), 3, 4 ) ) )</f>
        <v>4</v>
      </c>
    </row>
    <row r="87" spans="2:55" ht="15.75" x14ac:dyDescent="0.25">
      <c r="C87" s="6" t="s">
        <v>339</v>
      </c>
      <c r="D87" s="7"/>
      <c r="E87" s="8"/>
      <c r="AZ87" s="3">
        <v>3.9967597583531363E-2</v>
      </c>
      <c r="BA87" s="3" t="str">
        <f>"0"</f>
        <v>0</v>
      </c>
      <c r="BB87" t="str">
        <f ca="1">IF((OFFSET($A$1, 87 - 1, 52 - 1)) &gt;= (OFFSET($A$1, 73 - 1, 7 - 1)), "1","0")</f>
        <v>0</v>
      </c>
      <c r="BC87">
        <f ca="1" xml:space="preserve"> IF( AND( OFFSET($A$1, 87 - 1, 53 - 1) = "1", OFFSET($A$1, 87 - 1, 54 - 1) = "1" ), 1, IF( AND( OFFSET($A$1, 87 - 1, 53 - 1) = "1", OFFSET($A$1, 87 - 1, 54 - 1) = "0" ), 2, IF( AND( OFFSET($A$1, 87 - 1, 53 - 1) = "0", OFFSET($A$1, 87 - 1, 54 - 1) = "1" ), 3, 4 ) ) )</f>
        <v>4</v>
      </c>
    </row>
    <row r="88" spans="2:55" x14ac:dyDescent="0.25">
      <c r="C88" s="9" t="s">
        <v>340</v>
      </c>
      <c r="D88" s="11"/>
      <c r="E88" s="22">
        <v>1</v>
      </c>
      <c r="AZ88" s="3">
        <v>0.31308174134100825</v>
      </c>
      <c r="BA88" s="3" t="str">
        <f>"0"</f>
        <v>0</v>
      </c>
      <c r="BB88" t="str">
        <f ca="1">IF((OFFSET($A$1, 88 - 1, 52 - 1)) &gt;= (OFFSET($A$1, 73 - 1, 7 - 1)), "1","0")</f>
        <v>0</v>
      </c>
      <c r="BC88">
        <f ca="1" xml:space="preserve"> IF( AND( OFFSET($A$1, 88 - 1, 53 - 1) = "1", OFFSET($A$1, 88 - 1, 54 - 1) = "1" ), 1, IF( AND( OFFSET($A$1, 88 - 1, 53 - 1) = "1", OFFSET($A$1, 88 - 1, 54 - 1) = "0" ), 2, IF( AND( OFFSET($A$1, 88 - 1, 53 - 1) = "0", OFFSET($A$1, 88 - 1, 54 - 1) = "1" ), 3, 4 ) ) )</f>
        <v>4</v>
      </c>
    </row>
    <row r="89" spans="2:55" x14ac:dyDescent="0.25">
      <c r="C89" s="9" t="s">
        <v>341</v>
      </c>
      <c r="D89" s="11"/>
      <c r="E89" s="22">
        <f ca="1">IF((OFFSET($A$1, 78 - 1, 4 - 1) + OFFSET($A$1, 79 - 1, 4 - 1)) = 0,"Undefined",OFFSET($A$1, 78 - 1, 4 - 1)/(OFFSET($A$1, 78 - 1, 4 - 1) + OFFSET($A$1, 79 - 1, 4 - 1)))</f>
        <v>0.73684210526315785</v>
      </c>
      <c r="AZ89" s="3">
        <v>0.36783741989417773</v>
      </c>
      <c r="BA89" s="3" t="str">
        <f>"0"</f>
        <v>0</v>
      </c>
      <c r="BB89" t="str">
        <f ca="1">IF((OFFSET($A$1, 89 - 1, 52 - 1)) &gt;= (OFFSET($A$1, 73 - 1, 7 - 1)), "1","0")</f>
        <v>0</v>
      </c>
      <c r="BC89">
        <f ca="1" xml:space="preserve"> IF( AND( OFFSET($A$1, 89 - 1, 53 - 1) = "1", OFFSET($A$1, 89 - 1, 54 - 1) = "1" ), 1, IF( AND( OFFSET($A$1, 89 - 1, 53 - 1) = "1", OFFSET($A$1, 89 - 1, 54 - 1) = "0" ), 2, IF( AND( OFFSET($A$1, 89 - 1, 53 - 1) = "0", OFFSET($A$1, 89 - 1, 54 - 1) = "1" ), 3, 4 ) ) )</f>
        <v>4</v>
      </c>
    </row>
    <row r="90" spans="2:55" x14ac:dyDescent="0.25">
      <c r="C90" s="9" t="s">
        <v>342</v>
      </c>
      <c r="D90" s="11"/>
      <c r="E90" s="22">
        <f ca="1">IF((OFFSET($A$1, 78 - 1, 4 - 1) + OFFSET($A$1, 78 - 1, 5 - 1)) = 0,"Undefined",OFFSET($A$1, 78 - 1, 4 - 1)/(OFFSET($A$1, 78 - 1, 4 - 1) + OFFSET($A$1, 78 - 1, 5 - 1)))</f>
        <v>0.66666666666666663</v>
      </c>
      <c r="AZ90" s="3">
        <v>0.62049840743522267</v>
      </c>
      <c r="BA90" s="3" t="str">
        <f>"1"</f>
        <v>1</v>
      </c>
      <c r="BB90" t="str">
        <f ca="1">IF((OFFSET($A$1, 90 - 1, 52 - 1)) &gt;= (OFFSET($A$1, 73 - 1, 7 - 1)), "1","0")</f>
        <v>1</v>
      </c>
      <c r="BC90">
        <f ca="1" xml:space="preserve"> IF( AND( OFFSET($A$1, 90 - 1, 53 - 1) = "1", OFFSET($A$1, 90 - 1, 54 - 1) = "1" ), 1, IF( AND( OFFSET($A$1, 90 - 1, 53 - 1) = "1", OFFSET($A$1, 90 - 1, 54 - 1) = "0" ), 2, IF( AND( OFFSET($A$1, 90 - 1, 53 - 1) = "0", OFFSET($A$1, 90 - 1, 54 - 1) = "1" ), 3, 4 ) ) )</f>
        <v>1</v>
      </c>
    </row>
    <row r="91" spans="2:55" x14ac:dyDescent="0.25">
      <c r="C91" s="9" t="s">
        <v>343</v>
      </c>
      <c r="D91" s="11"/>
      <c r="E91" s="22">
        <f ca="1">IF((OFFSET($A$1, 79 - 1, 4 - 1) + OFFSET($A$1, 79 - 1, 5 - 1)) = 0,"Undefined",OFFSET($A$1, 79 - 1, 5 - 1)/(OFFSET($A$1, 79 - 1, 4 - 1) + OFFSET($A$1, 79 - 1, 5 - 1)))</f>
        <v>0.94047619047619047</v>
      </c>
      <c r="AZ91" s="3">
        <v>8.3003667265397815E-3</v>
      </c>
      <c r="BA91" s="3" t="str">
        <f>"0"</f>
        <v>0</v>
      </c>
      <c r="BB91" t="str">
        <f ca="1">IF((OFFSET($A$1, 91 - 1, 52 - 1)) &gt;= (OFFSET($A$1, 73 - 1, 7 - 1)), "1","0")</f>
        <v>0</v>
      </c>
      <c r="BC91">
        <f ca="1" xml:space="preserve"> IF( AND( OFFSET($A$1, 91 - 1, 53 - 1) = "1", OFFSET($A$1, 91 - 1, 54 - 1) = "1" ), 1, IF( AND( OFFSET($A$1, 91 - 1, 53 - 1) = "1", OFFSET($A$1, 91 - 1, 54 - 1) = "0" ), 2, IF( AND( OFFSET($A$1, 91 - 1, 53 - 1) = "0", OFFSET($A$1, 91 - 1, 54 - 1) = "1" ), 3, 4 ) ) )</f>
        <v>4</v>
      </c>
    </row>
    <row r="92" spans="2:55" x14ac:dyDescent="0.25">
      <c r="C92" s="9" t="s">
        <v>344</v>
      </c>
      <c r="D92" s="11"/>
      <c r="E92" s="22">
        <f ca="1">IF(OR(OFFSET($A$1, 89 - 1, 5 - 1)="Undefined",OFFSET($A$1, 90 - 1, 5 - 1)="Undefined"),"Undefined",IF((OFFSET($A$1, 89 - 1, 5 - 1) + OFFSET($A$1, 90 - 1, 5 - 1))=0,"Undefined",2*OFFSET($A$1, 89 - 1, 5 - 1)*OFFSET($A$1, 90 - 1, 5 - 1)/(OFFSET($A$1, 89 - 1, 5 - 1)+OFFSET($A$1, 90 - 1, 5 - 1))))</f>
        <v>0.7</v>
      </c>
      <c r="AZ92" s="3">
        <v>1.4599400719354203E-2</v>
      </c>
      <c r="BA92" s="3" t="str">
        <f>"0"</f>
        <v>0</v>
      </c>
      <c r="BB92" t="str">
        <f ca="1">IF((OFFSET($A$1, 92 - 1, 52 - 1)) &gt;= (OFFSET($A$1, 73 - 1, 7 - 1)), "1","0")</f>
        <v>0</v>
      </c>
      <c r="BC92">
        <f ca="1" xml:space="preserve"> IF( AND( OFFSET($A$1, 92 - 1, 53 - 1) = "1", OFFSET($A$1, 92 - 1, 54 - 1) = "1" ), 1, IF( AND( OFFSET($A$1, 92 - 1, 53 - 1) = "1", OFFSET($A$1, 92 - 1, 54 - 1) = "0" ), 2, IF( AND( OFFSET($A$1, 92 - 1, 53 - 1) = "0", OFFSET($A$1, 92 - 1, 54 - 1) = "1" ), 3, 4 ) ) )</f>
        <v>4</v>
      </c>
    </row>
    <row r="93" spans="2:55" x14ac:dyDescent="0.25">
      <c r="AZ93" s="3">
        <v>0.2682297773834319</v>
      </c>
      <c r="BA93" s="3" t="str">
        <f>"0"</f>
        <v>0</v>
      </c>
      <c r="BB93" t="str">
        <f ca="1">IF((OFFSET($A$1, 93 - 1, 52 - 1)) &gt;= (OFFSET($A$1, 73 - 1, 7 - 1)), "1","0")</f>
        <v>0</v>
      </c>
      <c r="BC93">
        <f ca="1" xml:space="preserve"> IF( AND( OFFSET($A$1, 93 - 1, 53 - 1) = "1", OFFSET($A$1, 93 - 1, 54 - 1) = "1" ), 1, IF( AND( OFFSET($A$1, 93 - 1, 53 - 1) = "1", OFFSET($A$1, 93 - 1, 54 - 1) = "0" ), 2, IF( AND( OFFSET($A$1, 93 - 1, 53 - 1) = "0", OFFSET($A$1, 93 - 1, 54 - 1) = "1" ), 3, 4 ) ) )</f>
        <v>4</v>
      </c>
    </row>
    <row r="94" spans="2:55" x14ac:dyDescent="0.25">
      <c r="AZ94" s="3">
        <v>0.39351286097555477</v>
      </c>
      <c r="BA94" s="3" t="str">
        <f>"0"</f>
        <v>0</v>
      </c>
      <c r="BB94" t="str">
        <f ca="1">IF((OFFSET($A$1, 94 - 1, 52 - 1)) &gt;= (OFFSET($A$1, 73 - 1, 7 - 1)), "1","0")</f>
        <v>0</v>
      </c>
      <c r="BC94">
        <f ca="1" xml:space="preserve"> IF( AND( OFFSET($A$1, 94 - 1, 53 - 1) = "1", OFFSET($A$1, 94 - 1, 54 - 1) = "1" ), 1, IF( AND( OFFSET($A$1, 94 - 1, 53 - 1) = "1", OFFSET($A$1, 94 - 1, 54 - 1) = "0" ), 2, IF( AND( OFFSET($A$1, 94 - 1, 53 - 1) = "0", OFFSET($A$1, 94 - 1, 54 - 1) = "1" ), 3, 4 ) ) )</f>
        <v>4</v>
      </c>
    </row>
    <row r="95" spans="2:55" ht="18.75" x14ac:dyDescent="0.3">
      <c r="B95" s="21" t="s">
        <v>345</v>
      </c>
      <c r="AZ95" s="3">
        <v>0.91001011394916054</v>
      </c>
      <c r="BA95" s="3" t="str">
        <f>"1"</f>
        <v>1</v>
      </c>
      <c r="BB95" t="str">
        <f ca="1">IF((OFFSET($A$1, 95 - 1, 52 - 1)) &gt;= (OFFSET($A$1, 73 - 1, 7 - 1)), "1","0")</f>
        <v>1</v>
      </c>
      <c r="BC95">
        <f ca="1" xml:space="preserve"> IF( AND( OFFSET($A$1, 95 - 1, 53 - 1) = "1", OFFSET($A$1, 95 - 1, 54 - 1) = "1" ), 1, IF( AND( OFFSET($A$1, 95 - 1, 53 - 1) = "1", OFFSET($A$1, 95 - 1, 54 - 1) = "0" ), 2, IF( AND( OFFSET($A$1, 95 - 1, 53 - 1) = "0", OFFSET($A$1, 95 - 1, 54 - 1) = "1" ), 3, 4 ) ) )</f>
        <v>1</v>
      </c>
    </row>
    <row r="96" spans="2:55" x14ac:dyDescent="0.25">
      <c r="AZ96" s="3">
        <v>1.4599400719354203E-2</v>
      </c>
      <c r="BA96" s="3" t="str">
        <f>"0"</f>
        <v>0</v>
      </c>
      <c r="BB96" t="str">
        <f ca="1">IF((OFFSET($A$1, 96 - 1, 52 - 1)) &gt;= (OFFSET($A$1, 73 - 1, 7 - 1)), "1","0")</f>
        <v>0</v>
      </c>
      <c r="BC96">
        <f ca="1" xml:space="preserve"> IF( AND( OFFSET($A$1, 96 - 1, 53 - 1) = "1", OFFSET($A$1, 96 - 1, 54 - 1) = "1" ), 1, IF( AND( OFFSET($A$1, 96 - 1, 53 - 1) = "1", OFFSET($A$1, 96 - 1, 54 - 1) = "0" ), 2, IF( AND( OFFSET($A$1, 96 - 1, 53 - 1) = "0", OFFSET($A$1, 96 - 1, 54 - 1) = "1" ), 3, 4 ) ) )</f>
        <v>4</v>
      </c>
    </row>
    <row r="97" spans="3:55" x14ac:dyDescent="0.25">
      <c r="C97" s="36" t="s">
        <v>329</v>
      </c>
      <c r="D97" s="37"/>
      <c r="E97" s="37"/>
      <c r="F97" s="38"/>
      <c r="G97" s="26">
        <v>0.5</v>
      </c>
      <c r="H97" s="36" t="s">
        <v>330</v>
      </c>
      <c r="I97" s="37"/>
      <c r="J97" s="37"/>
      <c r="K97" s="37"/>
      <c r="L97" s="37"/>
      <c r="M97" s="38"/>
      <c r="AZ97" s="3">
        <v>7.5934671623267821E-2</v>
      </c>
      <c r="BA97" s="3" t="str">
        <f>"0"</f>
        <v>0</v>
      </c>
      <c r="BB97" t="str">
        <f ca="1">IF((OFFSET($A$1, 97 - 1, 52 - 1)) &gt;= (OFFSET($A$1, 73 - 1, 7 - 1)), "1","0")</f>
        <v>0</v>
      </c>
      <c r="BC97">
        <f ca="1" xml:space="preserve"> IF( AND( OFFSET($A$1, 97 - 1, 53 - 1) = "1", OFFSET($A$1, 97 - 1, 54 - 1) = "1" ), 1, IF( AND( OFFSET($A$1, 97 - 1, 53 - 1) = "1", OFFSET($A$1, 97 - 1, 54 - 1) = "0" ), 2, IF( AND( OFFSET($A$1, 97 - 1, 53 - 1) = "0", OFFSET($A$1, 97 - 1, 54 - 1) = "1" ), 3, 4 ) ) )</f>
        <v>4</v>
      </c>
    </row>
    <row r="98" spans="3:55" x14ac:dyDescent="0.25">
      <c r="AZ98" s="3">
        <v>6.1990381774628532E-2</v>
      </c>
      <c r="BA98" s="3" t="str">
        <f>"0"</f>
        <v>0</v>
      </c>
      <c r="BB98" t="str">
        <f ca="1">IF((OFFSET($A$1, 98 - 1, 52 - 1)) &gt;= (OFFSET($A$1, 73 - 1, 7 - 1)), "1","0")</f>
        <v>0</v>
      </c>
      <c r="BC98">
        <f ca="1" xml:space="preserve"> IF( AND( OFFSET($A$1, 98 - 1, 53 - 1) = "1", OFFSET($A$1, 98 - 1, 54 - 1) = "1" ), 1, IF( AND( OFFSET($A$1, 98 - 1, 53 - 1) = "1", OFFSET($A$1, 98 - 1, 54 - 1) = "0" ), 2, IF( AND( OFFSET($A$1, 98 - 1, 53 - 1) = "0", OFFSET($A$1, 98 - 1, 54 - 1) = "1" ), 3, 4 ) ) )</f>
        <v>4</v>
      </c>
    </row>
    <row r="99" spans="3:55" ht="15.75" x14ac:dyDescent="0.25">
      <c r="C99" s="6" t="s">
        <v>331</v>
      </c>
      <c r="D99" s="7"/>
      <c r="E99" s="8"/>
      <c r="AZ99" s="3">
        <v>5.5950208335353399E-2</v>
      </c>
      <c r="BA99" s="3" t="str">
        <f>"0"</f>
        <v>0</v>
      </c>
      <c r="BB99" t="str">
        <f ca="1">IF((OFFSET($A$1, 99 - 1, 52 - 1)) &gt;= (OFFSET($A$1, 73 - 1, 7 - 1)), "1","0")</f>
        <v>0</v>
      </c>
      <c r="BC99">
        <f ca="1" xml:space="preserve"> IF( AND( OFFSET($A$1, 99 - 1, 53 - 1) = "1", OFFSET($A$1, 99 - 1, 54 - 1) = "1" ), 1, IF( AND( OFFSET($A$1, 99 - 1, 53 - 1) = "1", OFFSET($A$1, 99 - 1, 54 - 1) = "0" ), 2, IF( AND( OFFSET($A$1, 99 - 1, 53 - 1) = "0", OFFSET($A$1, 99 - 1, 54 - 1) = "1" ), 3, 4 ) ) )</f>
        <v>4</v>
      </c>
    </row>
    <row r="100" spans="3:55" x14ac:dyDescent="0.25">
      <c r="C100" s="5"/>
      <c r="D100" s="39" t="s">
        <v>332</v>
      </c>
      <c r="E100" s="40"/>
      <c r="AZ100" s="3">
        <v>0.90068175015654606</v>
      </c>
      <c r="BA100" s="3" t="str">
        <f>"1"</f>
        <v>1</v>
      </c>
      <c r="BB100" t="str">
        <f ca="1">IF((OFFSET($A$1, 100 - 1, 52 - 1)) &gt;= (OFFSET($A$1, 73 - 1, 7 - 1)), "1","0")</f>
        <v>1</v>
      </c>
      <c r="BC100">
        <f ca="1" xml:space="preserve"> IF( AND( OFFSET($A$1, 100 - 1, 53 - 1) = "1", OFFSET($A$1, 100 - 1, 54 - 1) = "1" ), 1, IF( AND( OFFSET($A$1, 100 - 1, 53 - 1) = "1", OFFSET($A$1, 100 - 1, 54 - 1) = "0" ), 2, IF( AND( OFFSET($A$1, 100 - 1, 53 - 1) = "0", OFFSET($A$1, 100 - 1, 54 - 1) = "1" ), 3, 4 ) ) )</f>
        <v>1</v>
      </c>
    </row>
    <row r="101" spans="3:55" x14ac:dyDescent="0.25">
      <c r="C101" s="4" t="s">
        <v>333</v>
      </c>
      <c r="D101" s="5">
        <v>1</v>
      </c>
      <c r="E101" s="5">
        <v>0</v>
      </c>
      <c r="AZ101" s="3">
        <v>3.5990929333768816E-2</v>
      </c>
      <c r="BA101" s="3" t="str">
        <f>"0"</f>
        <v>0</v>
      </c>
      <c r="BB101" t="str">
        <f ca="1">IF((OFFSET($A$1, 101 - 1, 52 - 1)) &gt;= (OFFSET($A$1, 73 - 1, 7 - 1)), "1","0")</f>
        <v>0</v>
      </c>
      <c r="BC101">
        <f ca="1" xml:space="preserve"> IF( AND( OFFSET($A$1, 101 - 1, 53 - 1) = "1", OFFSET($A$1, 101 - 1, 54 - 1) = "1" ), 1, IF( AND( OFFSET($A$1, 101 - 1, 53 - 1) = "1", OFFSET($A$1, 101 - 1, 54 - 1) = "0" ), 2, IF( AND( OFFSET($A$1, 101 - 1, 53 - 1) = "0", OFFSET($A$1, 101 - 1, 54 - 1) = "1" ), 3, 4 ) ) )</f>
        <v>4</v>
      </c>
    </row>
    <row r="102" spans="3:55" x14ac:dyDescent="0.25">
      <c r="C102" s="4">
        <v>1</v>
      </c>
      <c r="D102" s="3">
        <f ca="1" xml:space="preserve"> COUNTIF( OFFSET($A$1, 1 - 1, 60 - 1, 67, 1), 1 )</f>
        <v>2</v>
      </c>
      <c r="E102" s="3">
        <f ca="1" xml:space="preserve"> COUNTIF( OFFSET($A$1, 1 - 1, 60 - 1, 67, 1), 2 )</f>
        <v>7</v>
      </c>
      <c r="AZ102" s="3">
        <v>1.4599400719354203E-2</v>
      </c>
      <c r="BA102" s="3" t="str">
        <f>"0"</f>
        <v>0</v>
      </c>
      <c r="BB102" t="str">
        <f ca="1">IF((OFFSET($A$1, 102 - 1, 52 - 1)) &gt;= (OFFSET($A$1, 73 - 1, 7 - 1)), "1","0")</f>
        <v>0</v>
      </c>
      <c r="BC102">
        <f ca="1" xml:space="preserve"> IF( AND( OFFSET($A$1, 102 - 1, 53 - 1) = "1", OFFSET($A$1, 102 - 1, 54 - 1) = "1" ), 1, IF( AND( OFFSET($A$1, 102 - 1, 53 - 1) = "1", OFFSET($A$1, 102 - 1, 54 - 1) = "0" ), 2, IF( AND( OFFSET($A$1, 102 - 1, 53 - 1) = "0", OFFSET($A$1, 102 - 1, 54 - 1) = "1" ), 3, 4 ) ) )</f>
        <v>4</v>
      </c>
    </row>
    <row r="103" spans="3:55" x14ac:dyDescent="0.25">
      <c r="C103" s="4">
        <v>0</v>
      </c>
      <c r="D103" s="3">
        <f ca="1" xml:space="preserve"> COUNTIF( OFFSET($A$1, 1 - 1, 60 - 1, 67, 1), 3 )</f>
        <v>3</v>
      </c>
      <c r="E103" s="3">
        <f ca="1" xml:space="preserve"> COUNTIF( OFFSET($A$1, 1 - 1, 60 - 1, 67, 1), 4 )</f>
        <v>54</v>
      </c>
      <c r="AZ103" s="3">
        <v>2.2978475151535619E-2</v>
      </c>
      <c r="BA103" s="3" t="str">
        <f>"0"</f>
        <v>0</v>
      </c>
      <c r="BB103" t="str">
        <f ca="1">IF((OFFSET($A$1, 103 - 1, 52 - 1)) &gt;= (OFFSET($A$1, 73 - 1, 7 - 1)), "1","0")</f>
        <v>0</v>
      </c>
      <c r="BC103">
        <f ca="1" xml:space="preserve"> IF( AND( OFFSET($A$1, 103 - 1, 53 - 1) = "1", OFFSET($A$1, 103 - 1, 54 - 1) = "1" ), 1, IF( AND( OFFSET($A$1, 103 - 1, 53 - 1) = "1", OFFSET($A$1, 103 - 1, 54 - 1) = "0" ), 2, IF( AND( OFFSET($A$1, 103 - 1, 53 - 1) = "0", OFFSET($A$1, 103 - 1, 54 - 1) = "1" ), 3, 4 ) ) )</f>
        <v>4</v>
      </c>
    </row>
    <row r="104" spans="3:55" x14ac:dyDescent="0.25">
      <c r="AZ104" s="3">
        <v>0.10473108520416485</v>
      </c>
      <c r="BA104" s="3" t="str">
        <f>"1"</f>
        <v>1</v>
      </c>
      <c r="BB104" t="str">
        <f ca="1">IF((OFFSET($A$1, 104 - 1, 52 - 1)) &gt;= (OFFSET($A$1, 73 - 1, 7 - 1)), "1","0")</f>
        <v>0</v>
      </c>
      <c r="BC104">
        <f ca="1" xml:space="preserve"> IF( AND( OFFSET($A$1, 104 - 1, 53 - 1) = "1", OFFSET($A$1, 104 - 1, 54 - 1) = "1" ), 1, IF( AND( OFFSET($A$1, 104 - 1, 53 - 1) = "1", OFFSET($A$1, 104 - 1, 54 - 1) = "0" ), 2, IF( AND( OFFSET($A$1, 104 - 1, 53 - 1) = "0", OFFSET($A$1, 104 - 1, 54 - 1) = "1" ), 3, 4 ) ) )</f>
        <v>2</v>
      </c>
    </row>
    <row r="105" spans="3:55" ht="15.75" x14ac:dyDescent="0.25">
      <c r="C105" s="6" t="s">
        <v>334</v>
      </c>
      <c r="D105" s="7"/>
      <c r="E105" s="7"/>
      <c r="F105" s="8"/>
      <c r="AZ105" s="3">
        <v>0.76344364285904009</v>
      </c>
      <c r="BA105" s="3" t="str">
        <f>"0"</f>
        <v>0</v>
      </c>
      <c r="BB105" t="str">
        <f ca="1">IF((OFFSET($A$1, 105 - 1, 52 - 1)) &gt;= (OFFSET($A$1, 73 - 1, 7 - 1)), "1","0")</f>
        <v>1</v>
      </c>
      <c r="BC105">
        <f ca="1" xml:space="preserve"> IF( AND( OFFSET($A$1, 105 - 1, 53 - 1) = "1", OFFSET($A$1, 105 - 1, 54 - 1) = "1" ), 1, IF( AND( OFFSET($A$1, 105 - 1, 53 - 1) = "1", OFFSET($A$1, 105 - 1, 54 - 1) = "0" ), 2, IF( AND( OFFSET($A$1, 105 - 1, 53 - 1) = "0", OFFSET($A$1, 105 - 1, 54 - 1) = "1" ), 3, 4 ) ) )</f>
        <v>3</v>
      </c>
    </row>
    <row r="106" spans="3:55" x14ac:dyDescent="0.25">
      <c r="C106" s="5" t="s">
        <v>294</v>
      </c>
      <c r="D106" s="5" t="s">
        <v>335</v>
      </c>
      <c r="E106" s="5" t="s">
        <v>336</v>
      </c>
      <c r="F106" s="5" t="s">
        <v>337</v>
      </c>
    </row>
    <row r="107" spans="3:55" x14ac:dyDescent="0.25">
      <c r="C107" s="4">
        <v>1</v>
      </c>
      <c r="D107" s="3">
        <f ca="1">SUM(OFFSET($A$1, 102 - 1, 4 - 1, 1, 2))</f>
        <v>9</v>
      </c>
      <c r="E107" s="3">
        <f ca="1">SUM(OFFSET($A$1, 102 - 1, 4 - 1, 1, 2)) - OFFSET($A$1, 102 - 1, 4 - 1)</f>
        <v>7</v>
      </c>
      <c r="F107" s="3">
        <f ca="1">IF(OFFSET($A$1, 107 - 1, 4 - 1)=0,"Undefined",((OFFSET($A$1, 107 - 1, 5 - 1))*100) / (OFFSET($A$1, 107 - 1, 4 - 1)))</f>
        <v>77.777777777777771</v>
      </c>
    </row>
    <row r="108" spans="3:55" x14ac:dyDescent="0.25">
      <c r="C108" s="4">
        <v>0</v>
      </c>
      <c r="D108" s="3">
        <f ca="1">SUM(OFFSET($A$1, 103 - 1, 4 - 1, 1, 2))</f>
        <v>57</v>
      </c>
      <c r="E108" s="3">
        <f ca="1">SUM(OFFSET($A$1, 103 - 1, 4 - 1, 1, 2)) - OFFSET($A$1, 103 - 1, 5 - 1)</f>
        <v>3</v>
      </c>
      <c r="F108" s="3">
        <f ca="1">IF(OFFSET($A$1, 108 - 1, 4 - 1)=0,"Undefined",((OFFSET($A$1, 108 - 1, 5 - 1))*100) / (OFFSET($A$1, 108 - 1, 4 - 1)))</f>
        <v>5.2631578947368425</v>
      </c>
    </row>
    <row r="109" spans="3:55" x14ac:dyDescent="0.25">
      <c r="C109" s="4" t="s">
        <v>338</v>
      </c>
      <c r="D109" s="3">
        <f ca="1">SUM(OFFSET($A$1, 107 - 1, 4 - 1, 2, 1))</f>
        <v>66</v>
      </c>
      <c r="E109" s="3">
        <f ca="1">SUM(OFFSET($A$1, 107 - 1, 5 - 1, 2, 1))</f>
        <v>10</v>
      </c>
      <c r="F109" s="3">
        <f ca="1">IF(OFFSET($A$1, 109 - 1, 4 - 1)=0,"Undefined",((OFFSET($A$1, 109 - 1, 5 - 1))*100) / (OFFSET($A$1, 109 - 1, 4 - 1)))</f>
        <v>15.151515151515152</v>
      </c>
    </row>
    <row r="111" spans="3:55" ht="15.75" x14ac:dyDescent="0.25">
      <c r="C111" s="6" t="s">
        <v>339</v>
      </c>
      <c r="D111" s="7"/>
      <c r="E111" s="8"/>
    </row>
    <row r="112" spans="3:55" x14ac:dyDescent="0.25">
      <c r="C112" s="9" t="s">
        <v>340</v>
      </c>
      <c r="D112" s="11"/>
      <c r="E112" s="22">
        <v>1</v>
      </c>
    </row>
    <row r="113" spans="3:5" x14ac:dyDescent="0.25">
      <c r="C113" s="9" t="s">
        <v>341</v>
      </c>
      <c r="D113" s="11"/>
      <c r="E113" s="22">
        <f ca="1">IF((OFFSET($A$1, 102 - 1, 4 - 1) + OFFSET($A$1, 103 - 1, 4 - 1)) = 0,"Undefined",OFFSET($A$1, 102 - 1, 4 - 1)/(OFFSET($A$1, 102 - 1, 4 - 1) + OFFSET($A$1, 103 - 1, 4 - 1)))</f>
        <v>0.4</v>
      </c>
    </row>
    <row r="114" spans="3:5" x14ac:dyDescent="0.25">
      <c r="C114" s="9" t="s">
        <v>342</v>
      </c>
      <c r="D114" s="11"/>
      <c r="E114" s="22">
        <f ca="1">IF((OFFSET($A$1, 102 - 1, 4 - 1) + OFFSET($A$1, 102 - 1, 5 - 1)) = 0,"Undefined",OFFSET($A$1, 102 - 1, 4 - 1)/(OFFSET($A$1, 102 - 1, 4 - 1) + OFFSET($A$1, 102 - 1, 5 - 1)))</f>
        <v>0.22222222222222221</v>
      </c>
    </row>
    <row r="115" spans="3:5" x14ac:dyDescent="0.25">
      <c r="C115" s="9" t="s">
        <v>343</v>
      </c>
      <c r="D115" s="11"/>
      <c r="E115" s="22">
        <f ca="1">IF((OFFSET($A$1, 103 - 1, 4 - 1) + OFFSET($A$1, 103 - 1, 5 - 1)) = 0,"Undefined",OFFSET($A$1, 103 - 1, 5 - 1)/(OFFSET($A$1, 103 - 1, 4 - 1) + OFFSET($A$1, 103 - 1, 5 - 1)))</f>
        <v>0.94736842105263153</v>
      </c>
    </row>
    <row r="116" spans="3:5" x14ac:dyDescent="0.25">
      <c r="C116" s="9" t="s">
        <v>344</v>
      </c>
      <c r="D116" s="11"/>
      <c r="E116" s="22">
        <f ca="1">IF(OR(OFFSET($A$1, 113 - 1, 5 - 1)="Undefined",OFFSET($A$1, 114 - 1, 5 - 1)="Undefined"),"Undefined",IF((OFFSET($A$1, 113 - 1, 5 - 1) + OFFSET($A$1, 114 - 1, 5 - 1))=0,"Undefined",2*OFFSET($A$1, 113 - 1, 5 - 1)*OFFSET($A$1, 114 - 1, 5 - 1)/(OFFSET($A$1, 113 - 1, 5 - 1)+OFFSET($A$1, 114 - 1, 5 - 1))))</f>
        <v>0.2857142857142857</v>
      </c>
    </row>
  </sheetData>
  <mergeCells count="80">
    <mergeCell ref="B3:M3"/>
    <mergeCell ref="P3:S3"/>
    <mergeCell ref="F4:G4"/>
    <mergeCell ref="H4:I4"/>
    <mergeCell ref="J4:K4"/>
    <mergeCell ref="L4:M4"/>
    <mergeCell ref="B5:C5"/>
    <mergeCell ref="D5:E5"/>
    <mergeCell ref="F5:G5"/>
    <mergeCell ref="H5:I5"/>
    <mergeCell ref="J5:K5"/>
    <mergeCell ref="L5:M5"/>
    <mergeCell ref="C113:D113"/>
    <mergeCell ref="C114:D114"/>
    <mergeCell ref="C115:D115"/>
    <mergeCell ref="C116:D116"/>
    <mergeCell ref="B4:C4"/>
    <mergeCell ref="D4:E4"/>
    <mergeCell ref="H97:M97"/>
    <mergeCell ref="C99:E99"/>
    <mergeCell ref="D100:E100"/>
    <mergeCell ref="C105:F105"/>
    <mergeCell ref="C111:E111"/>
    <mergeCell ref="C112:D112"/>
    <mergeCell ref="C88:D88"/>
    <mergeCell ref="C89:D89"/>
    <mergeCell ref="C90:D90"/>
    <mergeCell ref="C91:D91"/>
    <mergeCell ref="C92:D92"/>
    <mergeCell ref="C97:F97"/>
    <mergeCell ref="C73:F73"/>
    <mergeCell ref="H73:M73"/>
    <mergeCell ref="C75:E75"/>
    <mergeCell ref="D76:E76"/>
    <mergeCell ref="C81:F81"/>
    <mergeCell ref="C87:E87"/>
    <mergeCell ref="C39:G39"/>
    <mergeCell ref="C40:G40"/>
    <mergeCell ref="C45:G45"/>
    <mergeCell ref="C54:E54"/>
    <mergeCell ref="C56:D56"/>
    <mergeCell ref="E56:F56"/>
    <mergeCell ref="C33:G33"/>
    <mergeCell ref="C34:G34"/>
    <mergeCell ref="C35:G35"/>
    <mergeCell ref="C36:G36"/>
    <mergeCell ref="C37:G37"/>
    <mergeCell ref="C38:G38"/>
    <mergeCell ref="C31:F31"/>
    <mergeCell ref="G26:J26"/>
    <mergeCell ref="G27:J27"/>
    <mergeCell ref="G28:J28"/>
    <mergeCell ref="G29:J29"/>
    <mergeCell ref="G30:J30"/>
    <mergeCell ref="G31:J31"/>
    <mergeCell ref="C25:J25"/>
    <mergeCell ref="C26:F26"/>
    <mergeCell ref="C27:F27"/>
    <mergeCell ref="C28:F28"/>
    <mergeCell ref="C29:F29"/>
    <mergeCell ref="C30:F30"/>
    <mergeCell ref="C20:F20"/>
    <mergeCell ref="C21:D21"/>
    <mergeCell ref="C22:D22"/>
    <mergeCell ref="C23:D23"/>
    <mergeCell ref="E21:F21"/>
    <mergeCell ref="E23:F23"/>
    <mergeCell ref="C18:F18"/>
    <mergeCell ref="G13:K13"/>
    <mergeCell ref="G14:K14"/>
    <mergeCell ref="G15:K15"/>
    <mergeCell ref="G16:K16"/>
    <mergeCell ref="G17:K17"/>
    <mergeCell ref="G18:K18"/>
    <mergeCell ref="C12:K12"/>
    <mergeCell ref="C13:F13"/>
    <mergeCell ref="C14:F14"/>
    <mergeCell ref="C15:F15"/>
    <mergeCell ref="C16:F16"/>
    <mergeCell ref="C17:F17"/>
  </mergeCells>
  <hyperlinks>
    <hyperlink ref="B4" location="'LR_NewScore1'!$B$10:$B$10" display="New Data Detail Rpt."/>
    <hyperlink ref="D4" location="'LR_Output1'!$B$10:$B$10" display="Inputs"/>
    <hyperlink ref="F4" location="'LR_Output1'!$B$43:$B$43" display="Prior Class Prob."/>
    <hyperlink ref="H4" location="'LR_Output1'!$B$52:$B$52" display="Predictors"/>
    <hyperlink ref="J4" location="'LR_Output1'!$B$63:$B$63" display="Regress. Model"/>
    <hyperlink ref="L4" location="'LR_Output1'!$B$71:$B$71" display="Train. Score Summary"/>
    <hyperlink ref="B5" location="'LR_Output1'!$B$95:$B$95" display="Valid. Score Summary"/>
    <hyperlink ref="D5" location="'LR_TrainingLiftChart1'!$B$10:$B$10" display="Training Lift Chart"/>
    <hyperlink ref="F5" location="'LR_TrainingScore1'!$B$10:$B$10" display="Train. Score - Detailed Rep."/>
    <hyperlink ref="H5" location="'LR_ValidationLiftChart1'!$B$10:$B$10" display="Validation Lift Chart"/>
    <hyperlink ref="J5" location="'LR_ValidationScore1'!$B$10:$B$10" display="Valid. Score - Detailed Rep.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19"/>
  <sheetViews>
    <sheetView showGridLines="0" workbookViewId="0"/>
  </sheetViews>
  <sheetFormatPr defaultRowHeight="15" x14ac:dyDescent="0.25"/>
  <cols>
    <col min="16" max="16" width="13.28515625" bestFit="1" customWidth="1"/>
  </cols>
  <sheetData>
    <row r="1" spans="2:19" ht="18.75" x14ac:dyDescent="0.3">
      <c r="B1" s="2" t="s">
        <v>365</v>
      </c>
      <c r="N1" t="s">
        <v>369</v>
      </c>
    </row>
    <row r="3" spans="2:19" ht="15.75" x14ac:dyDescent="0.25">
      <c r="B3" s="6" t="s">
        <v>190</v>
      </c>
      <c r="C3" s="7"/>
      <c r="D3" s="7"/>
      <c r="E3" s="7"/>
      <c r="F3" s="7"/>
      <c r="G3" s="7"/>
      <c r="H3" s="7"/>
      <c r="I3" s="7"/>
      <c r="J3" s="7"/>
      <c r="K3" s="7"/>
      <c r="L3" s="7"/>
      <c r="M3" s="8"/>
      <c r="P3" s="6" t="s">
        <v>191</v>
      </c>
      <c r="Q3" s="7"/>
      <c r="R3" s="7"/>
      <c r="S3" s="8"/>
    </row>
    <row r="4" spans="2:19" x14ac:dyDescent="0.25">
      <c r="B4" s="18" t="s">
        <v>375</v>
      </c>
      <c r="C4" s="14"/>
      <c r="D4" s="18" t="s">
        <v>249</v>
      </c>
      <c r="E4" s="14"/>
      <c r="F4" s="18" t="s">
        <v>250</v>
      </c>
      <c r="G4" s="14"/>
      <c r="H4" s="18" t="s">
        <v>251</v>
      </c>
      <c r="I4" s="14"/>
      <c r="J4" s="18" t="s">
        <v>252</v>
      </c>
      <c r="K4" s="14"/>
      <c r="L4" s="18" t="s">
        <v>254</v>
      </c>
      <c r="M4" s="14"/>
      <c r="P4" s="5" t="s">
        <v>232</v>
      </c>
      <c r="Q4" s="5" t="s">
        <v>233</v>
      </c>
      <c r="R4" s="5" t="s">
        <v>193</v>
      </c>
      <c r="S4" s="5" t="s">
        <v>194</v>
      </c>
    </row>
    <row r="5" spans="2:19" x14ac:dyDescent="0.25">
      <c r="B5" s="18" t="s">
        <v>255</v>
      </c>
      <c r="C5" s="14"/>
      <c r="D5" s="18" t="s">
        <v>256</v>
      </c>
      <c r="E5" s="14"/>
      <c r="F5" s="18" t="s">
        <v>356</v>
      </c>
      <c r="G5" s="14"/>
      <c r="H5" s="18" t="s">
        <v>257</v>
      </c>
      <c r="I5" s="14"/>
      <c r="J5" s="18" t="s">
        <v>357</v>
      </c>
      <c r="K5" s="14"/>
      <c r="L5" s="12"/>
      <c r="M5" s="14"/>
      <c r="P5" s="3">
        <v>1</v>
      </c>
      <c r="Q5" s="3">
        <v>1</v>
      </c>
      <c r="R5" s="3">
        <v>4</v>
      </c>
      <c r="S5" s="3">
        <v>6</v>
      </c>
    </row>
    <row r="10" spans="2:19" x14ac:dyDescent="0.25">
      <c r="B10" s="4" t="s">
        <v>260</v>
      </c>
      <c r="C10" s="12" t="s">
        <v>261</v>
      </c>
      <c r="D10" s="13"/>
      <c r="E10" s="13"/>
      <c r="F10" s="14"/>
    </row>
    <row r="11" spans="2:19" x14ac:dyDescent="0.25">
      <c r="B11" s="4" t="s">
        <v>262</v>
      </c>
      <c r="C11" s="12" t="s">
        <v>263</v>
      </c>
      <c r="D11" s="13"/>
      <c r="E11" s="13"/>
      <c r="F11" s="14"/>
    </row>
    <row r="12" spans="2:19" x14ac:dyDescent="0.25">
      <c r="B12" s="4" t="s">
        <v>359</v>
      </c>
      <c r="C12" s="12" t="s">
        <v>360</v>
      </c>
      <c r="D12" s="13"/>
      <c r="E12" s="13"/>
      <c r="F12" s="14"/>
    </row>
    <row r="14" spans="2:19" ht="38.25" x14ac:dyDescent="0.25">
      <c r="B14" s="25" t="s">
        <v>361</v>
      </c>
      <c r="C14" s="25" t="s">
        <v>362</v>
      </c>
      <c r="D14" s="25" t="s">
        <v>363</v>
      </c>
      <c r="E14" s="23" t="s">
        <v>364</v>
      </c>
      <c r="F14" s="23" t="s">
        <v>2</v>
      </c>
      <c r="G14" s="23" t="s">
        <v>3</v>
      </c>
    </row>
    <row r="15" spans="2:19" x14ac:dyDescent="0.25">
      <c r="B15" s="3">
        <v>0</v>
      </c>
      <c r="C15" s="3">
        <v>0</v>
      </c>
      <c r="D15" s="3">
        <v>1.506770177865201E-3</v>
      </c>
      <c r="E15" s="3">
        <v>-6.4962999999999997</v>
      </c>
      <c r="F15" s="3">
        <v>3</v>
      </c>
      <c r="G15" s="3">
        <v>0</v>
      </c>
    </row>
    <row r="16" spans="2:19" x14ac:dyDescent="0.25">
      <c r="B16" s="3">
        <v>0</v>
      </c>
      <c r="C16" s="3">
        <v>0</v>
      </c>
      <c r="D16" s="3">
        <v>3.9967597583531363E-2</v>
      </c>
      <c r="E16" s="3">
        <v>-3.1789000000000001</v>
      </c>
      <c r="F16" s="3">
        <v>7</v>
      </c>
      <c r="G16" s="3">
        <v>1</v>
      </c>
    </row>
    <row r="17" spans="2:7" x14ac:dyDescent="0.25">
      <c r="B17" s="3">
        <v>0</v>
      </c>
      <c r="C17" s="3">
        <v>0</v>
      </c>
      <c r="D17" s="3">
        <v>3.9967597583531363E-2</v>
      </c>
      <c r="E17" s="3">
        <v>-3.1789000000000001</v>
      </c>
      <c r="F17" s="3">
        <v>7</v>
      </c>
      <c r="G17" s="3">
        <v>1</v>
      </c>
    </row>
    <row r="18" spans="2:7" x14ac:dyDescent="0.25">
      <c r="B18" s="42">
        <v>1</v>
      </c>
      <c r="C18" s="42">
        <v>0</v>
      </c>
      <c r="D18" s="42">
        <v>0.76344364285904009</v>
      </c>
      <c r="E18" s="42">
        <v>1.1717</v>
      </c>
      <c r="F18" s="42">
        <v>11</v>
      </c>
      <c r="G18" s="42">
        <v>3</v>
      </c>
    </row>
    <row r="19" spans="2:7" x14ac:dyDescent="0.25">
      <c r="B19" s="3">
        <v>1</v>
      </c>
      <c r="C19" s="3">
        <v>1</v>
      </c>
      <c r="D19" s="3">
        <v>0.90068175015654606</v>
      </c>
      <c r="E19" s="3">
        <v>2.2048000000000001</v>
      </c>
      <c r="F19" s="3">
        <v>11</v>
      </c>
      <c r="G19" s="3">
        <v>4</v>
      </c>
    </row>
    <row r="20" spans="2:7" x14ac:dyDescent="0.25">
      <c r="B20" s="42">
        <v>1</v>
      </c>
      <c r="C20" s="42">
        <v>0</v>
      </c>
      <c r="D20" s="42">
        <v>0.62049840743522267</v>
      </c>
      <c r="E20" s="42">
        <v>0.49170000000000003</v>
      </c>
      <c r="F20" s="42">
        <v>8</v>
      </c>
      <c r="G20" s="42">
        <v>4</v>
      </c>
    </row>
    <row r="21" spans="2:7" x14ac:dyDescent="0.25">
      <c r="B21" s="3">
        <v>0</v>
      </c>
      <c r="C21" s="3">
        <v>0</v>
      </c>
      <c r="D21" s="3">
        <v>2.6640871521689067E-3</v>
      </c>
      <c r="E21" s="3">
        <v>-5.9252000000000002</v>
      </c>
      <c r="F21" s="3">
        <v>4</v>
      </c>
      <c r="G21" s="3">
        <v>0</v>
      </c>
    </row>
    <row r="22" spans="2:7" x14ac:dyDescent="0.25">
      <c r="B22" s="3">
        <v>0</v>
      </c>
      <c r="C22" s="3">
        <v>0</v>
      </c>
      <c r="D22" s="3">
        <v>2.5555500696915728E-2</v>
      </c>
      <c r="E22" s="3">
        <v>-3.641</v>
      </c>
      <c r="F22" s="3">
        <v>8</v>
      </c>
      <c r="G22" s="3">
        <v>0</v>
      </c>
    </row>
    <row r="23" spans="2:7" x14ac:dyDescent="0.25">
      <c r="B23" s="3">
        <v>0</v>
      </c>
      <c r="C23" s="3">
        <v>0</v>
      </c>
      <c r="D23" s="3">
        <v>0.29014358821209585</v>
      </c>
      <c r="E23" s="3">
        <v>-0.89470000000000005</v>
      </c>
      <c r="F23" s="3">
        <v>11</v>
      </c>
      <c r="G23" s="3">
        <v>1</v>
      </c>
    </row>
    <row r="24" spans="2:7" x14ac:dyDescent="0.25">
      <c r="B24" s="3">
        <v>1</v>
      </c>
      <c r="C24" s="3">
        <v>1</v>
      </c>
      <c r="D24" s="3">
        <v>0.76344364285904009</v>
      </c>
      <c r="E24" s="3">
        <v>1.1717</v>
      </c>
      <c r="F24" s="3">
        <v>11</v>
      </c>
      <c r="G24" s="3">
        <v>3</v>
      </c>
    </row>
    <row r="25" spans="2:7" x14ac:dyDescent="0.25">
      <c r="B25" s="3">
        <v>0</v>
      </c>
      <c r="C25" s="3">
        <v>0</v>
      </c>
      <c r="D25" s="3">
        <v>3.9967597583531363E-2</v>
      </c>
      <c r="E25" s="3">
        <v>-3.1789000000000001</v>
      </c>
      <c r="F25" s="3">
        <v>7</v>
      </c>
      <c r="G25" s="3">
        <v>1</v>
      </c>
    </row>
    <row r="26" spans="2:7" x14ac:dyDescent="0.25">
      <c r="B26" s="3">
        <v>0</v>
      </c>
      <c r="C26" s="3">
        <v>0</v>
      </c>
      <c r="D26" s="3">
        <v>1.3112325448542921E-2</v>
      </c>
      <c r="E26" s="3">
        <v>-4.3209999999999997</v>
      </c>
      <c r="F26" s="3">
        <v>5</v>
      </c>
      <c r="G26" s="3">
        <v>1</v>
      </c>
    </row>
    <row r="27" spans="2:7" x14ac:dyDescent="0.25">
      <c r="B27" s="3">
        <v>0</v>
      </c>
      <c r="C27" s="3">
        <v>0</v>
      </c>
      <c r="D27" s="3">
        <v>6.8635221814071085E-2</v>
      </c>
      <c r="E27" s="3">
        <v>-2.6078000000000001</v>
      </c>
      <c r="F27" s="3">
        <v>8</v>
      </c>
      <c r="G27" s="3">
        <v>1</v>
      </c>
    </row>
    <row r="28" spans="2:7" x14ac:dyDescent="0.25">
      <c r="B28" s="3">
        <v>0</v>
      </c>
      <c r="C28" s="3">
        <v>0</v>
      </c>
      <c r="D28" s="3">
        <v>0.10473108520416485</v>
      </c>
      <c r="E28" s="3">
        <v>-2.1457000000000002</v>
      </c>
      <c r="F28" s="3">
        <v>7</v>
      </c>
      <c r="G28" s="3">
        <v>2</v>
      </c>
    </row>
    <row r="29" spans="2:7" x14ac:dyDescent="0.25">
      <c r="B29" s="42">
        <v>0</v>
      </c>
      <c r="C29" s="42">
        <v>1</v>
      </c>
      <c r="D29" s="42">
        <v>0.36783741989417773</v>
      </c>
      <c r="E29" s="42">
        <v>-0.54149999999999998</v>
      </c>
      <c r="F29" s="42">
        <v>8</v>
      </c>
      <c r="G29" s="42">
        <v>3</v>
      </c>
    </row>
    <row r="30" spans="2:7" x14ac:dyDescent="0.25">
      <c r="B30" s="3">
        <v>0</v>
      </c>
      <c r="C30" s="3">
        <v>0</v>
      </c>
      <c r="D30" s="3">
        <v>1.3112325448542921E-2</v>
      </c>
      <c r="E30" s="3">
        <v>-4.3209999999999997</v>
      </c>
      <c r="F30" s="3">
        <v>5</v>
      </c>
      <c r="G30" s="3">
        <v>1</v>
      </c>
    </row>
    <row r="31" spans="2:7" x14ac:dyDescent="0.25">
      <c r="B31" s="3">
        <v>0</v>
      </c>
      <c r="C31" s="3">
        <v>0</v>
      </c>
      <c r="D31" s="3">
        <v>1.4599400719354203E-2</v>
      </c>
      <c r="E31" s="3">
        <v>-4.2121000000000004</v>
      </c>
      <c r="F31" s="3">
        <v>7</v>
      </c>
      <c r="G31" s="3">
        <v>0</v>
      </c>
    </row>
    <row r="32" spans="2:7" x14ac:dyDescent="0.25">
      <c r="B32" s="3">
        <v>0</v>
      </c>
      <c r="C32" s="3">
        <v>0</v>
      </c>
      <c r="D32" s="3">
        <v>8.3003667265397815E-3</v>
      </c>
      <c r="E32" s="3">
        <v>-4.7831000000000001</v>
      </c>
      <c r="F32" s="3">
        <v>6</v>
      </c>
      <c r="G32" s="3">
        <v>0</v>
      </c>
    </row>
    <row r="33" spans="2:7" x14ac:dyDescent="0.25">
      <c r="B33" s="3">
        <v>0</v>
      </c>
      <c r="C33" s="3">
        <v>0</v>
      </c>
      <c r="D33" s="3">
        <v>6.1990381774628532E-2</v>
      </c>
      <c r="E33" s="3">
        <v>-2.7168000000000001</v>
      </c>
      <c r="F33" s="3">
        <v>6</v>
      </c>
      <c r="G33" s="3">
        <v>2</v>
      </c>
    </row>
    <row r="34" spans="2:7" x14ac:dyDescent="0.25">
      <c r="B34" s="3">
        <v>1</v>
      </c>
      <c r="C34" s="3">
        <v>1</v>
      </c>
      <c r="D34" s="3">
        <v>0.74320943315777543</v>
      </c>
      <c r="E34" s="3">
        <v>1.0627</v>
      </c>
      <c r="F34" s="3">
        <v>9</v>
      </c>
      <c r="G34" s="3">
        <v>4</v>
      </c>
    </row>
    <row r="35" spans="2:7" x14ac:dyDescent="0.25">
      <c r="B35" s="3">
        <v>0</v>
      </c>
      <c r="C35" s="3">
        <v>0</v>
      </c>
      <c r="D35" s="3">
        <v>0.34289008688995654</v>
      </c>
      <c r="E35" s="3">
        <v>-0.65039999999999998</v>
      </c>
      <c r="F35" s="3">
        <v>6</v>
      </c>
      <c r="G35" s="3">
        <v>4</v>
      </c>
    </row>
    <row r="36" spans="2:7" x14ac:dyDescent="0.25">
      <c r="B36" s="3">
        <v>0</v>
      </c>
      <c r="C36" s="3">
        <v>0</v>
      </c>
      <c r="D36" s="3">
        <v>2.6640871521689067E-3</v>
      </c>
      <c r="E36" s="3">
        <v>-5.9252000000000002</v>
      </c>
      <c r="F36" s="3">
        <v>4</v>
      </c>
      <c r="G36" s="3">
        <v>0</v>
      </c>
    </row>
    <row r="37" spans="2:7" x14ac:dyDescent="0.25">
      <c r="B37" s="3">
        <v>0</v>
      </c>
      <c r="C37" s="3">
        <v>0</v>
      </c>
      <c r="D37" s="3">
        <v>1.4599400719354203E-2</v>
      </c>
      <c r="E37" s="3">
        <v>-4.2121000000000004</v>
      </c>
      <c r="F37" s="3">
        <v>7</v>
      </c>
      <c r="G37" s="3">
        <v>0</v>
      </c>
    </row>
    <row r="38" spans="2:7" x14ac:dyDescent="0.25">
      <c r="B38" s="3">
        <v>0</v>
      </c>
      <c r="C38" s="3">
        <v>0</v>
      </c>
      <c r="D38" s="3">
        <v>1.4599400719354203E-2</v>
      </c>
      <c r="E38" s="3">
        <v>-4.2121000000000004</v>
      </c>
      <c r="F38" s="3">
        <v>7</v>
      </c>
      <c r="G38" s="3">
        <v>0</v>
      </c>
    </row>
    <row r="39" spans="2:7" x14ac:dyDescent="0.25">
      <c r="B39" s="42">
        <v>0</v>
      </c>
      <c r="C39" s="42">
        <v>1</v>
      </c>
      <c r="D39" s="42">
        <v>0.17155090223931616</v>
      </c>
      <c r="E39" s="42">
        <v>-1.5747</v>
      </c>
      <c r="F39" s="42">
        <v>8</v>
      </c>
      <c r="G39" s="42">
        <v>2</v>
      </c>
    </row>
    <row r="40" spans="2:7" x14ac:dyDescent="0.25">
      <c r="B40" s="3">
        <v>0</v>
      </c>
      <c r="C40" s="3">
        <v>0</v>
      </c>
      <c r="D40" s="3">
        <v>1.506770177865201E-3</v>
      </c>
      <c r="E40" s="3">
        <v>-6.4962999999999997</v>
      </c>
      <c r="F40" s="3">
        <v>3</v>
      </c>
      <c r="G40" s="3">
        <v>0</v>
      </c>
    </row>
    <row r="41" spans="2:7" x14ac:dyDescent="0.25">
      <c r="B41" s="3">
        <v>0</v>
      </c>
      <c r="C41" s="3">
        <v>0</v>
      </c>
      <c r="D41" s="3">
        <v>2.6640871521689067E-3</v>
      </c>
      <c r="E41" s="3">
        <v>-5.9252000000000002</v>
      </c>
      <c r="F41" s="3">
        <v>4</v>
      </c>
      <c r="G41" s="3">
        <v>0</v>
      </c>
    </row>
    <row r="42" spans="2:7" x14ac:dyDescent="0.25">
      <c r="B42" s="3">
        <v>0</v>
      </c>
      <c r="C42" s="3">
        <v>0</v>
      </c>
      <c r="D42" s="3">
        <v>4.7061241626921574E-3</v>
      </c>
      <c r="E42" s="3">
        <v>-5.3541999999999996</v>
      </c>
      <c r="F42" s="3">
        <v>5</v>
      </c>
      <c r="G42" s="3">
        <v>0</v>
      </c>
    </row>
    <row r="43" spans="2:7" x14ac:dyDescent="0.25">
      <c r="B43" s="3">
        <v>1</v>
      </c>
      <c r="C43" s="3">
        <v>1</v>
      </c>
      <c r="D43" s="3">
        <v>0.50738627171947515</v>
      </c>
      <c r="E43" s="3">
        <v>2.9499999999999998E-2</v>
      </c>
      <c r="F43" s="3">
        <v>9</v>
      </c>
      <c r="G43" s="3">
        <v>3</v>
      </c>
    </row>
    <row r="44" spans="2:7" x14ac:dyDescent="0.25">
      <c r="B44" s="42">
        <v>1</v>
      </c>
      <c r="C44" s="42">
        <v>0</v>
      </c>
      <c r="D44" s="42">
        <v>0.62049840743522267</v>
      </c>
      <c r="E44" s="42">
        <v>0.49170000000000003</v>
      </c>
      <c r="F44" s="42">
        <v>8</v>
      </c>
      <c r="G44" s="42">
        <v>4</v>
      </c>
    </row>
    <row r="45" spans="2:7" x14ac:dyDescent="0.25">
      <c r="B45" s="3">
        <v>0</v>
      </c>
      <c r="C45" s="3">
        <v>0</v>
      </c>
      <c r="D45" s="3">
        <v>1.506770177865201E-3</v>
      </c>
      <c r="E45" s="3">
        <v>-6.4962999999999997</v>
      </c>
      <c r="F45" s="3">
        <v>3</v>
      </c>
      <c r="G45" s="3">
        <v>0</v>
      </c>
    </row>
    <row r="46" spans="2:7" x14ac:dyDescent="0.25">
      <c r="B46" s="3">
        <v>0</v>
      </c>
      <c r="C46" s="3">
        <v>0</v>
      </c>
      <c r="D46" s="3">
        <v>8.3003667265397815E-3</v>
      </c>
      <c r="E46" s="3">
        <v>-4.7831000000000001</v>
      </c>
      <c r="F46" s="3">
        <v>6</v>
      </c>
      <c r="G46" s="3">
        <v>0</v>
      </c>
    </row>
    <row r="47" spans="2:7" x14ac:dyDescent="0.25">
      <c r="B47" s="3">
        <v>0</v>
      </c>
      <c r="C47" s="3">
        <v>0</v>
      </c>
      <c r="D47" s="3">
        <v>1.4599400719354203E-2</v>
      </c>
      <c r="E47" s="3">
        <v>-4.2121000000000004</v>
      </c>
      <c r="F47" s="3">
        <v>7</v>
      </c>
      <c r="G47" s="3">
        <v>0</v>
      </c>
    </row>
    <row r="48" spans="2:7" x14ac:dyDescent="0.25">
      <c r="B48" s="3">
        <v>0</v>
      </c>
      <c r="C48" s="3">
        <v>0</v>
      </c>
      <c r="D48" s="3">
        <v>1.3112325448542921E-2</v>
      </c>
      <c r="E48" s="3">
        <v>-4.3209999999999997</v>
      </c>
      <c r="F48" s="3">
        <v>5</v>
      </c>
      <c r="G48" s="3">
        <v>1</v>
      </c>
    </row>
    <row r="49" spans="2:7" x14ac:dyDescent="0.25">
      <c r="B49" s="3">
        <v>1</v>
      </c>
      <c r="C49" s="3">
        <v>1</v>
      </c>
      <c r="D49" s="3">
        <v>0.85103040467978375</v>
      </c>
      <c r="E49" s="3">
        <v>1.7426999999999999</v>
      </c>
      <c r="F49" s="3">
        <v>12</v>
      </c>
      <c r="G49" s="3">
        <v>3</v>
      </c>
    </row>
    <row r="50" spans="2:7" x14ac:dyDescent="0.25">
      <c r="B50" s="42">
        <v>0</v>
      </c>
      <c r="C50" s="42">
        <v>1</v>
      </c>
      <c r="D50" s="42">
        <v>3.9967597583531363E-2</v>
      </c>
      <c r="E50" s="42">
        <v>-3.1789000000000001</v>
      </c>
      <c r="F50" s="42">
        <v>7</v>
      </c>
      <c r="G50" s="42">
        <v>1</v>
      </c>
    </row>
    <row r="51" spans="2:7" x14ac:dyDescent="0.25">
      <c r="B51" s="3">
        <v>0</v>
      </c>
      <c r="C51" s="3">
        <v>0</v>
      </c>
      <c r="D51" s="3">
        <v>3.9967597583531363E-2</v>
      </c>
      <c r="E51" s="3">
        <v>-3.1789000000000001</v>
      </c>
      <c r="F51" s="3">
        <v>7</v>
      </c>
      <c r="G51" s="3">
        <v>1</v>
      </c>
    </row>
    <row r="52" spans="2:7" x14ac:dyDescent="0.25">
      <c r="B52" s="3">
        <v>0</v>
      </c>
      <c r="C52" s="3">
        <v>0</v>
      </c>
      <c r="D52" s="3">
        <v>6.8635221814071085E-2</v>
      </c>
      <c r="E52" s="3">
        <v>-2.6078000000000001</v>
      </c>
      <c r="F52" s="3">
        <v>8</v>
      </c>
      <c r="G52" s="3">
        <v>1</v>
      </c>
    </row>
    <row r="53" spans="2:7" x14ac:dyDescent="0.25">
      <c r="B53" s="3">
        <v>0</v>
      </c>
      <c r="C53" s="3">
        <v>0</v>
      </c>
      <c r="D53" s="3">
        <v>0.18759104097085189</v>
      </c>
      <c r="E53" s="3">
        <v>-1.4657</v>
      </c>
      <c r="F53" s="3">
        <v>10</v>
      </c>
      <c r="G53" s="3">
        <v>1</v>
      </c>
    </row>
    <row r="54" spans="2:7" x14ac:dyDescent="0.25">
      <c r="B54" s="3">
        <v>0</v>
      </c>
      <c r="C54" s="3">
        <v>0</v>
      </c>
      <c r="D54" s="3">
        <v>0.15661788414101474</v>
      </c>
      <c r="E54" s="3">
        <v>-1.6836</v>
      </c>
      <c r="F54" s="3">
        <v>6</v>
      </c>
      <c r="G54" s="3">
        <v>3</v>
      </c>
    </row>
    <row r="55" spans="2:7" x14ac:dyDescent="0.25">
      <c r="B55" s="3">
        <v>0</v>
      </c>
      <c r="C55" s="3">
        <v>0</v>
      </c>
      <c r="D55" s="3">
        <v>2.6640871521689067E-3</v>
      </c>
      <c r="E55" s="3">
        <v>-5.9252000000000002</v>
      </c>
      <c r="F55" s="3">
        <v>4</v>
      </c>
      <c r="G55" s="3">
        <v>0</v>
      </c>
    </row>
    <row r="56" spans="2:7" x14ac:dyDescent="0.25">
      <c r="B56" s="3">
        <v>0</v>
      </c>
      <c r="C56" s="3">
        <v>0</v>
      </c>
      <c r="D56" s="3">
        <v>8.3003667265397815E-3</v>
      </c>
      <c r="E56" s="3">
        <v>-4.7831000000000001</v>
      </c>
      <c r="F56" s="3">
        <v>6</v>
      </c>
      <c r="G56" s="3">
        <v>0</v>
      </c>
    </row>
    <row r="57" spans="2:7" x14ac:dyDescent="0.25">
      <c r="B57" s="3">
        <v>0</v>
      </c>
      <c r="C57" s="3">
        <v>0</v>
      </c>
      <c r="D57" s="3">
        <v>5.5950208335353399E-2</v>
      </c>
      <c r="E57" s="3">
        <v>-2.8256999999999999</v>
      </c>
      <c r="F57" s="3">
        <v>4</v>
      </c>
      <c r="G57" s="3">
        <v>3</v>
      </c>
    </row>
    <row r="58" spans="2:7" x14ac:dyDescent="0.25">
      <c r="B58" s="3">
        <v>0</v>
      </c>
      <c r="C58" s="3">
        <v>0</v>
      </c>
      <c r="D58" s="3">
        <v>0.11539375631539449</v>
      </c>
      <c r="E58" s="3">
        <v>-2.0367999999999999</v>
      </c>
      <c r="F58" s="3">
        <v>9</v>
      </c>
      <c r="G58" s="3">
        <v>1</v>
      </c>
    </row>
    <row r="59" spans="2:7" x14ac:dyDescent="0.25">
      <c r="B59" s="42">
        <v>0</v>
      </c>
      <c r="C59" s="42">
        <v>1</v>
      </c>
      <c r="D59" s="42">
        <v>0.2682297773834319</v>
      </c>
      <c r="E59" s="42">
        <v>-1.0036</v>
      </c>
      <c r="F59" s="42">
        <v>9</v>
      </c>
      <c r="G59" s="42">
        <v>2</v>
      </c>
    </row>
    <row r="60" spans="2:7" x14ac:dyDescent="0.25">
      <c r="B60" s="3">
        <v>0</v>
      </c>
      <c r="C60" s="3">
        <v>0</v>
      </c>
      <c r="D60" s="3">
        <v>1.4599400719354203E-2</v>
      </c>
      <c r="E60" s="3">
        <v>-4.2121000000000004</v>
      </c>
      <c r="F60" s="3">
        <v>7</v>
      </c>
      <c r="G60" s="3">
        <v>0</v>
      </c>
    </row>
    <row r="61" spans="2:7" x14ac:dyDescent="0.25">
      <c r="B61" s="3">
        <v>0</v>
      </c>
      <c r="C61" s="3">
        <v>0</v>
      </c>
      <c r="D61" s="3">
        <v>2.5555500696915728E-2</v>
      </c>
      <c r="E61" s="3">
        <v>-3.641</v>
      </c>
      <c r="F61" s="3">
        <v>8</v>
      </c>
      <c r="G61" s="3">
        <v>0</v>
      </c>
    </row>
    <row r="62" spans="2:7" x14ac:dyDescent="0.25">
      <c r="B62" s="3">
        <v>0</v>
      </c>
      <c r="C62" s="3">
        <v>0</v>
      </c>
      <c r="D62" s="3">
        <v>3.9967597583531363E-2</v>
      </c>
      <c r="E62" s="3">
        <v>-3.1789000000000001</v>
      </c>
      <c r="F62" s="3">
        <v>7</v>
      </c>
      <c r="G62" s="3">
        <v>1</v>
      </c>
    </row>
    <row r="63" spans="2:7" x14ac:dyDescent="0.25">
      <c r="B63" s="3">
        <v>0</v>
      </c>
      <c r="C63" s="3">
        <v>0</v>
      </c>
      <c r="D63" s="3">
        <v>6.8635221814071085E-2</v>
      </c>
      <c r="E63" s="3">
        <v>-2.6078000000000001</v>
      </c>
      <c r="F63" s="3">
        <v>8</v>
      </c>
      <c r="G63" s="3">
        <v>1</v>
      </c>
    </row>
    <row r="64" spans="2:7" x14ac:dyDescent="0.25">
      <c r="B64" s="3">
        <v>1</v>
      </c>
      <c r="C64" s="3">
        <v>1</v>
      </c>
      <c r="D64" s="3">
        <v>0.85103040467978375</v>
      </c>
      <c r="E64" s="3">
        <v>1.7426999999999999</v>
      </c>
      <c r="F64" s="3">
        <v>12</v>
      </c>
      <c r="G64" s="3">
        <v>3</v>
      </c>
    </row>
    <row r="65" spans="2:7" x14ac:dyDescent="0.25">
      <c r="B65" s="3">
        <v>0</v>
      </c>
      <c r="C65" s="3">
        <v>0</v>
      </c>
      <c r="D65" s="3">
        <v>2.6640871521689067E-3</v>
      </c>
      <c r="E65" s="3">
        <v>-5.9252000000000002</v>
      </c>
      <c r="F65" s="3">
        <v>4</v>
      </c>
      <c r="G65" s="3">
        <v>0</v>
      </c>
    </row>
    <row r="66" spans="2:7" x14ac:dyDescent="0.25">
      <c r="B66" s="3">
        <v>0</v>
      </c>
      <c r="C66" s="3">
        <v>0</v>
      </c>
      <c r="D66" s="3">
        <v>2.3897784938870111E-3</v>
      </c>
      <c r="E66" s="3">
        <v>-6.0342000000000002</v>
      </c>
      <c r="F66" s="3">
        <v>2</v>
      </c>
      <c r="G66" s="3">
        <v>1</v>
      </c>
    </row>
    <row r="67" spans="2:7" x14ac:dyDescent="0.25">
      <c r="B67" s="3">
        <v>0</v>
      </c>
      <c r="C67" s="3">
        <v>0</v>
      </c>
      <c r="D67" s="3">
        <v>1.4599400719354203E-2</v>
      </c>
      <c r="E67" s="3">
        <v>-4.2121000000000004</v>
      </c>
      <c r="F67" s="3">
        <v>7</v>
      </c>
      <c r="G67" s="3">
        <v>0</v>
      </c>
    </row>
    <row r="68" spans="2:7" x14ac:dyDescent="0.25">
      <c r="B68" s="3">
        <v>0</v>
      </c>
      <c r="C68" s="3">
        <v>0</v>
      </c>
      <c r="D68" s="3">
        <v>3.9967597583531363E-2</v>
      </c>
      <c r="E68" s="3">
        <v>-3.1789000000000001</v>
      </c>
      <c r="F68" s="3">
        <v>7</v>
      </c>
      <c r="G68" s="3">
        <v>1</v>
      </c>
    </row>
    <row r="69" spans="2:7" x14ac:dyDescent="0.25">
      <c r="B69" s="3">
        <v>1</v>
      </c>
      <c r="C69" s="3">
        <v>1</v>
      </c>
      <c r="D69" s="3">
        <v>0.91001011394916054</v>
      </c>
      <c r="E69" s="3">
        <v>2.3138000000000001</v>
      </c>
      <c r="F69" s="3">
        <v>13</v>
      </c>
      <c r="G69" s="3">
        <v>3</v>
      </c>
    </row>
    <row r="70" spans="2:7" x14ac:dyDescent="0.25">
      <c r="B70" s="3">
        <v>0</v>
      </c>
      <c r="C70" s="3">
        <v>0</v>
      </c>
      <c r="D70" s="3">
        <v>3.9967597583531363E-2</v>
      </c>
      <c r="E70" s="3">
        <v>-3.1789000000000001</v>
      </c>
      <c r="F70" s="3">
        <v>7</v>
      </c>
      <c r="G70" s="3">
        <v>1</v>
      </c>
    </row>
    <row r="71" spans="2:7" x14ac:dyDescent="0.25">
      <c r="B71" s="3">
        <v>0</v>
      </c>
      <c r="C71" s="3">
        <v>0</v>
      </c>
      <c r="D71" s="3">
        <v>4.7061241626921574E-3</v>
      </c>
      <c r="E71" s="3">
        <v>-5.3541999999999996</v>
      </c>
      <c r="F71" s="3">
        <v>5</v>
      </c>
      <c r="G71" s="3">
        <v>0</v>
      </c>
    </row>
    <row r="72" spans="2:7" x14ac:dyDescent="0.25">
      <c r="B72" s="3">
        <v>0</v>
      </c>
      <c r="C72" s="3">
        <v>0</v>
      </c>
      <c r="D72" s="3">
        <v>4.4363430878092497E-2</v>
      </c>
      <c r="E72" s="3">
        <v>-3.07</v>
      </c>
      <c r="F72" s="3">
        <v>9</v>
      </c>
      <c r="G72" s="3">
        <v>0</v>
      </c>
    </row>
    <row r="73" spans="2:7" x14ac:dyDescent="0.25">
      <c r="B73" s="3">
        <v>0</v>
      </c>
      <c r="C73" s="3">
        <v>0</v>
      </c>
      <c r="D73" s="3">
        <v>0.10473108520416485</v>
      </c>
      <c r="E73" s="3">
        <v>-2.1457000000000002</v>
      </c>
      <c r="F73" s="3">
        <v>7</v>
      </c>
      <c r="G73" s="3">
        <v>2</v>
      </c>
    </row>
    <row r="74" spans="2:7" x14ac:dyDescent="0.25">
      <c r="B74" s="42">
        <v>0</v>
      </c>
      <c r="C74" s="42">
        <v>1</v>
      </c>
      <c r="D74" s="42">
        <v>0.18759104097085189</v>
      </c>
      <c r="E74" s="42">
        <v>-1.4657</v>
      </c>
      <c r="F74" s="42">
        <v>10</v>
      </c>
      <c r="G74" s="42">
        <v>1</v>
      </c>
    </row>
    <row r="75" spans="2:7" x14ac:dyDescent="0.25">
      <c r="B75" s="3">
        <v>0</v>
      </c>
      <c r="C75" s="3">
        <v>0</v>
      </c>
      <c r="D75" s="3">
        <v>1.4599400719354203E-2</v>
      </c>
      <c r="E75" s="3">
        <v>-4.2121000000000004</v>
      </c>
      <c r="F75" s="3">
        <v>7</v>
      </c>
      <c r="G75" s="3">
        <v>0</v>
      </c>
    </row>
    <row r="76" spans="2:7" x14ac:dyDescent="0.25">
      <c r="B76" s="3">
        <v>0</v>
      </c>
      <c r="C76" s="3">
        <v>0</v>
      </c>
      <c r="D76" s="3">
        <v>1.3112325448542921E-2</v>
      </c>
      <c r="E76" s="3">
        <v>-4.3209999999999997</v>
      </c>
      <c r="F76" s="3">
        <v>5</v>
      </c>
      <c r="G76" s="3">
        <v>1</v>
      </c>
    </row>
    <row r="77" spans="2:7" x14ac:dyDescent="0.25">
      <c r="B77" s="3">
        <v>0</v>
      </c>
      <c r="C77" s="3">
        <v>0</v>
      </c>
      <c r="D77" s="3">
        <v>1.3112325448542921E-2</v>
      </c>
      <c r="E77" s="3">
        <v>-4.3209999999999997</v>
      </c>
      <c r="F77" s="3">
        <v>5</v>
      </c>
      <c r="G77" s="3">
        <v>1</v>
      </c>
    </row>
    <row r="78" spans="2:7" x14ac:dyDescent="0.25">
      <c r="B78" s="3">
        <v>0</v>
      </c>
      <c r="C78" s="3">
        <v>0</v>
      </c>
      <c r="D78" s="3">
        <v>3.9967597583531363E-2</v>
      </c>
      <c r="E78" s="3">
        <v>-3.1789000000000001</v>
      </c>
      <c r="F78" s="3">
        <v>7</v>
      </c>
      <c r="G78" s="3">
        <v>1</v>
      </c>
    </row>
    <row r="79" spans="2:7" x14ac:dyDescent="0.25">
      <c r="B79" s="3">
        <v>1</v>
      </c>
      <c r="C79" s="3">
        <v>1</v>
      </c>
      <c r="D79" s="3">
        <v>0.67029858559512201</v>
      </c>
      <c r="E79" s="3">
        <v>0.70950000000000002</v>
      </c>
      <c r="F79" s="3">
        <v>12</v>
      </c>
      <c r="G79" s="3">
        <v>2</v>
      </c>
    </row>
    <row r="80" spans="2:7" x14ac:dyDescent="0.25">
      <c r="B80" s="3">
        <v>0</v>
      </c>
      <c r="C80" s="3">
        <v>0</v>
      </c>
      <c r="D80" s="3">
        <v>2.6640871521689067E-3</v>
      </c>
      <c r="E80" s="3">
        <v>-5.9252000000000002</v>
      </c>
      <c r="F80" s="3">
        <v>4</v>
      </c>
      <c r="G80" s="3">
        <v>0</v>
      </c>
    </row>
    <row r="81" spans="2:7" x14ac:dyDescent="0.25">
      <c r="B81" s="3">
        <v>0</v>
      </c>
      <c r="C81" s="3">
        <v>0</v>
      </c>
      <c r="D81" s="3">
        <v>0.24739423909304692</v>
      </c>
      <c r="E81" s="3">
        <v>-1.1126</v>
      </c>
      <c r="F81" s="3">
        <v>7</v>
      </c>
      <c r="G81" s="3">
        <v>3</v>
      </c>
    </row>
    <row r="82" spans="2:7" x14ac:dyDescent="0.25">
      <c r="B82" s="3">
        <v>0</v>
      </c>
      <c r="C82" s="3">
        <v>0</v>
      </c>
      <c r="D82" s="3">
        <v>0.11539375631539449</v>
      </c>
      <c r="E82" s="3">
        <v>-2.0367999999999999</v>
      </c>
      <c r="F82" s="3">
        <v>9</v>
      </c>
      <c r="G82" s="3">
        <v>1</v>
      </c>
    </row>
    <row r="83" spans="2:7" x14ac:dyDescent="0.25">
      <c r="B83" s="3">
        <v>0</v>
      </c>
      <c r="C83" s="3">
        <v>0</v>
      </c>
      <c r="D83" s="3">
        <v>0.11539375631539449</v>
      </c>
      <c r="E83" s="3">
        <v>-2.0367999999999999</v>
      </c>
      <c r="F83" s="3">
        <v>9</v>
      </c>
      <c r="G83" s="3">
        <v>1</v>
      </c>
    </row>
    <row r="84" spans="2:7" x14ac:dyDescent="0.25">
      <c r="B84" s="3">
        <v>1</v>
      </c>
      <c r="C84" s="3">
        <v>1</v>
      </c>
      <c r="D84" s="3">
        <v>0.98050636300015592</v>
      </c>
      <c r="E84" s="3">
        <v>3.9180000000000001</v>
      </c>
      <c r="F84" s="3">
        <v>14</v>
      </c>
      <c r="G84" s="3">
        <v>4</v>
      </c>
    </row>
    <row r="85" spans="2:7" x14ac:dyDescent="0.25">
      <c r="B85" s="3">
        <v>0</v>
      </c>
      <c r="C85" s="3">
        <v>0</v>
      </c>
      <c r="D85" s="3">
        <v>1.4599400719354203E-2</v>
      </c>
      <c r="E85" s="3">
        <v>-4.2121000000000004</v>
      </c>
      <c r="F85" s="3">
        <v>7</v>
      </c>
      <c r="G85" s="3">
        <v>0</v>
      </c>
    </row>
    <row r="86" spans="2:7" x14ac:dyDescent="0.25">
      <c r="B86" s="3">
        <v>0</v>
      </c>
      <c r="C86" s="3">
        <v>0</v>
      </c>
      <c r="D86" s="3">
        <v>1.4599400719354203E-2</v>
      </c>
      <c r="E86" s="3">
        <v>-4.2121000000000004</v>
      </c>
      <c r="F86" s="3">
        <v>7</v>
      </c>
      <c r="G86" s="3">
        <v>0</v>
      </c>
    </row>
    <row r="87" spans="2:7" x14ac:dyDescent="0.25">
      <c r="B87" s="3">
        <v>0</v>
      </c>
      <c r="C87" s="3">
        <v>0</v>
      </c>
      <c r="D87" s="3">
        <v>3.9967597583531363E-2</v>
      </c>
      <c r="E87" s="3">
        <v>-3.1789000000000001</v>
      </c>
      <c r="F87" s="3">
        <v>7</v>
      </c>
      <c r="G87" s="3">
        <v>1</v>
      </c>
    </row>
    <row r="88" spans="2:7" x14ac:dyDescent="0.25">
      <c r="B88" s="42">
        <v>1</v>
      </c>
      <c r="C88" s="42">
        <v>0</v>
      </c>
      <c r="D88" s="42">
        <v>0.53456553385962824</v>
      </c>
      <c r="E88" s="42">
        <v>0.13850000000000001</v>
      </c>
      <c r="F88" s="42">
        <v>11</v>
      </c>
      <c r="G88" s="42">
        <v>2</v>
      </c>
    </row>
    <row r="89" spans="2:7" x14ac:dyDescent="0.25">
      <c r="B89" s="3">
        <v>1</v>
      </c>
      <c r="C89" s="3">
        <v>1</v>
      </c>
      <c r="D89" s="3">
        <v>0.91001011394916054</v>
      </c>
      <c r="E89" s="3">
        <v>2.3138000000000001</v>
      </c>
      <c r="F89" s="3">
        <v>13</v>
      </c>
      <c r="G89" s="3">
        <v>3</v>
      </c>
    </row>
    <row r="90" spans="2:7" x14ac:dyDescent="0.25">
      <c r="B90" s="3">
        <v>0</v>
      </c>
      <c r="C90" s="3">
        <v>0</v>
      </c>
      <c r="D90" s="3">
        <v>2.6640871521689067E-3</v>
      </c>
      <c r="E90" s="3">
        <v>-5.9252000000000002</v>
      </c>
      <c r="F90" s="3">
        <v>4</v>
      </c>
      <c r="G90" s="3">
        <v>0</v>
      </c>
    </row>
    <row r="91" spans="2:7" x14ac:dyDescent="0.25">
      <c r="B91" s="3">
        <v>0</v>
      </c>
      <c r="C91" s="3">
        <v>0</v>
      </c>
      <c r="D91" s="3">
        <v>8.3003667265397815E-3</v>
      </c>
      <c r="E91" s="3">
        <v>-4.7831000000000001</v>
      </c>
      <c r="F91" s="3">
        <v>6</v>
      </c>
      <c r="G91" s="3">
        <v>0</v>
      </c>
    </row>
    <row r="92" spans="2:7" x14ac:dyDescent="0.25">
      <c r="B92" s="3">
        <v>0</v>
      </c>
      <c r="C92" s="3">
        <v>0</v>
      </c>
      <c r="D92" s="3">
        <v>1.4599400719354203E-2</v>
      </c>
      <c r="E92" s="3">
        <v>-4.2121000000000004</v>
      </c>
      <c r="F92" s="3">
        <v>7</v>
      </c>
      <c r="G92" s="3">
        <v>0</v>
      </c>
    </row>
    <row r="93" spans="2:7" x14ac:dyDescent="0.25">
      <c r="B93" s="3">
        <v>0</v>
      </c>
      <c r="C93" s="3">
        <v>0</v>
      </c>
      <c r="D93" s="3">
        <v>1.4599400719354203E-2</v>
      </c>
      <c r="E93" s="3">
        <v>-4.2121000000000004</v>
      </c>
      <c r="F93" s="3">
        <v>7</v>
      </c>
      <c r="G93" s="3">
        <v>0</v>
      </c>
    </row>
    <row r="94" spans="2:7" x14ac:dyDescent="0.25">
      <c r="B94" s="42">
        <v>0</v>
      </c>
      <c r="C94" s="42">
        <v>1</v>
      </c>
      <c r="D94" s="42">
        <v>0.36783741989417773</v>
      </c>
      <c r="E94" s="42">
        <v>-0.54149999999999998</v>
      </c>
      <c r="F94" s="42">
        <v>8</v>
      </c>
      <c r="G94" s="42">
        <v>3</v>
      </c>
    </row>
    <row r="95" spans="2:7" x14ac:dyDescent="0.25">
      <c r="B95" s="3">
        <v>0</v>
      </c>
      <c r="C95" s="3">
        <v>0</v>
      </c>
      <c r="D95" s="3">
        <v>4.7061241626921574E-3</v>
      </c>
      <c r="E95" s="3">
        <v>-5.3541999999999996</v>
      </c>
      <c r="F95" s="3">
        <v>5</v>
      </c>
      <c r="G95" s="3">
        <v>0</v>
      </c>
    </row>
    <row r="96" spans="2:7" x14ac:dyDescent="0.25">
      <c r="B96" s="3">
        <v>0</v>
      </c>
      <c r="C96" s="3">
        <v>0</v>
      </c>
      <c r="D96" s="3">
        <v>1.3112325448542921E-2</v>
      </c>
      <c r="E96" s="3">
        <v>-4.3209999999999997</v>
      </c>
      <c r="F96" s="3">
        <v>5</v>
      </c>
      <c r="G96" s="3">
        <v>1</v>
      </c>
    </row>
    <row r="97" spans="2:7" x14ac:dyDescent="0.25">
      <c r="B97" s="3">
        <v>0</v>
      </c>
      <c r="C97" s="3">
        <v>0</v>
      </c>
      <c r="D97" s="3">
        <v>3.5990929333768816E-2</v>
      </c>
      <c r="E97" s="3">
        <v>-3.2877999999999998</v>
      </c>
      <c r="F97" s="3">
        <v>5</v>
      </c>
      <c r="G97" s="3">
        <v>2</v>
      </c>
    </row>
    <row r="98" spans="2:7" x14ac:dyDescent="0.25">
      <c r="B98" s="3">
        <v>0</v>
      </c>
      <c r="C98" s="3">
        <v>0</v>
      </c>
      <c r="D98" s="3">
        <v>0.39351286097555477</v>
      </c>
      <c r="E98" s="3">
        <v>-0.43259999999999998</v>
      </c>
      <c r="F98" s="3">
        <v>10</v>
      </c>
      <c r="G98" s="3">
        <v>2</v>
      </c>
    </row>
    <row r="99" spans="2:7" x14ac:dyDescent="0.25">
      <c r="B99" s="3">
        <v>1</v>
      </c>
      <c r="C99" s="3">
        <v>1</v>
      </c>
      <c r="D99" s="3">
        <v>0.67029858559512201</v>
      </c>
      <c r="E99" s="3">
        <v>0.70950000000000002</v>
      </c>
      <c r="F99" s="3">
        <v>12</v>
      </c>
      <c r="G99" s="3">
        <v>2</v>
      </c>
    </row>
    <row r="100" spans="2:7" x14ac:dyDescent="0.25">
      <c r="B100" s="3">
        <v>0</v>
      </c>
      <c r="C100" s="3">
        <v>0</v>
      </c>
      <c r="D100" s="3">
        <v>1.3112325448542921E-2</v>
      </c>
      <c r="E100" s="3">
        <v>-4.3209999999999997</v>
      </c>
      <c r="F100" s="3">
        <v>5</v>
      </c>
      <c r="G100" s="3">
        <v>1</v>
      </c>
    </row>
    <row r="101" spans="2:7" x14ac:dyDescent="0.25">
      <c r="B101" s="3">
        <v>0</v>
      </c>
      <c r="C101" s="3">
        <v>0</v>
      </c>
      <c r="D101" s="3">
        <v>3.9967597583531363E-2</v>
      </c>
      <c r="E101" s="3">
        <v>-3.1789000000000001</v>
      </c>
      <c r="F101" s="3">
        <v>7</v>
      </c>
      <c r="G101" s="3">
        <v>1</v>
      </c>
    </row>
    <row r="102" spans="2:7" x14ac:dyDescent="0.25">
      <c r="B102" s="3">
        <v>0</v>
      </c>
      <c r="C102" s="3">
        <v>0</v>
      </c>
      <c r="D102" s="3">
        <v>0.31308174134100825</v>
      </c>
      <c r="E102" s="3">
        <v>-0.78580000000000005</v>
      </c>
      <c r="F102" s="3">
        <v>13</v>
      </c>
      <c r="G102" s="3">
        <v>0</v>
      </c>
    </row>
    <row r="103" spans="2:7" x14ac:dyDescent="0.25">
      <c r="B103" s="3">
        <v>0</v>
      </c>
      <c r="C103" s="3">
        <v>0</v>
      </c>
      <c r="D103" s="3">
        <v>0.36783741989417773</v>
      </c>
      <c r="E103" s="3">
        <v>-0.54149999999999998</v>
      </c>
      <c r="F103" s="3">
        <v>8</v>
      </c>
      <c r="G103" s="3">
        <v>3</v>
      </c>
    </row>
    <row r="104" spans="2:7" x14ac:dyDescent="0.25">
      <c r="B104" s="3">
        <v>1</v>
      </c>
      <c r="C104" s="3">
        <v>1</v>
      </c>
      <c r="D104" s="3">
        <v>0.62049840743522267</v>
      </c>
      <c r="E104" s="3">
        <v>0.49170000000000003</v>
      </c>
      <c r="F104" s="3">
        <v>8</v>
      </c>
      <c r="G104" s="3">
        <v>4</v>
      </c>
    </row>
    <row r="105" spans="2:7" x14ac:dyDescent="0.25">
      <c r="B105" s="3">
        <v>0</v>
      </c>
      <c r="C105" s="3">
        <v>0</v>
      </c>
      <c r="D105" s="3">
        <v>8.3003667265397815E-3</v>
      </c>
      <c r="E105" s="3">
        <v>-4.7831000000000001</v>
      </c>
      <c r="F105" s="3">
        <v>6</v>
      </c>
      <c r="G105" s="3">
        <v>0</v>
      </c>
    </row>
    <row r="106" spans="2:7" x14ac:dyDescent="0.25">
      <c r="B106" s="3">
        <v>0</v>
      </c>
      <c r="C106" s="3">
        <v>0</v>
      </c>
      <c r="D106" s="3">
        <v>1.4599400719354203E-2</v>
      </c>
      <c r="E106" s="3">
        <v>-4.2121000000000004</v>
      </c>
      <c r="F106" s="3">
        <v>7</v>
      </c>
      <c r="G106" s="3">
        <v>0</v>
      </c>
    </row>
    <row r="107" spans="2:7" x14ac:dyDescent="0.25">
      <c r="B107" s="3">
        <v>0</v>
      </c>
      <c r="C107" s="3">
        <v>0</v>
      </c>
      <c r="D107" s="3">
        <v>0.2682297773834319</v>
      </c>
      <c r="E107" s="3">
        <v>-1.0036</v>
      </c>
      <c r="F107" s="3">
        <v>9</v>
      </c>
      <c r="G107" s="3">
        <v>2</v>
      </c>
    </row>
    <row r="108" spans="2:7" x14ac:dyDescent="0.25">
      <c r="B108" s="3">
        <v>0</v>
      </c>
      <c r="C108" s="3">
        <v>0</v>
      </c>
      <c r="D108" s="3">
        <v>0.39351286097555477</v>
      </c>
      <c r="E108" s="3">
        <v>-0.43259999999999998</v>
      </c>
      <c r="F108" s="3">
        <v>10</v>
      </c>
      <c r="G108" s="3">
        <v>2</v>
      </c>
    </row>
    <row r="109" spans="2:7" x14ac:dyDescent="0.25">
      <c r="B109" s="3">
        <v>1</v>
      </c>
      <c r="C109" s="3">
        <v>1</v>
      </c>
      <c r="D109" s="3">
        <v>0.91001011394916054</v>
      </c>
      <c r="E109" s="3">
        <v>2.3138000000000001</v>
      </c>
      <c r="F109" s="3">
        <v>13</v>
      </c>
      <c r="G109" s="3">
        <v>3</v>
      </c>
    </row>
    <row r="110" spans="2:7" x14ac:dyDescent="0.25">
      <c r="B110" s="3">
        <v>0</v>
      </c>
      <c r="C110" s="3">
        <v>0</v>
      </c>
      <c r="D110" s="3">
        <v>1.4599400719354203E-2</v>
      </c>
      <c r="E110" s="3">
        <v>-4.2121000000000004</v>
      </c>
      <c r="F110" s="3">
        <v>7</v>
      </c>
      <c r="G110" s="3">
        <v>0</v>
      </c>
    </row>
    <row r="111" spans="2:7" x14ac:dyDescent="0.25">
      <c r="B111" s="3">
        <v>0</v>
      </c>
      <c r="C111" s="3">
        <v>0</v>
      </c>
      <c r="D111" s="3">
        <v>7.5934671623267821E-2</v>
      </c>
      <c r="E111" s="3">
        <v>-2.4988999999999999</v>
      </c>
      <c r="F111" s="3">
        <v>10</v>
      </c>
      <c r="G111" s="3">
        <v>0</v>
      </c>
    </row>
    <row r="112" spans="2:7" x14ac:dyDescent="0.25">
      <c r="B112" s="3">
        <v>0</v>
      </c>
      <c r="C112" s="3">
        <v>0</v>
      </c>
      <c r="D112" s="3">
        <v>6.1990381774628532E-2</v>
      </c>
      <c r="E112" s="3">
        <v>-2.7168000000000001</v>
      </c>
      <c r="F112" s="3">
        <v>6</v>
      </c>
      <c r="G112" s="3">
        <v>2</v>
      </c>
    </row>
    <row r="113" spans="2:7" x14ac:dyDescent="0.25">
      <c r="B113" s="3">
        <v>0</v>
      </c>
      <c r="C113" s="3">
        <v>0</v>
      </c>
      <c r="D113" s="3">
        <v>5.5950208335353399E-2</v>
      </c>
      <c r="E113" s="3">
        <v>-2.8256999999999999</v>
      </c>
      <c r="F113" s="3">
        <v>4</v>
      </c>
      <c r="G113" s="3">
        <v>3</v>
      </c>
    </row>
    <row r="114" spans="2:7" x14ac:dyDescent="0.25">
      <c r="B114" s="3">
        <v>1</v>
      </c>
      <c r="C114" s="3">
        <v>1</v>
      </c>
      <c r="D114" s="3">
        <v>0.90068175015654606</v>
      </c>
      <c r="E114" s="3">
        <v>2.2048000000000001</v>
      </c>
      <c r="F114" s="3">
        <v>11</v>
      </c>
      <c r="G114" s="3">
        <v>4</v>
      </c>
    </row>
    <row r="115" spans="2:7" x14ac:dyDescent="0.25">
      <c r="B115" s="3">
        <v>0</v>
      </c>
      <c r="C115" s="3">
        <v>0</v>
      </c>
      <c r="D115" s="3">
        <v>3.5990929333768816E-2</v>
      </c>
      <c r="E115" s="3">
        <v>-3.2877999999999998</v>
      </c>
      <c r="F115" s="3">
        <v>5</v>
      </c>
      <c r="G115" s="3">
        <v>2</v>
      </c>
    </row>
    <row r="116" spans="2:7" x14ac:dyDescent="0.25">
      <c r="B116" s="3">
        <v>0</v>
      </c>
      <c r="C116" s="3">
        <v>0</v>
      </c>
      <c r="D116" s="3">
        <v>1.4599400719354203E-2</v>
      </c>
      <c r="E116" s="3">
        <v>-4.2121000000000004</v>
      </c>
      <c r="F116" s="3">
        <v>7</v>
      </c>
      <c r="G116" s="3">
        <v>0</v>
      </c>
    </row>
    <row r="117" spans="2:7" x14ac:dyDescent="0.25">
      <c r="B117" s="3">
        <v>0</v>
      </c>
      <c r="C117" s="3">
        <v>0</v>
      </c>
      <c r="D117" s="3">
        <v>2.2978475151535619E-2</v>
      </c>
      <c r="E117" s="3">
        <v>-3.75</v>
      </c>
      <c r="F117" s="3">
        <v>6</v>
      </c>
      <c r="G117" s="3">
        <v>1</v>
      </c>
    </row>
    <row r="118" spans="2:7" x14ac:dyDescent="0.25">
      <c r="B118" s="42">
        <v>0</v>
      </c>
      <c r="C118" s="42">
        <v>1</v>
      </c>
      <c r="D118" s="42">
        <v>0.10473108520416485</v>
      </c>
      <c r="E118" s="42">
        <v>-2.1457000000000002</v>
      </c>
      <c r="F118" s="42">
        <v>7</v>
      </c>
      <c r="G118" s="42">
        <v>2</v>
      </c>
    </row>
    <row r="119" spans="2:7" x14ac:dyDescent="0.25">
      <c r="B119" s="42">
        <v>1</v>
      </c>
      <c r="C119" s="42">
        <v>0</v>
      </c>
      <c r="D119" s="42">
        <v>0.76344364285904009</v>
      </c>
      <c r="E119" s="42">
        <v>1.1717</v>
      </c>
      <c r="F119" s="42">
        <v>11</v>
      </c>
      <c r="G119" s="42">
        <v>3</v>
      </c>
    </row>
  </sheetData>
  <mergeCells count="17">
    <mergeCell ref="B3:M3"/>
    <mergeCell ref="P3:S3"/>
    <mergeCell ref="H4:I4"/>
    <mergeCell ref="J4:K4"/>
    <mergeCell ref="L4:M4"/>
    <mergeCell ref="B5:C5"/>
    <mergeCell ref="D5:E5"/>
    <mergeCell ref="F5:G5"/>
    <mergeCell ref="H5:I5"/>
    <mergeCell ref="J5:K5"/>
    <mergeCell ref="L5:M5"/>
    <mergeCell ref="C10:F10"/>
    <mergeCell ref="C11:F11"/>
    <mergeCell ref="C12:F12"/>
    <mergeCell ref="B4:C4"/>
    <mergeCell ref="D4:E4"/>
    <mergeCell ref="F4:G4"/>
  </mergeCells>
  <hyperlinks>
    <hyperlink ref="B4" location="'LR_NewScore1'!$B$10:$B$10" display="New Data Detail Rpt."/>
    <hyperlink ref="D4" location="'LR_Output1'!$B$10:$B$10" display="Inputs"/>
    <hyperlink ref="F4" location="'LR_Output1'!$B$43:$B$43" display="Prior Class Prob."/>
    <hyperlink ref="H4" location="'LR_Output1'!$B$52:$B$52" display="Predictors"/>
    <hyperlink ref="J4" location="'LR_Output1'!$B$63:$B$63" display="Regress. Model"/>
    <hyperlink ref="L4" location="'LR_Output1'!$B$71:$B$71" display="Train. Score Summary"/>
    <hyperlink ref="B5" location="'LR_Output1'!$B$95:$B$95" display="Valid. Score Summary"/>
    <hyperlink ref="D5" location="'LR_TrainingLiftChart1'!$B$10:$B$10" display="Training Lift Chart"/>
    <hyperlink ref="F5" location="'LR_TrainingScore1'!$B$10:$B$10" display="Train. Score - Detailed Rep."/>
    <hyperlink ref="H5" location="'LR_ValidationLiftChart1'!$B$10:$B$10" display="Validation Lift Chart"/>
    <hyperlink ref="J5" location="'LR_ValidationScore1'!$B$10:$B$10" display="Valid. Score - Detailed Rep.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0"/>
  <sheetViews>
    <sheetView showGridLines="0" workbookViewId="0">
      <selection activeCell="J20" sqref="J20"/>
    </sheetView>
  </sheetViews>
  <sheetFormatPr defaultRowHeight="15" x14ac:dyDescent="0.25"/>
  <cols>
    <col min="2" max="2" width="8.5703125" customWidth="1"/>
    <col min="3" max="3" width="5.85546875" customWidth="1"/>
    <col min="4" max="4" width="10.140625" customWidth="1"/>
    <col min="5" max="5" width="8.140625" customWidth="1"/>
    <col min="6" max="6" width="15.42578125" bestFit="1" customWidth="1"/>
    <col min="7" max="7" width="15.140625" bestFit="1" customWidth="1"/>
    <col min="8" max="8" width="16.7109375" bestFit="1" customWidth="1"/>
    <col min="16" max="16" width="13.28515625" bestFit="1" customWidth="1"/>
  </cols>
  <sheetData>
    <row r="1" spans="1:19" ht="18.75" x14ac:dyDescent="0.3">
      <c r="B1" s="2" t="s">
        <v>358</v>
      </c>
      <c r="N1" t="s">
        <v>369</v>
      </c>
    </row>
    <row r="3" spans="1:19" ht="15.75" x14ac:dyDescent="0.25">
      <c r="B3" s="6" t="s">
        <v>190</v>
      </c>
      <c r="C3" s="7"/>
      <c r="D3" s="7"/>
      <c r="E3" s="7"/>
      <c r="F3" s="7"/>
      <c r="G3" s="7"/>
      <c r="H3" s="7"/>
      <c r="I3" s="7"/>
      <c r="J3" s="7"/>
      <c r="K3" s="7"/>
      <c r="L3" s="7"/>
      <c r="M3" s="8"/>
      <c r="P3" s="6" t="s">
        <v>191</v>
      </c>
      <c r="Q3" s="7"/>
      <c r="R3" s="7"/>
      <c r="S3" s="8"/>
    </row>
    <row r="4" spans="1:19" x14ac:dyDescent="0.25">
      <c r="B4" s="18" t="s">
        <v>375</v>
      </c>
      <c r="C4" s="14"/>
      <c r="D4" s="18" t="s">
        <v>249</v>
      </c>
      <c r="E4" s="14"/>
      <c r="F4" s="18" t="s">
        <v>250</v>
      </c>
      <c r="G4" s="14"/>
      <c r="H4" s="18" t="s">
        <v>251</v>
      </c>
      <c r="I4" s="14"/>
      <c r="J4" s="18" t="s">
        <v>252</v>
      </c>
      <c r="K4" s="14"/>
      <c r="L4" s="18" t="s">
        <v>254</v>
      </c>
      <c r="M4" s="14"/>
      <c r="P4" s="5" t="s">
        <v>232</v>
      </c>
      <c r="Q4" s="5" t="s">
        <v>233</v>
      </c>
      <c r="R4" s="5" t="s">
        <v>193</v>
      </c>
      <c r="S4" s="5" t="s">
        <v>194</v>
      </c>
    </row>
    <row r="5" spans="1:19" x14ac:dyDescent="0.25">
      <c r="B5" s="18" t="s">
        <v>255</v>
      </c>
      <c r="C5" s="14"/>
      <c r="D5" s="18" t="s">
        <v>256</v>
      </c>
      <c r="E5" s="14"/>
      <c r="F5" s="18" t="s">
        <v>356</v>
      </c>
      <c r="G5" s="14"/>
      <c r="H5" s="18" t="s">
        <v>257</v>
      </c>
      <c r="I5" s="14"/>
      <c r="J5" s="18" t="s">
        <v>357</v>
      </c>
      <c r="K5" s="14"/>
      <c r="L5" s="12"/>
      <c r="M5" s="14"/>
      <c r="P5" s="3">
        <v>1</v>
      </c>
      <c r="Q5" s="3">
        <v>1</v>
      </c>
      <c r="R5" s="3">
        <v>4</v>
      </c>
      <c r="S5" s="3">
        <v>6</v>
      </c>
    </row>
    <row r="10" spans="1:19" x14ac:dyDescent="0.25">
      <c r="B10" s="4" t="s">
        <v>260</v>
      </c>
      <c r="C10" s="12" t="s">
        <v>261</v>
      </c>
      <c r="D10" s="13"/>
      <c r="E10" s="13"/>
      <c r="F10" s="14"/>
    </row>
    <row r="11" spans="1:19" x14ac:dyDescent="0.25">
      <c r="B11" s="4" t="s">
        <v>262</v>
      </c>
      <c r="C11" s="12" t="s">
        <v>263</v>
      </c>
      <c r="D11" s="13"/>
      <c r="E11" s="13"/>
      <c r="F11" s="14"/>
    </row>
    <row r="12" spans="1:19" x14ac:dyDescent="0.25">
      <c r="B12" s="4" t="s">
        <v>359</v>
      </c>
      <c r="C12" s="12" t="s">
        <v>360</v>
      </c>
      <c r="D12" s="13"/>
      <c r="E12" s="13"/>
      <c r="F12" s="14"/>
    </row>
    <row r="14" spans="1:19" ht="38.25" x14ac:dyDescent="0.25">
      <c r="A14" t="s">
        <v>0</v>
      </c>
      <c r="B14" s="25" t="s">
        <v>361</v>
      </c>
      <c r="C14" s="25" t="s">
        <v>362</v>
      </c>
      <c r="D14" s="25" t="s">
        <v>363</v>
      </c>
      <c r="E14" s="23" t="s">
        <v>364</v>
      </c>
      <c r="F14" s="23" t="s">
        <v>2</v>
      </c>
      <c r="G14" s="23" t="s">
        <v>3</v>
      </c>
      <c r="H14" s="43" t="s">
        <v>368</v>
      </c>
    </row>
    <row r="15" spans="1:19" x14ac:dyDescent="0.25">
      <c r="A15">
        <v>2005</v>
      </c>
      <c r="B15" s="42">
        <v>0</v>
      </c>
      <c r="C15" s="42">
        <v>1</v>
      </c>
      <c r="D15" s="42">
        <v>8.3003667265397815E-3</v>
      </c>
      <c r="E15" s="42">
        <v>-4.7831000000000001</v>
      </c>
      <c r="F15" s="42">
        <v>6</v>
      </c>
      <c r="G15" s="42">
        <v>0</v>
      </c>
      <c r="H15" s="44">
        <v>0</v>
      </c>
    </row>
    <row r="16" spans="1:19" x14ac:dyDescent="0.25">
      <c r="A16">
        <v>2005</v>
      </c>
      <c r="B16" s="42">
        <v>1</v>
      </c>
      <c r="C16" s="42">
        <v>0</v>
      </c>
      <c r="D16" s="42">
        <v>0.62049840743522267</v>
      </c>
      <c r="E16" s="42">
        <v>0.49170000000000003</v>
      </c>
      <c r="F16" s="42">
        <v>8</v>
      </c>
      <c r="G16" s="42">
        <v>4</v>
      </c>
      <c r="H16" s="44">
        <v>1</v>
      </c>
    </row>
    <row r="17" spans="1:8" x14ac:dyDescent="0.25">
      <c r="A17">
        <v>2005</v>
      </c>
      <c r="B17" s="3">
        <v>0</v>
      </c>
      <c r="C17" s="3">
        <v>0</v>
      </c>
      <c r="D17" s="3">
        <v>1.3112325448542921E-2</v>
      </c>
      <c r="E17" s="3">
        <v>-4.3209999999999997</v>
      </c>
      <c r="F17" s="3">
        <v>5</v>
      </c>
      <c r="G17" s="3">
        <v>1</v>
      </c>
      <c r="H17" s="44">
        <v>0</v>
      </c>
    </row>
    <row r="18" spans="1:8" x14ac:dyDescent="0.25">
      <c r="A18">
        <v>2005</v>
      </c>
      <c r="B18" s="3">
        <v>0</v>
      </c>
      <c r="C18" s="3">
        <v>0</v>
      </c>
      <c r="D18" s="3">
        <v>8.3003667265397815E-3</v>
      </c>
      <c r="E18" s="3">
        <v>-4.7831000000000001</v>
      </c>
      <c r="F18" s="3">
        <v>6</v>
      </c>
      <c r="G18" s="3">
        <v>0</v>
      </c>
      <c r="H18" s="44">
        <v>0</v>
      </c>
    </row>
    <row r="19" spans="1:8" x14ac:dyDescent="0.25">
      <c r="A19">
        <v>2005</v>
      </c>
      <c r="B19" s="3">
        <v>0</v>
      </c>
      <c r="C19" s="3">
        <v>0</v>
      </c>
      <c r="D19" s="3">
        <v>4.7061241626921574E-3</v>
      </c>
      <c r="E19" s="3">
        <v>-5.3541999999999996</v>
      </c>
      <c r="F19" s="3">
        <v>5</v>
      </c>
      <c r="G19" s="3">
        <v>0</v>
      </c>
      <c r="H19" s="44">
        <v>0</v>
      </c>
    </row>
    <row r="20" spans="1:8" x14ac:dyDescent="0.25">
      <c r="A20">
        <v>2006</v>
      </c>
      <c r="B20" s="3">
        <v>0</v>
      </c>
      <c r="C20" s="3">
        <v>0</v>
      </c>
      <c r="D20" s="3">
        <v>3.9967597583531363E-2</v>
      </c>
      <c r="E20" s="3">
        <v>-3.1789000000000001</v>
      </c>
      <c r="F20" s="3">
        <v>7</v>
      </c>
      <c r="G20" s="3">
        <v>1</v>
      </c>
      <c r="H20" s="44">
        <v>0</v>
      </c>
    </row>
    <row r="21" spans="1:8" x14ac:dyDescent="0.25">
      <c r="A21">
        <v>2006</v>
      </c>
      <c r="B21" s="42">
        <v>0</v>
      </c>
      <c r="C21" s="42">
        <v>1</v>
      </c>
      <c r="D21" s="42">
        <v>1.3112325448542921E-2</v>
      </c>
      <c r="E21" s="42">
        <v>-4.3209999999999997</v>
      </c>
      <c r="F21" s="42">
        <v>5</v>
      </c>
      <c r="G21" s="42">
        <v>1</v>
      </c>
      <c r="H21" s="44">
        <v>0</v>
      </c>
    </row>
    <row r="22" spans="1:8" x14ac:dyDescent="0.25">
      <c r="A22">
        <v>2006</v>
      </c>
      <c r="B22" s="3">
        <v>0</v>
      </c>
      <c r="C22" s="3">
        <v>0</v>
      </c>
      <c r="D22" s="3">
        <v>7.4500517088275046E-3</v>
      </c>
      <c r="E22" s="3">
        <v>-4.8921000000000001</v>
      </c>
      <c r="F22" s="3">
        <v>4</v>
      </c>
      <c r="G22" s="3">
        <v>1</v>
      </c>
      <c r="H22" s="44">
        <v>0</v>
      </c>
    </row>
    <row r="23" spans="1:8" x14ac:dyDescent="0.25">
      <c r="A23">
        <v>2006</v>
      </c>
      <c r="B23" s="3">
        <v>0</v>
      </c>
      <c r="C23" s="3">
        <v>0</v>
      </c>
      <c r="D23" s="3">
        <v>2.6640871521689067E-3</v>
      </c>
      <c r="E23" s="3">
        <v>-5.9252000000000002</v>
      </c>
      <c r="F23" s="3">
        <v>4</v>
      </c>
      <c r="G23" s="3">
        <v>0</v>
      </c>
      <c r="H23" s="44">
        <v>0</v>
      </c>
    </row>
    <row r="24" spans="1:8" x14ac:dyDescent="0.25">
      <c r="A24">
        <v>2006</v>
      </c>
      <c r="B24" s="3">
        <v>0</v>
      </c>
      <c r="C24" s="3">
        <v>0</v>
      </c>
      <c r="D24" s="3">
        <v>6.1990381774628532E-2</v>
      </c>
      <c r="E24" s="3">
        <v>-2.7168000000000001</v>
      </c>
      <c r="F24" s="3">
        <v>6</v>
      </c>
      <c r="G24" s="3">
        <v>2</v>
      </c>
      <c r="H24" s="44">
        <v>1</v>
      </c>
    </row>
    <row r="25" spans="1:8" x14ac:dyDescent="0.25">
      <c r="A25">
        <v>2007</v>
      </c>
      <c r="B25" s="3">
        <v>0</v>
      </c>
      <c r="C25" s="3">
        <v>0</v>
      </c>
      <c r="D25" s="3">
        <v>0.10473108520416485</v>
      </c>
      <c r="E25" s="3">
        <v>-2.1457000000000002</v>
      </c>
      <c r="F25" s="3">
        <v>7</v>
      </c>
      <c r="G25" s="3">
        <v>2</v>
      </c>
      <c r="H25" s="44">
        <v>0</v>
      </c>
    </row>
    <row r="26" spans="1:8" x14ac:dyDescent="0.25">
      <c r="A26">
        <v>2007</v>
      </c>
      <c r="B26" s="3">
        <v>0</v>
      </c>
      <c r="C26" s="3">
        <v>0</v>
      </c>
      <c r="D26" s="3">
        <v>2.6640871521689067E-3</v>
      </c>
      <c r="E26" s="3">
        <v>-5.9252000000000002</v>
      </c>
      <c r="F26" s="3">
        <v>4</v>
      </c>
      <c r="G26" s="3">
        <v>0</v>
      </c>
      <c r="H26" s="44">
        <v>0</v>
      </c>
    </row>
    <row r="27" spans="1:8" x14ac:dyDescent="0.25">
      <c r="A27">
        <v>2007</v>
      </c>
      <c r="B27" s="3">
        <v>0</v>
      </c>
      <c r="C27" s="3">
        <v>0</v>
      </c>
      <c r="D27" s="3">
        <v>1.4599400719354203E-2</v>
      </c>
      <c r="E27" s="3">
        <v>-4.2121000000000004</v>
      </c>
      <c r="F27" s="3">
        <v>7</v>
      </c>
      <c r="G27" s="3">
        <v>0</v>
      </c>
      <c r="H27" s="44">
        <v>0</v>
      </c>
    </row>
    <row r="28" spans="1:8" x14ac:dyDescent="0.25">
      <c r="A28">
        <v>2007</v>
      </c>
      <c r="B28" s="3">
        <v>0</v>
      </c>
      <c r="C28" s="3">
        <v>0</v>
      </c>
      <c r="D28" s="3">
        <v>6.8635221814071085E-2</v>
      </c>
      <c r="E28" s="3">
        <v>-2.6078000000000001</v>
      </c>
      <c r="F28" s="3">
        <v>8</v>
      </c>
      <c r="G28" s="3">
        <v>1</v>
      </c>
      <c r="H28" s="44">
        <v>0</v>
      </c>
    </row>
    <row r="29" spans="1:8" x14ac:dyDescent="0.25">
      <c r="A29">
        <v>2007</v>
      </c>
      <c r="B29" s="42">
        <v>0</v>
      </c>
      <c r="C29" s="42">
        <v>1</v>
      </c>
      <c r="D29" s="42">
        <v>0.17155090223931616</v>
      </c>
      <c r="E29" s="42">
        <v>-1.5747</v>
      </c>
      <c r="F29" s="42">
        <v>8</v>
      </c>
      <c r="G29" s="42">
        <v>2</v>
      </c>
      <c r="H29" s="44">
        <v>1</v>
      </c>
    </row>
    <row r="30" spans="1:8" x14ac:dyDescent="0.25">
      <c r="A30">
        <v>2008</v>
      </c>
      <c r="B30" s="3">
        <v>0</v>
      </c>
      <c r="C30" s="3">
        <v>0</v>
      </c>
      <c r="D30" s="3">
        <v>0.31308174134100825</v>
      </c>
      <c r="E30" s="3">
        <v>-0.78580000000000005</v>
      </c>
      <c r="F30" s="3">
        <v>13</v>
      </c>
      <c r="G30" s="3">
        <v>0</v>
      </c>
      <c r="H30" s="44">
        <v>0</v>
      </c>
    </row>
    <row r="31" spans="1:8" x14ac:dyDescent="0.25">
      <c r="A31">
        <v>2008</v>
      </c>
      <c r="B31" s="3">
        <v>0</v>
      </c>
      <c r="C31" s="3">
        <v>0</v>
      </c>
      <c r="D31" s="3">
        <v>4.7061241626921574E-3</v>
      </c>
      <c r="E31" s="3">
        <v>-5.3541999999999996</v>
      </c>
      <c r="F31" s="3">
        <v>5</v>
      </c>
      <c r="G31" s="3">
        <v>0</v>
      </c>
      <c r="H31" s="44">
        <v>0</v>
      </c>
    </row>
    <row r="32" spans="1:8" x14ac:dyDescent="0.25">
      <c r="A32">
        <v>2008</v>
      </c>
      <c r="B32" s="3">
        <v>0</v>
      </c>
      <c r="C32" s="3">
        <v>0</v>
      </c>
      <c r="D32" s="3">
        <v>2.5555500696915728E-2</v>
      </c>
      <c r="E32" s="3">
        <v>-3.641</v>
      </c>
      <c r="F32" s="3">
        <v>8</v>
      </c>
      <c r="G32" s="3">
        <v>0</v>
      </c>
      <c r="H32" s="44">
        <v>0</v>
      </c>
    </row>
    <row r="33" spans="1:8" x14ac:dyDescent="0.25">
      <c r="A33">
        <v>2008</v>
      </c>
      <c r="B33" s="3">
        <v>0</v>
      </c>
      <c r="C33" s="3">
        <v>0</v>
      </c>
      <c r="D33" s="3">
        <v>1.3112325448542921E-2</v>
      </c>
      <c r="E33" s="3">
        <v>-4.3209999999999997</v>
      </c>
      <c r="F33" s="3">
        <v>5</v>
      </c>
      <c r="G33" s="3">
        <v>1</v>
      </c>
      <c r="H33" s="44">
        <v>0</v>
      </c>
    </row>
    <row r="34" spans="1:8" x14ac:dyDescent="0.25">
      <c r="A34">
        <v>2008</v>
      </c>
      <c r="B34" s="3">
        <v>1</v>
      </c>
      <c r="C34" s="3">
        <v>1</v>
      </c>
      <c r="D34" s="3">
        <v>0.83668541480523573</v>
      </c>
      <c r="E34" s="3">
        <v>1.6337999999999999</v>
      </c>
      <c r="F34" s="3">
        <v>10</v>
      </c>
      <c r="G34" s="3">
        <v>4</v>
      </c>
      <c r="H34" s="44">
        <v>1</v>
      </c>
    </row>
    <row r="35" spans="1:8" x14ac:dyDescent="0.25">
      <c r="A35">
        <v>2009</v>
      </c>
      <c r="B35" s="42">
        <v>0</v>
      </c>
      <c r="C35" s="42">
        <v>1</v>
      </c>
      <c r="D35" s="42">
        <v>4.4363430878092497E-2</v>
      </c>
      <c r="E35" s="42">
        <v>-3.07</v>
      </c>
      <c r="F35" s="42">
        <v>9</v>
      </c>
      <c r="G35" s="42">
        <v>0</v>
      </c>
      <c r="H35" s="44">
        <v>0</v>
      </c>
    </row>
    <row r="36" spans="1:8" x14ac:dyDescent="0.25">
      <c r="A36">
        <v>2009</v>
      </c>
      <c r="B36" s="3">
        <v>0</v>
      </c>
      <c r="C36" s="3">
        <v>0</v>
      </c>
      <c r="D36" s="3">
        <v>0.2682297773834319</v>
      </c>
      <c r="E36" s="3">
        <v>-1.0036</v>
      </c>
      <c r="F36" s="3">
        <v>9</v>
      </c>
      <c r="G36" s="3">
        <v>2</v>
      </c>
      <c r="H36" s="44">
        <v>1</v>
      </c>
    </row>
    <row r="37" spans="1:8" x14ac:dyDescent="0.25">
      <c r="A37">
        <v>2009</v>
      </c>
      <c r="B37" s="3">
        <v>0</v>
      </c>
      <c r="C37" s="3">
        <v>0</v>
      </c>
      <c r="D37" s="3">
        <v>2.3897784938870111E-3</v>
      </c>
      <c r="E37" s="3">
        <v>-6.0342000000000002</v>
      </c>
      <c r="F37" s="3">
        <v>2</v>
      </c>
      <c r="G37" s="3">
        <v>1</v>
      </c>
      <c r="H37" s="44">
        <v>0</v>
      </c>
    </row>
    <row r="38" spans="1:8" x14ac:dyDescent="0.25">
      <c r="A38">
        <v>2009</v>
      </c>
      <c r="B38" s="3">
        <v>0</v>
      </c>
      <c r="C38" s="3">
        <v>0</v>
      </c>
      <c r="D38" s="3">
        <v>2.6640871521689067E-3</v>
      </c>
      <c r="E38" s="3">
        <v>-5.9252000000000002</v>
      </c>
      <c r="F38" s="3">
        <v>4</v>
      </c>
      <c r="G38" s="3">
        <v>0</v>
      </c>
      <c r="H38" s="44">
        <v>0</v>
      </c>
    </row>
    <row r="39" spans="1:8" x14ac:dyDescent="0.25">
      <c r="A39">
        <v>2009</v>
      </c>
      <c r="B39" s="3">
        <v>0</v>
      </c>
      <c r="C39" s="3">
        <v>0</v>
      </c>
      <c r="D39" s="3">
        <v>1.506770177865201E-3</v>
      </c>
      <c r="E39" s="3">
        <v>-6.4962999999999997</v>
      </c>
      <c r="F39" s="3">
        <v>3</v>
      </c>
      <c r="G39" s="3">
        <v>0</v>
      </c>
      <c r="H39" s="44">
        <v>0</v>
      </c>
    </row>
    <row r="40" spans="1:8" x14ac:dyDescent="0.25">
      <c r="A40">
        <v>2009</v>
      </c>
      <c r="B40" s="3">
        <v>0</v>
      </c>
      <c r="C40" s="3">
        <v>0</v>
      </c>
      <c r="D40" s="3">
        <v>6.8635221814071085E-2</v>
      </c>
      <c r="E40" s="3">
        <v>-2.6078000000000001</v>
      </c>
      <c r="F40" s="3">
        <v>8</v>
      </c>
      <c r="G40" s="3">
        <v>1</v>
      </c>
      <c r="H40" s="44">
        <v>0</v>
      </c>
    </row>
    <row r="41" spans="1:8" x14ac:dyDescent="0.25">
      <c r="A41">
        <v>2009</v>
      </c>
      <c r="B41" s="3">
        <v>0</v>
      </c>
      <c r="C41" s="3">
        <v>0</v>
      </c>
      <c r="D41" s="3">
        <v>2.2978475151535619E-2</v>
      </c>
      <c r="E41" s="3">
        <v>-3.75</v>
      </c>
      <c r="F41" s="3">
        <v>6</v>
      </c>
      <c r="G41" s="3">
        <v>1</v>
      </c>
      <c r="H41" s="44">
        <v>0</v>
      </c>
    </row>
    <row r="42" spans="1:8" x14ac:dyDescent="0.25">
      <c r="A42">
        <v>2009</v>
      </c>
      <c r="B42" s="3">
        <v>0</v>
      </c>
      <c r="C42" s="3">
        <v>0</v>
      </c>
      <c r="D42" s="3">
        <v>8.5177861473353185E-4</v>
      </c>
      <c r="E42" s="3">
        <v>-7.0673000000000004</v>
      </c>
      <c r="F42" s="3">
        <v>2</v>
      </c>
      <c r="G42" s="3">
        <v>0</v>
      </c>
      <c r="H42" s="44">
        <v>0</v>
      </c>
    </row>
    <row r="43" spans="1:8" x14ac:dyDescent="0.25">
      <c r="A43">
        <v>2009</v>
      </c>
      <c r="B43" s="3">
        <v>0</v>
      </c>
      <c r="C43" s="3">
        <v>0</v>
      </c>
      <c r="D43" s="3">
        <v>3.5990929333768816E-2</v>
      </c>
      <c r="E43" s="3">
        <v>-3.2877999999999998</v>
      </c>
      <c r="F43" s="3">
        <v>5</v>
      </c>
      <c r="G43" s="3">
        <v>2</v>
      </c>
      <c r="H43" s="44">
        <v>0</v>
      </c>
    </row>
    <row r="44" spans="1:8" x14ac:dyDescent="0.25">
      <c r="A44">
        <v>2009</v>
      </c>
      <c r="B44" s="3">
        <v>0</v>
      </c>
      <c r="C44" s="3">
        <v>0</v>
      </c>
      <c r="D44" s="3">
        <v>8.3003667265397815E-3</v>
      </c>
      <c r="E44" s="3">
        <v>-4.7831000000000001</v>
      </c>
      <c r="F44" s="3">
        <v>6</v>
      </c>
      <c r="G44" s="3">
        <v>0</v>
      </c>
      <c r="H44" s="44">
        <v>0</v>
      </c>
    </row>
    <row r="45" spans="1:8" x14ac:dyDescent="0.25">
      <c r="A45">
        <v>2010</v>
      </c>
      <c r="B45" s="42">
        <v>0</v>
      </c>
      <c r="C45" s="42">
        <v>1</v>
      </c>
      <c r="D45" s="42">
        <v>0.41979037458463492</v>
      </c>
      <c r="E45" s="42">
        <v>-0.3236</v>
      </c>
      <c r="F45" s="42">
        <v>12</v>
      </c>
      <c r="G45" s="42">
        <v>1</v>
      </c>
      <c r="H45" s="44">
        <v>0</v>
      </c>
    </row>
    <row r="46" spans="1:8" x14ac:dyDescent="0.25">
      <c r="A46">
        <v>2010</v>
      </c>
      <c r="B46" s="3">
        <v>0</v>
      </c>
      <c r="C46" s="3">
        <v>0</v>
      </c>
      <c r="D46" s="3">
        <v>1.3112325448542921E-2</v>
      </c>
      <c r="E46" s="3">
        <v>-4.3209999999999997</v>
      </c>
      <c r="F46" s="3">
        <v>5</v>
      </c>
      <c r="G46" s="3">
        <v>1</v>
      </c>
      <c r="H46" s="44">
        <v>0</v>
      </c>
    </row>
    <row r="47" spans="1:8" x14ac:dyDescent="0.25">
      <c r="A47">
        <v>2010</v>
      </c>
      <c r="B47" s="3">
        <v>0</v>
      </c>
      <c r="C47" s="3">
        <v>0</v>
      </c>
      <c r="D47" s="3">
        <v>0.10473108520416485</v>
      </c>
      <c r="E47" s="3">
        <v>-2.1457000000000002</v>
      </c>
      <c r="F47" s="3">
        <v>7</v>
      </c>
      <c r="G47" s="3">
        <v>2</v>
      </c>
      <c r="H47" s="44">
        <v>0</v>
      </c>
    </row>
    <row r="48" spans="1:8" x14ac:dyDescent="0.25">
      <c r="A48">
        <v>2010</v>
      </c>
      <c r="B48" s="3">
        <v>0</v>
      </c>
      <c r="C48" s="3">
        <v>0</v>
      </c>
      <c r="D48" s="3">
        <v>2.5555500696915728E-2</v>
      </c>
      <c r="E48" s="3">
        <v>-3.641</v>
      </c>
      <c r="F48" s="3">
        <v>8</v>
      </c>
      <c r="G48" s="3">
        <v>0</v>
      </c>
      <c r="H48" s="44">
        <v>0</v>
      </c>
    </row>
    <row r="49" spans="1:8" x14ac:dyDescent="0.25">
      <c r="A49">
        <v>2010</v>
      </c>
      <c r="B49" s="3">
        <v>0</v>
      </c>
      <c r="C49" s="3">
        <v>0</v>
      </c>
      <c r="D49" s="3">
        <v>2.0655809194170219E-2</v>
      </c>
      <c r="E49" s="3">
        <v>-3.8589000000000002</v>
      </c>
      <c r="F49" s="3">
        <v>4</v>
      </c>
      <c r="G49" s="3">
        <v>2</v>
      </c>
      <c r="H49" s="44">
        <v>0</v>
      </c>
    </row>
    <row r="50" spans="1:8" x14ac:dyDescent="0.25">
      <c r="A50">
        <v>2010</v>
      </c>
      <c r="B50" s="3">
        <v>0</v>
      </c>
      <c r="C50" s="3">
        <v>0</v>
      </c>
      <c r="D50" s="3">
        <v>8.3003667265397815E-3</v>
      </c>
      <c r="E50" s="3">
        <v>-4.7831000000000001</v>
      </c>
      <c r="F50" s="3">
        <v>6</v>
      </c>
      <c r="G50" s="3">
        <v>0</v>
      </c>
      <c r="H50" s="44">
        <v>0</v>
      </c>
    </row>
    <row r="51" spans="1:8" x14ac:dyDescent="0.25">
      <c r="A51">
        <v>2010</v>
      </c>
      <c r="B51" s="42">
        <v>1</v>
      </c>
      <c r="C51" s="42">
        <v>0</v>
      </c>
      <c r="D51" s="42">
        <v>0.62049840743522267</v>
      </c>
      <c r="E51" s="42">
        <v>0.49170000000000003</v>
      </c>
      <c r="F51" s="42">
        <v>8</v>
      </c>
      <c r="G51" s="42">
        <v>4</v>
      </c>
      <c r="H51" s="44">
        <v>1</v>
      </c>
    </row>
    <row r="52" spans="1:8" x14ac:dyDescent="0.25">
      <c r="A52">
        <v>2010</v>
      </c>
      <c r="B52" s="3">
        <v>0</v>
      </c>
      <c r="C52" s="3">
        <v>0</v>
      </c>
      <c r="D52" s="3">
        <v>1.3112325448542921E-2</v>
      </c>
      <c r="E52" s="3">
        <v>-4.3209999999999997</v>
      </c>
      <c r="F52" s="3">
        <v>5</v>
      </c>
      <c r="G52" s="3">
        <v>1</v>
      </c>
      <c r="H52" s="44">
        <v>0</v>
      </c>
    </row>
    <row r="53" spans="1:8" x14ac:dyDescent="0.25">
      <c r="A53">
        <v>2010</v>
      </c>
      <c r="B53" s="3">
        <v>0</v>
      </c>
      <c r="C53" s="3">
        <v>0</v>
      </c>
      <c r="D53" s="3">
        <v>7.5934671623267821E-2</v>
      </c>
      <c r="E53" s="3">
        <v>-2.4988999999999999</v>
      </c>
      <c r="F53" s="3">
        <v>10</v>
      </c>
      <c r="G53" s="3">
        <v>0</v>
      </c>
      <c r="H53" s="44">
        <v>0</v>
      </c>
    </row>
    <row r="54" spans="1:8" x14ac:dyDescent="0.25">
      <c r="A54">
        <v>2010</v>
      </c>
      <c r="B54" s="3">
        <v>0</v>
      </c>
      <c r="C54" s="3">
        <v>0</v>
      </c>
      <c r="D54" s="3">
        <v>2.6640871521689067E-3</v>
      </c>
      <c r="E54" s="3">
        <v>-5.9252000000000002</v>
      </c>
      <c r="F54" s="3">
        <v>4</v>
      </c>
      <c r="G54" s="3">
        <v>0</v>
      </c>
      <c r="H54" s="44">
        <v>0</v>
      </c>
    </row>
    <row r="55" spans="1:8" x14ac:dyDescent="0.25">
      <c r="A55">
        <v>2011</v>
      </c>
      <c r="B55" s="3">
        <v>1</v>
      </c>
      <c r="C55" s="3">
        <v>1</v>
      </c>
      <c r="D55" s="3">
        <v>0.64579357254318581</v>
      </c>
      <c r="E55" s="3">
        <v>0.60060000000000002</v>
      </c>
      <c r="F55" s="3">
        <v>10</v>
      </c>
      <c r="G55" s="3">
        <v>3</v>
      </c>
      <c r="H55" s="44">
        <v>1</v>
      </c>
    </row>
    <row r="56" spans="1:8" x14ac:dyDescent="0.25">
      <c r="A56">
        <v>2011</v>
      </c>
      <c r="B56" s="3">
        <v>0</v>
      </c>
      <c r="C56" s="3">
        <v>0</v>
      </c>
      <c r="D56" s="3">
        <v>3.5990929333768816E-2</v>
      </c>
      <c r="E56" s="3">
        <v>-3.2877999999999998</v>
      </c>
      <c r="F56" s="3">
        <v>5</v>
      </c>
      <c r="G56" s="3">
        <v>2</v>
      </c>
      <c r="H56" s="44">
        <v>0</v>
      </c>
    </row>
    <row r="57" spans="1:8" x14ac:dyDescent="0.25">
      <c r="A57">
        <v>2011</v>
      </c>
      <c r="B57" s="3">
        <v>0</v>
      </c>
      <c r="C57" s="3">
        <v>0</v>
      </c>
      <c r="D57" s="3">
        <v>8.5177861473353185E-4</v>
      </c>
      <c r="E57" s="3">
        <v>-7.0673000000000004</v>
      </c>
      <c r="F57" s="3">
        <v>2</v>
      </c>
      <c r="G57" s="3">
        <v>0</v>
      </c>
      <c r="H57" s="44">
        <v>0</v>
      </c>
    </row>
    <row r="58" spans="1:8" x14ac:dyDescent="0.25">
      <c r="A58">
        <v>2011</v>
      </c>
      <c r="B58" s="3">
        <v>0</v>
      </c>
      <c r="C58" s="3">
        <v>0</v>
      </c>
      <c r="D58" s="3">
        <v>7.4500517088275046E-3</v>
      </c>
      <c r="E58" s="3">
        <v>-4.8921000000000001</v>
      </c>
      <c r="F58" s="3">
        <v>4</v>
      </c>
      <c r="G58" s="3">
        <v>1</v>
      </c>
      <c r="H58" s="44">
        <v>0</v>
      </c>
    </row>
    <row r="59" spans="1:8" x14ac:dyDescent="0.25">
      <c r="A59">
        <v>2011</v>
      </c>
      <c r="B59" s="3">
        <v>0</v>
      </c>
      <c r="C59" s="3">
        <v>0</v>
      </c>
      <c r="D59" s="3">
        <v>7.4500517088275046E-3</v>
      </c>
      <c r="E59" s="3">
        <v>-4.8921000000000001</v>
      </c>
      <c r="F59" s="3">
        <v>4</v>
      </c>
      <c r="G59" s="3">
        <v>1</v>
      </c>
      <c r="H59" s="44">
        <v>0</v>
      </c>
    </row>
    <row r="60" spans="1:8" x14ac:dyDescent="0.25">
      <c r="A60">
        <v>2011</v>
      </c>
      <c r="B60" s="3">
        <v>0</v>
      </c>
      <c r="C60" s="3">
        <v>0</v>
      </c>
      <c r="D60" s="3">
        <v>8.3003667265397815E-3</v>
      </c>
      <c r="E60" s="3">
        <v>-4.7831000000000001</v>
      </c>
      <c r="F60" s="3">
        <v>6</v>
      </c>
      <c r="G60" s="3">
        <v>0</v>
      </c>
      <c r="H60" s="44">
        <v>0</v>
      </c>
    </row>
    <row r="61" spans="1:8" x14ac:dyDescent="0.25">
      <c r="A61">
        <v>2011</v>
      </c>
      <c r="B61" s="3">
        <v>0</v>
      </c>
      <c r="C61" s="3">
        <v>0</v>
      </c>
      <c r="D61" s="3">
        <v>1.506770177865201E-3</v>
      </c>
      <c r="E61" s="3">
        <v>-6.4962999999999997</v>
      </c>
      <c r="F61" s="3">
        <v>3</v>
      </c>
      <c r="G61" s="3">
        <v>0</v>
      </c>
      <c r="H61" s="44">
        <v>0</v>
      </c>
    </row>
    <row r="62" spans="1:8" x14ac:dyDescent="0.25">
      <c r="A62">
        <v>2011</v>
      </c>
      <c r="B62" s="3">
        <v>0</v>
      </c>
      <c r="C62" s="3">
        <v>0</v>
      </c>
      <c r="D62" s="3">
        <v>8.3003667265397815E-3</v>
      </c>
      <c r="E62" s="3">
        <v>-4.7831000000000001</v>
      </c>
      <c r="F62" s="3">
        <v>6</v>
      </c>
      <c r="G62" s="3">
        <v>0</v>
      </c>
      <c r="H62" s="44">
        <v>0</v>
      </c>
    </row>
    <row r="63" spans="1:8" x14ac:dyDescent="0.25">
      <c r="A63">
        <v>2012</v>
      </c>
      <c r="B63" s="42">
        <v>0</v>
      </c>
      <c r="C63" s="42">
        <v>1</v>
      </c>
      <c r="D63" s="42">
        <v>3.9967597583531363E-2</v>
      </c>
      <c r="E63" s="42">
        <v>-3.1789000000000001</v>
      </c>
      <c r="F63" s="42">
        <v>7</v>
      </c>
      <c r="G63" s="42">
        <v>1</v>
      </c>
      <c r="H63" s="44">
        <v>0</v>
      </c>
    </row>
    <row r="64" spans="1:8" x14ac:dyDescent="0.25">
      <c r="A64">
        <v>2012</v>
      </c>
      <c r="B64" s="3">
        <v>0</v>
      </c>
      <c r="C64" s="3">
        <v>0</v>
      </c>
      <c r="D64" s="3">
        <v>1.3112325448542921E-2</v>
      </c>
      <c r="E64" s="3">
        <v>-4.3209999999999997</v>
      </c>
      <c r="F64" s="3">
        <v>5</v>
      </c>
      <c r="G64" s="3">
        <v>1</v>
      </c>
      <c r="H64" s="44">
        <v>0</v>
      </c>
    </row>
    <row r="65" spans="1:8" x14ac:dyDescent="0.25">
      <c r="A65">
        <v>2012</v>
      </c>
      <c r="B65" s="3">
        <v>0</v>
      </c>
      <c r="C65" s="3">
        <v>0</v>
      </c>
      <c r="D65" s="3">
        <v>2.6640871521689067E-3</v>
      </c>
      <c r="E65" s="3">
        <v>-5.9252000000000002</v>
      </c>
      <c r="F65" s="3">
        <v>4</v>
      </c>
      <c r="G65" s="3">
        <v>0</v>
      </c>
      <c r="H65" s="44">
        <v>0</v>
      </c>
    </row>
    <row r="66" spans="1:8" x14ac:dyDescent="0.25">
      <c r="A66">
        <v>2012</v>
      </c>
      <c r="B66" s="3">
        <v>0</v>
      </c>
      <c r="C66" s="3">
        <v>0</v>
      </c>
      <c r="D66" s="3">
        <v>3.5990929333768816E-2</v>
      </c>
      <c r="E66" s="3">
        <v>-3.2877999999999998</v>
      </c>
      <c r="F66" s="3">
        <v>5</v>
      </c>
      <c r="G66" s="3">
        <v>2</v>
      </c>
      <c r="H66" s="44">
        <v>0</v>
      </c>
    </row>
    <row r="67" spans="1:8" x14ac:dyDescent="0.25">
      <c r="A67">
        <v>2012</v>
      </c>
      <c r="B67" s="3">
        <v>0</v>
      </c>
      <c r="C67" s="3">
        <v>0</v>
      </c>
      <c r="D67" s="3">
        <v>0.36783741989417773</v>
      </c>
      <c r="E67" s="3">
        <v>-0.54149999999999998</v>
      </c>
      <c r="F67" s="3">
        <v>8</v>
      </c>
      <c r="G67" s="3">
        <v>3</v>
      </c>
      <c r="H67" s="44">
        <v>0</v>
      </c>
    </row>
    <row r="68" spans="1:8" x14ac:dyDescent="0.25">
      <c r="A68">
        <v>2012</v>
      </c>
      <c r="B68" s="3">
        <v>0</v>
      </c>
      <c r="C68" s="3">
        <v>0</v>
      </c>
      <c r="D68" s="3">
        <v>0.29014358821209585</v>
      </c>
      <c r="E68" s="3">
        <v>-0.89470000000000005</v>
      </c>
      <c r="F68" s="3">
        <v>11</v>
      </c>
      <c r="G68" s="3">
        <v>1</v>
      </c>
      <c r="H68" s="44">
        <v>0</v>
      </c>
    </row>
    <row r="69" spans="1:8" x14ac:dyDescent="0.25">
      <c r="A69">
        <v>2012</v>
      </c>
      <c r="B69" s="3">
        <v>0</v>
      </c>
      <c r="C69" s="3">
        <v>0</v>
      </c>
      <c r="D69" s="3">
        <v>0.41979037458463492</v>
      </c>
      <c r="E69" s="3">
        <v>-0.3236</v>
      </c>
      <c r="F69" s="3">
        <v>12</v>
      </c>
      <c r="G69" s="3">
        <v>1</v>
      </c>
      <c r="H69" s="44">
        <v>1</v>
      </c>
    </row>
    <row r="70" spans="1:8" x14ac:dyDescent="0.25">
      <c r="A70">
        <v>2012</v>
      </c>
      <c r="B70" s="3">
        <v>0</v>
      </c>
      <c r="C70" s="3">
        <v>0</v>
      </c>
      <c r="D70" s="3">
        <v>6.8635221814071085E-2</v>
      </c>
      <c r="E70" s="3">
        <v>-2.6078000000000001</v>
      </c>
      <c r="F70" s="3">
        <v>8</v>
      </c>
      <c r="G70" s="3">
        <v>1</v>
      </c>
      <c r="H70" s="44">
        <v>0</v>
      </c>
    </row>
    <row r="71" spans="1:8" x14ac:dyDescent="0.25">
      <c r="A71">
        <v>2012</v>
      </c>
      <c r="B71" s="3">
        <v>0</v>
      </c>
      <c r="C71" s="3">
        <v>0</v>
      </c>
      <c r="D71" s="3">
        <v>1.3112325448542921E-2</v>
      </c>
      <c r="E71" s="3">
        <v>-4.3209999999999997</v>
      </c>
      <c r="F71" s="3">
        <v>5</v>
      </c>
      <c r="G71" s="3">
        <v>1</v>
      </c>
      <c r="H71" s="44">
        <v>0</v>
      </c>
    </row>
    <row r="72" spans="1:8" x14ac:dyDescent="0.25">
      <c r="A72">
        <v>2013</v>
      </c>
      <c r="B72" s="42">
        <v>0</v>
      </c>
      <c r="C72" s="42">
        <v>1</v>
      </c>
      <c r="D72" s="42">
        <v>2.2978475151535619E-2</v>
      </c>
      <c r="E72" s="42">
        <v>-3.75</v>
      </c>
      <c r="F72" s="42">
        <v>6</v>
      </c>
      <c r="G72" s="42">
        <v>1</v>
      </c>
      <c r="H72" s="44">
        <v>0</v>
      </c>
    </row>
    <row r="73" spans="1:8" x14ac:dyDescent="0.25">
      <c r="A73">
        <v>2013</v>
      </c>
      <c r="B73" s="42">
        <v>1</v>
      </c>
      <c r="C73" s="42">
        <v>0</v>
      </c>
      <c r="D73" s="42">
        <v>0.64579357254318581</v>
      </c>
      <c r="E73" s="42">
        <v>0.60060000000000002</v>
      </c>
      <c r="F73" s="42">
        <v>10</v>
      </c>
      <c r="G73" s="42">
        <v>3</v>
      </c>
      <c r="H73" s="44">
        <v>1</v>
      </c>
    </row>
    <row r="74" spans="1:8" x14ac:dyDescent="0.25">
      <c r="A74">
        <v>2013</v>
      </c>
      <c r="B74" s="3">
        <v>0</v>
      </c>
      <c r="C74" s="3">
        <v>0</v>
      </c>
      <c r="D74" s="3">
        <v>8.3003667265397815E-3</v>
      </c>
      <c r="E74" s="3">
        <v>-4.7831000000000001</v>
      </c>
      <c r="F74" s="3">
        <v>6</v>
      </c>
      <c r="G74" s="3">
        <v>0</v>
      </c>
      <c r="H74" s="44">
        <v>0</v>
      </c>
    </row>
    <row r="75" spans="1:8" x14ac:dyDescent="0.25">
      <c r="A75">
        <v>2013</v>
      </c>
      <c r="B75" s="3">
        <v>0</v>
      </c>
      <c r="C75" s="3">
        <v>0</v>
      </c>
      <c r="D75" s="3">
        <v>6.1990381774628532E-2</v>
      </c>
      <c r="E75" s="3">
        <v>-2.7168000000000001</v>
      </c>
      <c r="F75" s="3">
        <v>6</v>
      </c>
      <c r="G75" s="3">
        <v>2</v>
      </c>
      <c r="H75" s="44">
        <v>0</v>
      </c>
    </row>
    <row r="76" spans="1:8" x14ac:dyDescent="0.25">
      <c r="A76">
        <v>2013</v>
      </c>
      <c r="B76" s="3">
        <v>0</v>
      </c>
      <c r="C76" s="3">
        <v>0</v>
      </c>
      <c r="D76" s="3">
        <v>0.18759104097085189</v>
      </c>
      <c r="E76" s="3">
        <v>-1.4657</v>
      </c>
      <c r="F76" s="3">
        <v>10</v>
      </c>
      <c r="G76" s="3">
        <v>1</v>
      </c>
      <c r="H76" s="44">
        <v>0</v>
      </c>
    </row>
    <row r="77" spans="1:8" x14ac:dyDescent="0.25">
      <c r="A77">
        <v>2013</v>
      </c>
      <c r="B77" s="3">
        <v>0</v>
      </c>
      <c r="C77" s="3">
        <v>0</v>
      </c>
      <c r="D77" s="3">
        <v>1.3112325448542921E-2</v>
      </c>
      <c r="E77" s="3">
        <v>-4.3209999999999997</v>
      </c>
      <c r="F77" s="3">
        <v>5</v>
      </c>
      <c r="G77" s="3">
        <v>1</v>
      </c>
      <c r="H77" s="44">
        <v>0</v>
      </c>
    </row>
    <row r="78" spans="1:8" x14ac:dyDescent="0.25">
      <c r="A78">
        <v>2013</v>
      </c>
      <c r="B78" s="3">
        <v>0</v>
      </c>
      <c r="C78" s="3">
        <v>0</v>
      </c>
      <c r="D78" s="3">
        <v>8.3003667265397815E-3</v>
      </c>
      <c r="E78" s="3">
        <v>-4.7831000000000001</v>
      </c>
      <c r="F78" s="3">
        <v>6</v>
      </c>
      <c r="G78" s="3">
        <v>0</v>
      </c>
      <c r="H78" s="44">
        <v>0</v>
      </c>
    </row>
    <row r="79" spans="1:8" x14ac:dyDescent="0.25">
      <c r="A79">
        <v>2013</v>
      </c>
      <c r="B79" s="3">
        <v>0</v>
      </c>
      <c r="C79" s="3">
        <v>0</v>
      </c>
      <c r="D79" s="3">
        <v>2.6640871521689067E-3</v>
      </c>
      <c r="E79" s="3">
        <v>-5.9252000000000002</v>
      </c>
      <c r="F79" s="3">
        <v>4</v>
      </c>
      <c r="G79" s="3">
        <v>0</v>
      </c>
      <c r="H79" s="44">
        <v>0</v>
      </c>
    </row>
    <row r="80" spans="1:8" x14ac:dyDescent="0.25">
      <c r="A80">
        <v>2013</v>
      </c>
      <c r="B80" s="3">
        <v>0</v>
      </c>
      <c r="C80" s="3">
        <v>0</v>
      </c>
      <c r="D80" s="3">
        <v>1.3112325448542921E-2</v>
      </c>
      <c r="E80" s="3">
        <v>-4.3209999999999997</v>
      </c>
      <c r="F80" s="3">
        <v>5</v>
      </c>
      <c r="G80" s="3">
        <v>1</v>
      </c>
      <c r="H80" s="44">
        <v>0</v>
      </c>
    </row>
  </sheetData>
  <mergeCells count="17">
    <mergeCell ref="B3:M3"/>
    <mergeCell ref="P3:S3"/>
    <mergeCell ref="H4:I4"/>
    <mergeCell ref="J4:K4"/>
    <mergeCell ref="L4:M4"/>
    <mergeCell ref="B5:C5"/>
    <mergeCell ref="D5:E5"/>
    <mergeCell ref="F5:G5"/>
    <mergeCell ref="H5:I5"/>
    <mergeCell ref="J5:K5"/>
    <mergeCell ref="L5:M5"/>
    <mergeCell ref="C10:F10"/>
    <mergeCell ref="C11:F11"/>
    <mergeCell ref="C12:F12"/>
    <mergeCell ref="B4:C4"/>
    <mergeCell ref="D4:E4"/>
    <mergeCell ref="F4:G4"/>
  </mergeCells>
  <hyperlinks>
    <hyperlink ref="B4" location="'LR_NewScore1'!$B$10:$B$10" display="New Data Detail Rpt."/>
    <hyperlink ref="D4" location="'LR_Output1'!$B$10:$B$10" display="Inputs"/>
    <hyperlink ref="F4" location="'LR_Output1'!$B$43:$B$43" display="Prior Class Prob."/>
    <hyperlink ref="H4" location="'LR_Output1'!$B$52:$B$52" display="Predictors"/>
    <hyperlink ref="J4" location="'LR_Output1'!$B$63:$B$63" display="Regress. Model"/>
    <hyperlink ref="L4" location="'LR_Output1'!$B$71:$B$71" display="Train. Score Summary"/>
    <hyperlink ref="B5" location="'LR_Output1'!$B$95:$B$95" display="Valid. Score Summary"/>
    <hyperlink ref="D5" location="'LR_TrainingLiftChart1'!$B$10:$B$10" display="Training Lift Chart"/>
    <hyperlink ref="F5" location="'LR_TrainingScore1'!$B$10:$B$10" display="Train. Score - Detailed Rep."/>
    <hyperlink ref="H5" location="'LR_ValidationLiftChart1'!$B$10:$B$10" display="Validation Lift Chart"/>
    <hyperlink ref="J5" location="'LR_ValidationScore1'!$B$10:$B$10" display="Valid. Score - Detailed Rep.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B108"/>
  <sheetViews>
    <sheetView showGridLines="0" workbookViewId="0"/>
  </sheetViews>
  <sheetFormatPr defaultRowHeight="15" x14ac:dyDescent="0.25"/>
  <cols>
    <col min="16" max="16" width="13.28515625" bestFit="1" customWidth="1"/>
    <col min="52" max="52" width="8.140625" customWidth="1"/>
    <col min="53" max="53" width="15" bestFit="1" customWidth="1"/>
    <col min="54" max="54" width="12.140625" bestFit="1" customWidth="1"/>
    <col min="55" max="55" width="45.42578125" bestFit="1" customWidth="1"/>
    <col min="56" max="56" width="27.7109375" bestFit="1" customWidth="1"/>
    <col min="57" max="57" width="6.42578125" customWidth="1"/>
    <col min="58" max="58" width="22.42578125" bestFit="1" customWidth="1"/>
    <col min="78" max="80" width="12" bestFit="1" customWidth="1"/>
  </cols>
  <sheetData>
    <row r="1" spans="2:80" ht="18.75" x14ac:dyDescent="0.3">
      <c r="B1" s="2" t="s">
        <v>258</v>
      </c>
      <c r="N1" t="s">
        <v>369</v>
      </c>
      <c r="BZ1" s="5" t="s">
        <v>241</v>
      </c>
      <c r="CA1" s="5" t="s">
        <v>242</v>
      </c>
      <c r="CB1" s="5" t="s">
        <v>243</v>
      </c>
    </row>
    <row r="2" spans="2:80" x14ac:dyDescent="0.25">
      <c r="BZ2">
        <v>0</v>
      </c>
      <c r="CA2">
        <v>0</v>
      </c>
      <c r="CB2">
        <v>0</v>
      </c>
    </row>
    <row r="3" spans="2:80" ht="15.75" x14ac:dyDescent="0.25">
      <c r="B3" s="6" t="s">
        <v>190</v>
      </c>
      <c r="C3" s="7"/>
      <c r="D3" s="7"/>
      <c r="E3" s="7"/>
      <c r="F3" s="7"/>
      <c r="G3" s="7"/>
      <c r="H3" s="7"/>
      <c r="I3" s="7"/>
      <c r="J3" s="7"/>
      <c r="K3" s="7"/>
      <c r="L3" s="7"/>
      <c r="M3" s="8"/>
      <c r="P3" s="6" t="s">
        <v>191</v>
      </c>
      <c r="Q3" s="7"/>
      <c r="R3" s="7"/>
      <c r="S3" s="8"/>
      <c r="AZ3" s="5" t="s">
        <v>234</v>
      </c>
      <c r="BA3" s="5" t="s">
        <v>235</v>
      </c>
      <c r="BB3" s="5" t="s">
        <v>236</v>
      </c>
      <c r="BC3" s="5" t="s">
        <v>237</v>
      </c>
      <c r="BD3" s="5" t="s">
        <v>238</v>
      </c>
      <c r="BE3" s="5" t="s">
        <v>239</v>
      </c>
      <c r="BF3" s="5" t="s">
        <v>240</v>
      </c>
      <c r="BZ3">
        <v>0</v>
      </c>
      <c r="CA3">
        <v>4.7619047619047616E-2</v>
      </c>
      <c r="CB3">
        <v>0</v>
      </c>
    </row>
    <row r="4" spans="2:80" x14ac:dyDescent="0.25">
      <c r="B4" s="18" t="s">
        <v>375</v>
      </c>
      <c r="C4" s="14"/>
      <c r="D4" s="18" t="s">
        <v>249</v>
      </c>
      <c r="E4" s="14"/>
      <c r="F4" s="18" t="s">
        <v>250</v>
      </c>
      <c r="G4" s="14"/>
      <c r="H4" s="18" t="s">
        <v>251</v>
      </c>
      <c r="I4" s="14"/>
      <c r="J4" s="18" t="s">
        <v>252</v>
      </c>
      <c r="K4" s="14"/>
      <c r="L4" s="18" t="s">
        <v>254</v>
      </c>
      <c r="M4" s="14"/>
      <c r="P4" s="5" t="s">
        <v>232</v>
      </c>
      <c r="Q4" s="5" t="s">
        <v>233</v>
      </c>
      <c r="R4" s="5" t="s">
        <v>193</v>
      </c>
      <c r="S4" s="5" t="s">
        <v>194</v>
      </c>
      <c r="AZ4" s="19">
        <v>1</v>
      </c>
      <c r="BA4" s="19">
        <v>0.98050636300015592</v>
      </c>
      <c r="BB4" s="19">
        <v>1</v>
      </c>
      <c r="BC4" s="19">
        <v>1</v>
      </c>
      <c r="BD4" s="19">
        <v>0.2</v>
      </c>
      <c r="BE4">
        <v>1</v>
      </c>
      <c r="BF4">
        <v>4.5</v>
      </c>
      <c r="BZ4">
        <v>0</v>
      </c>
      <c r="CA4">
        <v>0.19047619047619047</v>
      </c>
      <c r="CB4">
        <v>0</v>
      </c>
    </row>
    <row r="5" spans="2:80" x14ac:dyDescent="0.25">
      <c r="B5" s="18" t="s">
        <v>255</v>
      </c>
      <c r="C5" s="14"/>
      <c r="D5" s="18" t="s">
        <v>256</v>
      </c>
      <c r="E5" s="14"/>
      <c r="F5" s="18" t="s">
        <v>356</v>
      </c>
      <c r="G5" s="14"/>
      <c r="H5" s="18" t="s">
        <v>257</v>
      </c>
      <c r="I5" s="14"/>
      <c r="J5" s="18" t="s">
        <v>357</v>
      </c>
      <c r="K5" s="14"/>
      <c r="L5" s="12"/>
      <c r="M5" s="14"/>
      <c r="P5" s="3">
        <v>1</v>
      </c>
      <c r="Q5" s="3">
        <v>1</v>
      </c>
      <c r="R5" s="3">
        <v>4</v>
      </c>
      <c r="S5" s="3">
        <v>6</v>
      </c>
      <c r="AZ5" s="19">
        <v>2</v>
      </c>
      <c r="BA5" s="19">
        <v>0.91001011394916054</v>
      </c>
      <c r="BB5" s="19">
        <v>1</v>
      </c>
      <c r="BC5" s="19">
        <v>2</v>
      </c>
      <c r="BD5" s="19">
        <v>0.4</v>
      </c>
      <c r="BE5">
        <v>2</v>
      </c>
      <c r="BF5">
        <v>2.5</v>
      </c>
      <c r="BZ5">
        <v>0</v>
      </c>
      <c r="CA5">
        <v>0.2857142857142857</v>
      </c>
      <c r="CB5">
        <v>0</v>
      </c>
    </row>
    <row r="6" spans="2:80" x14ac:dyDescent="0.25">
      <c r="AZ6" s="19">
        <v>3</v>
      </c>
      <c r="BA6" s="19">
        <v>0.91001011394916054</v>
      </c>
      <c r="BB6" s="19">
        <v>1</v>
      </c>
      <c r="BC6" s="19">
        <v>3</v>
      </c>
      <c r="BD6" s="19">
        <v>0.60000000000000009</v>
      </c>
      <c r="BE6">
        <v>3</v>
      </c>
      <c r="BF6">
        <v>1.5</v>
      </c>
      <c r="BZ6">
        <v>0</v>
      </c>
      <c r="CA6">
        <v>0.38095238095238093</v>
      </c>
      <c r="CB6">
        <v>0</v>
      </c>
    </row>
    <row r="7" spans="2:80" x14ac:dyDescent="0.25">
      <c r="AZ7" s="19">
        <v>4</v>
      </c>
      <c r="BA7" s="19">
        <v>0.91001011394916054</v>
      </c>
      <c r="BB7" s="19">
        <v>1</v>
      </c>
      <c r="BC7" s="19">
        <v>4</v>
      </c>
      <c r="BD7" s="19">
        <v>0.8</v>
      </c>
      <c r="BE7">
        <v>4</v>
      </c>
      <c r="BF7">
        <v>1.5</v>
      </c>
      <c r="BZ7">
        <v>2.3809523809523808E-2</v>
      </c>
      <c r="CA7">
        <v>0.42857142857142855</v>
      </c>
      <c r="CB7">
        <v>2.3809523809523808E-2</v>
      </c>
    </row>
    <row r="8" spans="2:80" x14ac:dyDescent="0.25">
      <c r="AZ8" s="19">
        <v>5</v>
      </c>
      <c r="BA8" s="19">
        <v>0.90068175015654606</v>
      </c>
      <c r="BB8" s="19">
        <v>1</v>
      </c>
      <c r="BC8" s="19">
        <v>5</v>
      </c>
      <c r="BD8" s="19">
        <v>1</v>
      </c>
      <c r="BE8">
        <v>5</v>
      </c>
      <c r="BF8">
        <v>0</v>
      </c>
      <c r="BZ8">
        <v>2.3809523809523808E-2</v>
      </c>
      <c r="CA8">
        <v>0.47619047619047616</v>
      </c>
      <c r="CB8">
        <v>2.3809523809523808E-2</v>
      </c>
    </row>
    <row r="9" spans="2:80" x14ac:dyDescent="0.25">
      <c r="AZ9" s="19">
        <v>6</v>
      </c>
      <c r="BA9" s="19">
        <v>0.90068175015654606</v>
      </c>
      <c r="BB9" s="19">
        <v>1</v>
      </c>
      <c r="BC9" s="19">
        <v>6</v>
      </c>
      <c r="BD9" s="19">
        <v>1.2000000000000002</v>
      </c>
      <c r="BE9">
        <v>6</v>
      </c>
      <c r="BF9">
        <v>0.5</v>
      </c>
      <c r="BZ9">
        <v>2.3809523809523808E-2</v>
      </c>
      <c r="CA9">
        <v>0.5714285714285714</v>
      </c>
      <c r="CB9">
        <v>2.3809523809523808E-2</v>
      </c>
    </row>
    <row r="10" spans="2:80" x14ac:dyDescent="0.25">
      <c r="AZ10" s="19">
        <v>7</v>
      </c>
      <c r="BA10" s="19">
        <v>0.85103040467978375</v>
      </c>
      <c r="BB10" s="19">
        <v>1</v>
      </c>
      <c r="BC10" s="19">
        <v>7</v>
      </c>
      <c r="BD10" s="19">
        <v>1.4000000000000001</v>
      </c>
      <c r="BE10">
        <v>7</v>
      </c>
      <c r="BF10">
        <v>0</v>
      </c>
      <c r="BZ10">
        <v>4.7619047619047616E-2</v>
      </c>
      <c r="CA10">
        <v>0.61904761904761907</v>
      </c>
      <c r="CB10">
        <v>4.7619047619047616E-2</v>
      </c>
    </row>
    <row r="11" spans="2:80" x14ac:dyDescent="0.25">
      <c r="AZ11" s="19">
        <v>8</v>
      </c>
      <c r="BA11" s="19">
        <v>0.85103040467978375</v>
      </c>
      <c r="BB11" s="19">
        <v>1</v>
      </c>
      <c r="BC11" s="19">
        <v>8</v>
      </c>
      <c r="BD11" s="19">
        <v>1.6</v>
      </c>
      <c r="BE11">
        <v>8</v>
      </c>
      <c r="BF11">
        <v>0</v>
      </c>
      <c r="BZ11">
        <v>5.9523809523809521E-2</v>
      </c>
      <c r="CA11">
        <v>0.61904761904761907</v>
      </c>
      <c r="CB11">
        <v>5.9523809523809521E-2</v>
      </c>
    </row>
    <row r="12" spans="2:80" x14ac:dyDescent="0.25">
      <c r="AZ12" s="19">
        <v>9</v>
      </c>
      <c r="BA12" s="19">
        <v>0.76344364285904009</v>
      </c>
      <c r="BB12" s="19">
        <v>0</v>
      </c>
      <c r="BC12" s="19">
        <v>8</v>
      </c>
      <c r="BD12" s="19">
        <v>1.8</v>
      </c>
      <c r="BE12">
        <v>9</v>
      </c>
      <c r="BF12">
        <v>0</v>
      </c>
      <c r="BZ12">
        <v>5.9523809523809521E-2</v>
      </c>
      <c r="CA12">
        <v>0.66666666666666663</v>
      </c>
      <c r="CB12">
        <v>5.9523809523809521E-2</v>
      </c>
    </row>
    <row r="13" spans="2:80" x14ac:dyDescent="0.25">
      <c r="AZ13" s="19">
        <v>10</v>
      </c>
      <c r="BA13" s="19">
        <v>0.76344364285904009</v>
      </c>
      <c r="BB13" s="19">
        <v>1</v>
      </c>
      <c r="BC13" s="19">
        <v>9</v>
      </c>
      <c r="BD13" s="19">
        <v>2</v>
      </c>
      <c r="BE13">
        <v>10</v>
      </c>
      <c r="BF13">
        <v>0</v>
      </c>
      <c r="BZ13">
        <v>8.3333333333333329E-2</v>
      </c>
      <c r="CA13">
        <v>0.66666666666666663</v>
      </c>
      <c r="CB13">
        <v>8.3333333333333329E-2</v>
      </c>
    </row>
    <row r="14" spans="2:80" x14ac:dyDescent="0.25">
      <c r="AZ14" s="20">
        <v>11</v>
      </c>
      <c r="BA14" s="20">
        <v>0.76344364285904009</v>
      </c>
      <c r="BB14" s="20">
        <v>0</v>
      </c>
      <c r="BC14" s="20">
        <v>9</v>
      </c>
      <c r="BD14" s="20">
        <v>2.2000000000000002</v>
      </c>
      <c r="BZ14">
        <v>9.5238095238095233E-2</v>
      </c>
      <c r="CA14">
        <v>0.76190476190476186</v>
      </c>
      <c r="CB14">
        <v>9.5238095238095233E-2</v>
      </c>
    </row>
    <row r="15" spans="2:80" x14ac:dyDescent="0.25">
      <c r="AZ15" s="20">
        <v>12</v>
      </c>
      <c r="BA15" s="20">
        <v>0.74320943315777543</v>
      </c>
      <c r="BB15" s="20">
        <v>1</v>
      </c>
      <c r="BC15" s="20">
        <v>10</v>
      </c>
      <c r="BD15" s="20">
        <v>2.4000000000000004</v>
      </c>
      <c r="BZ15">
        <v>0.10714285714285714</v>
      </c>
      <c r="CA15">
        <v>0.76190476190476186</v>
      </c>
      <c r="CB15">
        <v>0.10714285714285714</v>
      </c>
    </row>
    <row r="16" spans="2:80" x14ac:dyDescent="0.25">
      <c r="AZ16" s="20">
        <v>13</v>
      </c>
      <c r="BA16" s="20">
        <v>0.67029858559512201</v>
      </c>
      <c r="BB16" s="20">
        <v>1</v>
      </c>
      <c r="BC16" s="20">
        <v>11</v>
      </c>
      <c r="BD16" s="20">
        <v>2.6</v>
      </c>
      <c r="BZ16">
        <v>0.11904761904761904</v>
      </c>
      <c r="CA16">
        <v>0.76190476190476186</v>
      </c>
      <c r="CB16">
        <v>0.11904761904761904</v>
      </c>
    </row>
    <row r="17" spans="52:80" x14ac:dyDescent="0.25">
      <c r="AZ17" s="20">
        <v>14</v>
      </c>
      <c r="BA17" s="20">
        <v>0.67029858559512201</v>
      </c>
      <c r="BB17" s="20">
        <v>1</v>
      </c>
      <c r="BC17" s="20">
        <v>12</v>
      </c>
      <c r="BD17" s="20">
        <v>2.8000000000000003</v>
      </c>
      <c r="BZ17">
        <v>0.13095238095238096</v>
      </c>
      <c r="CA17">
        <v>0.76190476190476186</v>
      </c>
      <c r="CB17">
        <v>0.13095238095238096</v>
      </c>
    </row>
    <row r="18" spans="52:80" x14ac:dyDescent="0.25">
      <c r="AZ18" s="20">
        <v>15</v>
      </c>
      <c r="BA18" s="20">
        <v>0.62049840743522267</v>
      </c>
      <c r="BB18" s="20">
        <v>0</v>
      </c>
      <c r="BC18" s="20">
        <v>12</v>
      </c>
      <c r="BD18" s="20">
        <v>3</v>
      </c>
      <c r="BZ18">
        <v>0.14285714285714285</v>
      </c>
      <c r="CA18">
        <v>0.80952380952380953</v>
      </c>
      <c r="CB18">
        <v>0.14285714285714285</v>
      </c>
    </row>
    <row r="19" spans="52:80" x14ac:dyDescent="0.25">
      <c r="AZ19" s="20">
        <v>16</v>
      </c>
      <c r="BA19" s="20">
        <v>0.62049840743522267</v>
      </c>
      <c r="BB19" s="20">
        <v>1</v>
      </c>
      <c r="BC19" s="20">
        <v>13</v>
      </c>
      <c r="BD19" s="20">
        <v>3.2</v>
      </c>
      <c r="BZ19">
        <v>0.15476190476190477</v>
      </c>
      <c r="CA19">
        <v>0.80952380952380953</v>
      </c>
      <c r="CB19">
        <v>0.15476190476190477</v>
      </c>
    </row>
    <row r="20" spans="52:80" x14ac:dyDescent="0.25">
      <c r="AZ20" s="20">
        <v>17</v>
      </c>
      <c r="BA20" s="20">
        <v>0.62049840743522267</v>
      </c>
      <c r="BB20" s="20">
        <v>0</v>
      </c>
      <c r="BC20" s="20">
        <v>13</v>
      </c>
      <c r="BD20" s="20">
        <v>3.4000000000000004</v>
      </c>
      <c r="BZ20">
        <v>0.16666666666666666</v>
      </c>
      <c r="CA20">
        <v>0.8571428571428571</v>
      </c>
      <c r="CB20">
        <v>0.16666666666666666</v>
      </c>
    </row>
    <row r="21" spans="52:80" x14ac:dyDescent="0.25">
      <c r="AZ21" s="20">
        <v>18</v>
      </c>
      <c r="BA21" s="20">
        <v>0.53456553385962824</v>
      </c>
      <c r="BB21" s="20">
        <v>0</v>
      </c>
      <c r="BC21" s="20">
        <v>13</v>
      </c>
      <c r="BD21" s="20">
        <v>3.6</v>
      </c>
      <c r="BZ21">
        <v>0.16666666666666666</v>
      </c>
      <c r="CA21">
        <v>0.90476190476190477</v>
      </c>
      <c r="CB21">
        <v>0.16666666666666666</v>
      </c>
    </row>
    <row r="22" spans="52:80" x14ac:dyDescent="0.25">
      <c r="AZ22" s="20">
        <v>19</v>
      </c>
      <c r="BA22" s="20">
        <v>0.50738627171947515</v>
      </c>
      <c r="BB22" s="20">
        <v>1</v>
      </c>
      <c r="BC22" s="20">
        <v>14</v>
      </c>
      <c r="BD22" s="20">
        <v>3.8000000000000003</v>
      </c>
      <c r="BZ22">
        <v>0.17857142857142858</v>
      </c>
      <c r="CA22">
        <v>0.90476190476190477</v>
      </c>
      <c r="CB22">
        <v>0.17857142857142858</v>
      </c>
    </row>
    <row r="23" spans="52:80" x14ac:dyDescent="0.25">
      <c r="AZ23" s="20">
        <v>20</v>
      </c>
      <c r="BA23" s="20">
        <v>0.39351286097555477</v>
      </c>
      <c r="BB23" s="20">
        <v>0</v>
      </c>
      <c r="BC23" s="20">
        <v>14</v>
      </c>
      <c r="BD23" s="20">
        <v>4</v>
      </c>
      <c r="BZ23">
        <v>0.21428571428571427</v>
      </c>
      <c r="CA23">
        <v>0.90476190476190477</v>
      </c>
      <c r="CB23">
        <v>0.21428571428571427</v>
      </c>
    </row>
    <row r="24" spans="52:80" x14ac:dyDescent="0.25">
      <c r="AZ24" s="19">
        <v>21</v>
      </c>
      <c r="BA24" s="19">
        <v>0.39351286097555477</v>
      </c>
      <c r="BB24" s="19">
        <v>0</v>
      </c>
      <c r="BC24" s="19">
        <v>14</v>
      </c>
      <c r="BD24" s="19">
        <v>4.2</v>
      </c>
      <c r="BZ24">
        <v>0.23809523809523808</v>
      </c>
      <c r="CA24">
        <v>0.95238095238095233</v>
      </c>
      <c r="CB24">
        <v>0.23809523809523808</v>
      </c>
    </row>
    <row r="25" spans="52:80" x14ac:dyDescent="0.25">
      <c r="AZ25" s="19">
        <v>22</v>
      </c>
      <c r="BA25" s="19">
        <v>0.36783741989417773</v>
      </c>
      <c r="BB25" s="19">
        <v>1</v>
      </c>
      <c r="BC25" s="19">
        <v>15</v>
      </c>
      <c r="BD25" s="19">
        <v>4.4000000000000004</v>
      </c>
      <c r="BZ25">
        <v>0.25</v>
      </c>
      <c r="CA25">
        <v>0.95238095238095233</v>
      </c>
      <c r="CB25">
        <v>0.25</v>
      </c>
    </row>
    <row r="26" spans="52:80" x14ac:dyDescent="0.25">
      <c r="AZ26" s="19">
        <v>23</v>
      </c>
      <c r="BA26" s="19">
        <v>0.36783741989417773</v>
      </c>
      <c r="BB26" s="19">
        <v>0</v>
      </c>
      <c r="BC26" s="19">
        <v>15</v>
      </c>
      <c r="BD26" s="19">
        <v>4.6000000000000005</v>
      </c>
      <c r="BZ26">
        <v>0.2857142857142857</v>
      </c>
      <c r="CA26">
        <v>0.95238095238095233</v>
      </c>
      <c r="CB26">
        <v>0.2857142857142857</v>
      </c>
    </row>
    <row r="27" spans="52:80" x14ac:dyDescent="0.25">
      <c r="AZ27" s="19">
        <v>24</v>
      </c>
      <c r="BA27" s="19">
        <v>0.36783741989417773</v>
      </c>
      <c r="BB27" s="19">
        <v>1</v>
      </c>
      <c r="BC27" s="19">
        <v>16</v>
      </c>
      <c r="BD27" s="19">
        <v>4.8000000000000007</v>
      </c>
      <c r="BZ27">
        <v>0.30952380952380953</v>
      </c>
      <c r="CA27">
        <v>0.95238095238095233</v>
      </c>
      <c r="CB27">
        <v>0.30952380952380953</v>
      </c>
    </row>
    <row r="28" spans="52:80" x14ac:dyDescent="0.25">
      <c r="AZ28" s="19">
        <v>25</v>
      </c>
      <c r="BA28" s="19">
        <v>0.34289008688995654</v>
      </c>
      <c r="BB28" s="19">
        <v>0</v>
      </c>
      <c r="BC28" s="19">
        <v>16</v>
      </c>
      <c r="BD28" s="19">
        <v>5</v>
      </c>
      <c r="BZ28">
        <v>0.33333333333333331</v>
      </c>
      <c r="CA28">
        <v>0.95238095238095233</v>
      </c>
      <c r="CB28">
        <v>0.33333333333333331</v>
      </c>
    </row>
    <row r="29" spans="52:80" x14ac:dyDescent="0.25">
      <c r="AZ29" s="19">
        <v>26</v>
      </c>
      <c r="BA29" s="19">
        <v>0.31308174134100825</v>
      </c>
      <c r="BB29" s="19">
        <v>0</v>
      </c>
      <c r="BC29" s="19">
        <v>16</v>
      </c>
      <c r="BD29" s="19">
        <v>5.2</v>
      </c>
      <c r="BZ29">
        <v>0.34523809523809523</v>
      </c>
      <c r="CA29">
        <v>0.95238095238095233</v>
      </c>
      <c r="CB29">
        <v>0.34523809523809523</v>
      </c>
    </row>
    <row r="30" spans="52:80" x14ac:dyDescent="0.25">
      <c r="AZ30" s="19">
        <v>27</v>
      </c>
      <c r="BA30" s="19">
        <v>0.29014358821209585</v>
      </c>
      <c r="BB30" s="19">
        <v>0</v>
      </c>
      <c r="BC30" s="19">
        <v>16</v>
      </c>
      <c r="BD30" s="19">
        <v>5.4</v>
      </c>
      <c r="BZ30">
        <v>0.4642857142857143</v>
      </c>
      <c r="CA30">
        <v>1</v>
      </c>
      <c r="CB30">
        <v>0.4642857142857143</v>
      </c>
    </row>
    <row r="31" spans="52:80" x14ac:dyDescent="0.25">
      <c r="AZ31" s="19">
        <v>28</v>
      </c>
      <c r="BA31" s="19">
        <v>0.2682297773834319</v>
      </c>
      <c r="BB31" s="19">
        <v>1</v>
      </c>
      <c r="BC31" s="19">
        <v>17</v>
      </c>
      <c r="BD31" s="19">
        <v>5.6000000000000005</v>
      </c>
      <c r="BZ31">
        <v>0.48809523809523808</v>
      </c>
      <c r="CA31">
        <v>1</v>
      </c>
      <c r="CB31">
        <v>0.48809523809523808</v>
      </c>
    </row>
    <row r="32" spans="52:80" x14ac:dyDescent="0.25">
      <c r="AZ32" s="19">
        <v>29</v>
      </c>
      <c r="BA32" s="19">
        <v>0.2682297773834319</v>
      </c>
      <c r="BB32" s="19">
        <v>0</v>
      </c>
      <c r="BC32" s="19">
        <v>17</v>
      </c>
      <c r="BD32" s="19">
        <v>5.8000000000000007</v>
      </c>
      <c r="BZ32">
        <v>0.51190476190476186</v>
      </c>
      <c r="CA32">
        <v>1</v>
      </c>
      <c r="CB32">
        <v>0.51190476190476186</v>
      </c>
    </row>
    <row r="33" spans="9:80" x14ac:dyDescent="0.25">
      <c r="AZ33" s="19">
        <v>30</v>
      </c>
      <c r="BA33" s="19">
        <v>0.24739423909304692</v>
      </c>
      <c r="BB33" s="19">
        <v>0</v>
      </c>
      <c r="BC33" s="19">
        <v>17</v>
      </c>
      <c r="BD33" s="19">
        <v>6</v>
      </c>
      <c r="BZ33">
        <v>0.52380952380952384</v>
      </c>
      <c r="CA33">
        <v>1</v>
      </c>
      <c r="CB33">
        <v>0.52380952380952384</v>
      </c>
    </row>
    <row r="34" spans="9:80" x14ac:dyDescent="0.25">
      <c r="AZ34" s="20">
        <v>31</v>
      </c>
      <c r="BA34" s="20">
        <v>0.18759104097085189</v>
      </c>
      <c r="BB34" s="20">
        <v>0</v>
      </c>
      <c r="BC34" s="20">
        <v>17</v>
      </c>
      <c r="BD34" s="20">
        <v>6.2</v>
      </c>
      <c r="BZ34">
        <v>0.69047619047619047</v>
      </c>
      <c r="CA34">
        <v>1</v>
      </c>
      <c r="CB34">
        <v>0.69047619047619047</v>
      </c>
    </row>
    <row r="35" spans="9:80" x14ac:dyDescent="0.25">
      <c r="AZ35" s="20">
        <v>32</v>
      </c>
      <c r="BA35" s="20">
        <v>0.18759104097085189</v>
      </c>
      <c r="BB35" s="20">
        <v>1</v>
      </c>
      <c r="BC35" s="20">
        <v>18</v>
      </c>
      <c r="BD35" s="20">
        <v>6.4</v>
      </c>
      <c r="BZ35">
        <v>0.77380952380952384</v>
      </c>
      <c r="CA35">
        <v>1</v>
      </c>
      <c r="CB35">
        <v>0.77380952380952384</v>
      </c>
    </row>
    <row r="36" spans="9:80" x14ac:dyDescent="0.25">
      <c r="AZ36" s="20">
        <v>33</v>
      </c>
      <c r="BA36" s="20">
        <v>0.17155090223931616</v>
      </c>
      <c r="BB36" s="20">
        <v>1</v>
      </c>
      <c r="BC36" s="20">
        <v>19</v>
      </c>
      <c r="BD36" s="20">
        <v>6.6000000000000005</v>
      </c>
      <c r="BZ36">
        <v>0.83333333333333337</v>
      </c>
      <c r="CA36">
        <v>1</v>
      </c>
      <c r="CB36">
        <v>0.83333333333333337</v>
      </c>
    </row>
    <row r="37" spans="9:80" x14ac:dyDescent="0.25">
      <c r="AZ37" s="20">
        <v>34</v>
      </c>
      <c r="BA37" s="20">
        <v>0.15661788414101474</v>
      </c>
      <c r="BB37" s="20">
        <v>0</v>
      </c>
      <c r="BC37" s="20">
        <v>19</v>
      </c>
      <c r="BD37" s="20">
        <v>6.8000000000000007</v>
      </c>
      <c r="BZ37">
        <v>0.86904761904761907</v>
      </c>
      <c r="CA37">
        <v>1</v>
      </c>
      <c r="CB37">
        <v>0.86904761904761907</v>
      </c>
    </row>
    <row r="38" spans="9:80" x14ac:dyDescent="0.25">
      <c r="I38" s="5" t="s">
        <v>244</v>
      </c>
      <c r="J38" s="5" t="s">
        <v>245</v>
      </c>
      <c r="K38" s="5" t="s">
        <v>246</v>
      </c>
      <c r="L38" s="5" t="s">
        <v>247</v>
      </c>
      <c r="M38" s="5" t="s">
        <v>248</v>
      </c>
      <c r="AZ38" s="20">
        <v>35</v>
      </c>
      <c r="BA38" s="20">
        <v>0.11539375631539449</v>
      </c>
      <c r="BB38" s="20">
        <v>0</v>
      </c>
      <c r="BC38" s="20">
        <v>19</v>
      </c>
      <c r="BD38" s="20">
        <v>7</v>
      </c>
      <c r="BZ38">
        <v>0.95238095238095233</v>
      </c>
      <c r="CA38">
        <v>1</v>
      </c>
      <c r="CB38">
        <v>0.95238095238095233</v>
      </c>
    </row>
    <row r="39" spans="9:80" x14ac:dyDescent="0.25">
      <c r="I39" s="4">
        <v>1</v>
      </c>
      <c r="J39" s="3">
        <v>0.9</v>
      </c>
      <c r="K39" s="3">
        <v>0.31622776601683794</v>
      </c>
      <c r="L39" s="3">
        <v>0</v>
      </c>
      <c r="M39" s="3">
        <v>1</v>
      </c>
      <c r="AZ39" s="20">
        <v>36</v>
      </c>
      <c r="BA39" s="20">
        <v>0.11539375631539449</v>
      </c>
      <c r="BB39" s="20">
        <v>0</v>
      </c>
      <c r="BC39" s="20">
        <v>19</v>
      </c>
      <c r="BD39" s="20">
        <v>7.2</v>
      </c>
      <c r="BZ39">
        <v>0.9642857142857143</v>
      </c>
      <c r="CA39">
        <v>1</v>
      </c>
      <c r="CB39">
        <v>0.9642857142857143</v>
      </c>
    </row>
    <row r="40" spans="9:80" x14ac:dyDescent="0.25">
      <c r="I40" s="4">
        <v>2</v>
      </c>
      <c r="J40" s="3">
        <v>0.5</v>
      </c>
      <c r="K40" s="3">
        <v>0.52704627669472992</v>
      </c>
      <c r="L40" s="3">
        <v>0</v>
      </c>
      <c r="M40" s="3">
        <v>1</v>
      </c>
      <c r="AZ40" s="20">
        <v>37</v>
      </c>
      <c r="BA40" s="20">
        <v>0.11539375631539449</v>
      </c>
      <c r="BB40" s="20">
        <v>0</v>
      </c>
      <c r="BC40" s="20">
        <v>19</v>
      </c>
      <c r="BD40" s="20">
        <v>7.4</v>
      </c>
      <c r="BZ40">
        <v>1</v>
      </c>
      <c r="CA40">
        <v>1</v>
      </c>
      <c r="CB40">
        <v>1</v>
      </c>
    </row>
    <row r="41" spans="9:80" x14ac:dyDescent="0.25">
      <c r="I41" s="4">
        <v>3</v>
      </c>
      <c r="J41" s="3">
        <v>0.3</v>
      </c>
      <c r="K41" s="3">
        <v>0.48304589153964794</v>
      </c>
      <c r="L41" s="3">
        <v>0</v>
      </c>
      <c r="M41" s="3">
        <v>1</v>
      </c>
      <c r="AZ41" s="20">
        <v>38</v>
      </c>
      <c r="BA41" s="20">
        <v>0.10473108520416485</v>
      </c>
      <c r="BB41" s="20">
        <v>0</v>
      </c>
      <c r="BC41" s="20">
        <v>19</v>
      </c>
      <c r="BD41" s="20">
        <v>7.6000000000000005</v>
      </c>
    </row>
    <row r="42" spans="9:80" x14ac:dyDescent="0.25">
      <c r="I42" s="4">
        <v>4</v>
      </c>
      <c r="J42" s="3">
        <v>0.3</v>
      </c>
      <c r="K42" s="3">
        <v>0.48304589153964794</v>
      </c>
      <c r="L42" s="3">
        <v>0</v>
      </c>
      <c r="M42" s="3">
        <v>1</v>
      </c>
      <c r="AZ42" s="20">
        <v>39</v>
      </c>
      <c r="BA42" s="20">
        <v>0.10473108520416485</v>
      </c>
      <c r="BB42" s="20">
        <v>0</v>
      </c>
      <c r="BC42" s="20">
        <v>19</v>
      </c>
      <c r="BD42" s="20">
        <v>7.8000000000000007</v>
      </c>
    </row>
    <row r="43" spans="9:80" x14ac:dyDescent="0.25">
      <c r="I43" s="4">
        <v>5</v>
      </c>
      <c r="J43" s="3">
        <v>0</v>
      </c>
      <c r="K43" s="3">
        <v>0</v>
      </c>
      <c r="L43" s="3">
        <v>0</v>
      </c>
      <c r="M43" s="3">
        <v>0</v>
      </c>
      <c r="AZ43" s="20">
        <v>40</v>
      </c>
      <c r="BA43" s="20">
        <v>0.10473108520416485</v>
      </c>
      <c r="BB43" s="20">
        <v>1</v>
      </c>
      <c r="BC43" s="20">
        <v>20</v>
      </c>
      <c r="BD43" s="20">
        <v>8</v>
      </c>
    </row>
    <row r="44" spans="9:80" x14ac:dyDescent="0.25">
      <c r="I44" s="4">
        <v>6</v>
      </c>
      <c r="J44" s="3">
        <v>0.1</v>
      </c>
      <c r="K44" s="3">
        <v>0.31622776601683794</v>
      </c>
      <c r="L44" s="3">
        <v>0</v>
      </c>
      <c r="M44" s="3">
        <v>1</v>
      </c>
      <c r="AZ44" s="19">
        <v>41</v>
      </c>
      <c r="BA44" s="19">
        <v>7.5934671623267821E-2</v>
      </c>
      <c r="BB44" s="19">
        <v>0</v>
      </c>
      <c r="BC44" s="19">
        <v>20</v>
      </c>
      <c r="BD44" s="19">
        <v>8.2000000000000011</v>
      </c>
    </row>
    <row r="45" spans="9:80" x14ac:dyDescent="0.25">
      <c r="I45" s="4">
        <v>7</v>
      </c>
      <c r="J45" s="3">
        <v>0</v>
      </c>
      <c r="K45" s="3">
        <v>0</v>
      </c>
      <c r="L45" s="3">
        <v>0</v>
      </c>
      <c r="M45" s="3">
        <v>0</v>
      </c>
      <c r="AZ45" s="19">
        <v>42</v>
      </c>
      <c r="BA45" s="19">
        <v>6.8635221814071085E-2</v>
      </c>
      <c r="BB45" s="19">
        <v>0</v>
      </c>
      <c r="BC45" s="19">
        <v>20</v>
      </c>
      <c r="BD45" s="19">
        <v>8.4</v>
      </c>
    </row>
    <row r="46" spans="9:80" x14ac:dyDescent="0.25">
      <c r="I46" s="4">
        <v>8</v>
      </c>
      <c r="J46" s="3">
        <v>0</v>
      </c>
      <c r="K46" s="3">
        <v>0</v>
      </c>
      <c r="L46" s="3">
        <v>0</v>
      </c>
      <c r="M46" s="3">
        <v>0</v>
      </c>
      <c r="AZ46" s="19">
        <v>43</v>
      </c>
      <c r="BA46" s="19">
        <v>6.8635221814071085E-2</v>
      </c>
      <c r="BB46" s="19">
        <v>0</v>
      </c>
      <c r="BC46" s="19">
        <v>20</v>
      </c>
      <c r="BD46" s="19">
        <v>8.6</v>
      </c>
    </row>
    <row r="47" spans="9:80" x14ac:dyDescent="0.25">
      <c r="I47" s="4">
        <v>9</v>
      </c>
      <c r="J47" s="3">
        <v>0</v>
      </c>
      <c r="K47" s="3">
        <v>0</v>
      </c>
      <c r="L47" s="3">
        <v>0</v>
      </c>
      <c r="M47" s="3">
        <v>0</v>
      </c>
      <c r="AZ47" s="19">
        <v>44</v>
      </c>
      <c r="BA47" s="19">
        <v>6.8635221814071085E-2</v>
      </c>
      <c r="BB47" s="19">
        <v>0</v>
      </c>
      <c r="BC47" s="19">
        <v>20</v>
      </c>
      <c r="BD47" s="19">
        <v>8.8000000000000007</v>
      </c>
    </row>
    <row r="48" spans="9:80" x14ac:dyDescent="0.25">
      <c r="I48" s="4">
        <v>10</v>
      </c>
      <c r="J48" s="3">
        <v>0</v>
      </c>
      <c r="K48" s="3">
        <v>0</v>
      </c>
      <c r="L48" s="3">
        <v>0</v>
      </c>
      <c r="M48" s="3">
        <v>0</v>
      </c>
      <c r="AZ48" s="19">
        <v>45</v>
      </c>
      <c r="BA48" s="19">
        <v>6.1990381774628532E-2</v>
      </c>
      <c r="BB48" s="19">
        <v>0</v>
      </c>
      <c r="BC48" s="19">
        <v>20</v>
      </c>
      <c r="BD48" s="19">
        <v>9</v>
      </c>
    </row>
    <row r="49" spans="52:56" x14ac:dyDescent="0.25">
      <c r="AZ49" s="19">
        <v>46</v>
      </c>
      <c r="BA49" s="19">
        <v>6.1990381774628532E-2</v>
      </c>
      <c r="BB49" s="19">
        <v>0</v>
      </c>
      <c r="BC49" s="19">
        <v>20</v>
      </c>
      <c r="BD49" s="19">
        <v>9.2000000000000011</v>
      </c>
    </row>
    <row r="50" spans="52:56" x14ac:dyDescent="0.25">
      <c r="AZ50" s="19">
        <v>47</v>
      </c>
      <c r="BA50" s="19">
        <v>5.5950208335353399E-2</v>
      </c>
      <c r="BB50" s="19">
        <v>0</v>
      </c>
      <c r="BC50" s="19">
        <v>20</v>
      </c>
      <c r="BD50" s="19">
        <v>9.4</v>
      </c>
    </row>
    <row r="51" spans="52:56" x14ac:dyDescent="0.25">
      <c r="AZ51" s="19">
        <v>48</v>
      </c>
      <c r="BA51" s="19">
        <v>5.5950208335353399E-2</v>
      </c>
      <c r="BB51" s="19">
        <v>0</v>
      </c>
      <c r="BC51" s="19">
        <v>20</v>
      </c>
      <c r="BD51" s="19">
        <v>9.6000000000000014</v>
      </c>
    </row>
    <row r="52" spans="52:56" x14ac:dyDescent="0.25">
      <c r="AZ52" s="19">
        <v>49</v>
      </c>
      <c r="BA52" s="19">
        <v>4.4363430878092497E-2</v>
      </c>
      <c r="BB52" s="19">
        <v>0</v>
      </c>
      <c r="BC52" s="19">
        <v>20</v>
      </c>
      <c r="BD52" s="19">
        <v>9.8000000000000007</v>
      </c>
    </row>
    <row r="53" spans="52:56" x14ac:dyDescent="0.25">
      <c r="AZ53" s="19">
        <v>50</v>
      </c>
      <c r="BA53" s="19">
        <v>3.9967597583531363E-2</v>
      </c>
      <c r="BB53" s="19">
        <v>0</v>
      </c>
      <c r="BC53" s="19">
        <v>20</v>
      </c>
      <c r="BD53" s="19">
        <v>10</v>
      </c>
    </row>
    <row r="54" spans="52:56" x14ac:dyDescent="0.25">
      <c r="AZ54" s="20">
        <v>51</v>
      </c>
      <c r="BA54" s="20">
        <v>3.9967597583531363E-2</v>
      </c>
      <c r="BB54" s="20">
        <v>0</v>
      </c>
      <c r="BC54" s="20">
        <v>20</v>
      </c>
      <c r="BD54" s="20">
        <v>10.200000000000001</v>
      </c>
    </row>
    <row r="55" spans="52:56" x14ac:dyDescent="0.25">
      <c r="AZ55" s="20">
        <v>52</v>
      </c>
      <c r="BA55" s="20">
        <v>3.9967597583531363E-2</v>
      </c>
      <c r="BB55" s="20">
        <v>0</v>
      </c>
      <c r="BC55" s="20">
        <v>20</v>
      </c>
      <c r="BD55" s="20">
        <v>10.4</v>
      </c>
    </row>
    <row r="56" spans="52:56" x14ac:dyDescent="0.25">
      <c r="AZ56" s="20">
        <v>53</v>
      </c>
      <c r="BA56" s="20">
        <v>3.9967597583531363E-2</v>
      </c>
      <c r="BB56" s="20">
        <v>0</v>
      </c>
      <c r="BC56" s="20">
        <v>20</v>
      </c>
      <c r="BD56" s="20">
        <v>10.600000000000001</v>
      </c>
    </row>
    <row r="57" spans="52:56" x14ac:dyDescent="0.25">
      <c r="AZ57" s="20">
        <v>54</v>
      </c>
      <c r="BA57" s="20">
        <v>3.9967597583531363E-2</v>
      </c>
      <c r="BB57" s="20">
        <v>1</v>
      </c>
      <c r="BC57" s="20">
        <v>21</v>
      </c>
      <c r="BD57" s="20">
        <v>10.8</v>
      </c>
    </row>
    <row r="58" spans="52:56" x14ac:dyDescent="0.25">
      <c r="AZ58" s="20">
        <v>55</v>
      </c>
      <c r="BA58" s="20">
        <v>3.9967597583531363E-2</v>
      </c>
      <c r="BB58" s="20">
        <v>0</v>
      </c>
      <c r="BC58" s="20">
        <v>21</v>
      </c>
      <c r="BD58" s="20">
        <v>11</v>
      </c>
    </row>
    <row r="59" spans="52:56" x14ac:dyDescent="0.25">
      <c r="AZ59" s="20">
        <v>56</v>
      </c>
      <c r="BA59" s="20">
        <v>3.9967597583531363E-2</v>
      </c>
      <c r="BB59" s="20">
        <v>0</v>
      </c>
      <c r="BC59" s="20">
        <v>21</v>
      </c>
      <c r="BD59" s="20">
        <v>11.200000000000001</v>
      </c>
    </row>
    <row r="60" spans="52:56" x14ac:dyDescent="0.25">
      <c r="AZ60" s="20">
        <v>57</v>
      </c>
      <c r="BA60" s="20">
        <v>3.9967597583531363E-2</v>
      </c>
      <c r="BB60" s="20">
        <v>0</v>
      </c>
      <c r="BC60" s="20">
        <v>21</v>
      </c>
      <c r="BD60" s="20">
        <v>11.4</v>
      </c>
    </row>
    <row r="61" spans="52:56" x14ac:dyDescent="0.25">
      <c r="AZ61" s="20">
        <v>58</v>
      </c>
      <c r="BA61" s="20">
        <v>3.9967597583531363E-2</v>
      </c>
      <c r="BB61" s="20">
        <v>0</v>
      </c>
      <c r="BC61" s="20">
        <v>21</v>
      </c>
      <c r="BD61" s="20">
        <v>11.600000000000001</v>
      </c>
    </row>
    <row r="62" spans="52:56" x14ac:dyDescent="0.25">
      <c r="AZ62" s="20">
        <v>59</v>
      </c>
      <c r="BA62" s="20">
        <v>3.9967597583531363E-2</v>
      </c>
      <c r="BB62" s="20">
        <v>0</v>
      </c>
      <c r="BC62" s="20">
        <v>21</v>
      </c>
      <c r="BD62" s="20">
        <v>11.8</v>
      </c>
    </row>
    <row r="63" spans="52:56" x14ac:dyDescent="0.25">
      <c r="AZ63" s="20">
        <v>60</v>
      </c>
      <c r="BA63" s="20">
        <v>3.9967597583531363E-2</v>
      </c>
      <c r="BB63" s="20">
        <v>0</v>
      </c>
      <c r="BC63" s="20">
        <v>21</v>
      </c>
      <c r="BD63" s="20">
        <v>12</v>
      </c>
    </row>
    <row r="64" spans="52:56" x14ac:dyDescent="0.25">
      <c r="AZ64" s="19">
        <v>61</v>
      </c>
      <c r="BA64" s="19">
        <v>3.5990929333768816E-2</v>
      </c>
      <c r="BB64" s="19">
        <v>0</v>
      </c>
      <c r="BC64" s="19">
        <v>21</v>
      </c>
      <c r="BD64" s="19">
        <v>12.200000000000001</v>
      </c>
    </row>
    <row r="65" spans="52:56" x14ac:dyDescent="0.25">
      <c r="AZ65" s="19">
        <v>62</v>
      </c>
      <c r="BA65" s="19">
        <v>3.5990929333768816E-2</v>
      </c>
      <c r="BB65" s="19">
        <v>0</v>
      </c>
      <c r="BC65" s="19">
        <v>21</v>
      </c>
      <c r="BD65" s="19">
        <v>12.4</v>
      </c>
    </row>
    <row r="66" spans="52:56" x14ac:dyDescent="0.25">
      <c r="AZ66" s="19">
        <v>63</v>
      </c>
      <c r="BA66" s="19">
        <v>2.5555500696915728E-2</v>
      </c>
      <c r="BB66" s="19">
        <v>0</v>
      </c>
      <c r="BC66" s="19">
        <v>21</v>
      </c>
      <c r="BD66" s="19">
        <v>12.600000000000001</v>
      </c>
    </row>
    <row r="67" spans="52:56" x14ac:dyDescent="0.25">
      <c r="AZ67" s="19">
        <v>64</v>
      </c>
      <c r="BA67" s="19">
        <v>2.5555500696915728E-2</v>
      </c>
      <c r="BB67" s="19">
        <v>0</v>
      </c>
      <c r="BC67" s="19">
        <v>21</v>
      </c>
      <c r="BD67" s="19">
        <v>12.8</v>
      </c>
    </row>
    <row r="68" spans="52:56" x14ac:dyDescent="0.25">
      <c r="AZ68" s="19">
        <v>65</v>
      </c>
      <c r="BA68" s="19">
        <v>2.2978475151535619E-2</v>
      </c>
      <c r="BB68" s="19">
        <v>0</v>
      </c>
      <c r="BC68" s="19">
        <v>21</v>
      </c>
      <c r="BD68" s="19">
        <v>13</v>
      </c>
    </row>
    <row r="69" spans="52:56" x14ac:dyDescent="0.25">
      <c r="AZ69" s="19">
        <v>66</v>
      </c>
      <c r="BA69" s="19">
        <v>1.4599400719354203E-2</v>
      </c>
      <c r="BB69" s="19">
        <v>0</v>
      </c>
      <c r="BC69" s="19">
        <v>21</v>
      </c>
      <c r="BD69" s="19">
        <v>13.200000000000001</v>
      </c>
    </row>
    <row r="70" spans="52:56" x14ac:dyDescent="0.25">
      <c r="AZ70" s="19">
        <v>67</v>
      </c>
      <c r="BA70" s="19">
        <v>1.4599400719354203E-2</v>
      </c>
      <c r="BB70" s="19">
        <v>0</v>
      </c>
      <c r="BC70" s="19">
        <v>21</v>
      </c>
      <c r="BD70" s="19">
        <v>13.4</v>
      </c>
    </row>
    <row r="71" spans="52:56" x14ac:dyDescent="0.25">
      <c r="AZ71" s="19">
        <v>68</v>
      </c>
      <c r="BA71" s="19">
        <v>1.4599400719354203E-2</v>
      </c>
      <c r="BB71" s="19">
        <v>0</v>
      </c>
      <c r="BC71" s="19">
        <v>21</v>
      </c>
      <c r="BD71" s="19">
        <v>13.600000000000001</v>
      </c>
    </row>
    <row r="72" spans="52:56" x14ac:dyDescent="0.25">
      <c r="AZ72" s="19">
        <v>69</v>
      </c>
      <c r="BA72" s="19">
        <v>1.4599400719354203E-2</v>
      </c>
      <c r="BB72" s="19">
        <v>0</v>
      </c>
      <c r="BC72" s="19">
        <v>21</v>
      </c>
      <c r="BD72" s="19">
        <v>13.8</v>
      </c>
    </row>
    <row r="73" spans="52:56" x14ac:dyDescent="0.25">
      <c r="AZ73" s="19">
        <v>70</v>
      </c>
      <c r="BA73" s="19">
        <v>1.4599400719354203E-2</v>
      </c>
      <c r="BB73" s="19">
        <v>0</v>
      </c>
      <c r="BC73" s="19">
        <v>21</v>
      </c>
      <c r="BD73" s="19">
        <v>14</v>
      </c>
    </row>
    <row r="74" spans="52:56" x14ac:dyDescent="0.25">
      <c r="AZ74" s="20">
        <v>71</v>
      </c>
      <c r="BA74" s="20">
        <v>1.4599400719354203E-2</v>
      </c>
      <c r="BB74" s="20">
        <v>0</v>
      </c>
      <c r="BC74" s="20">
        <v>21</v>
      </c>
      <c r="BD74" s="20">
        <v>14.200000000000001</v>
      </c>
    </row>
    <row r="75" spans="52:56" x14ac:dyDescent="0.25">
      <c r="AZ75" s="20">
        <v>72</v>
      </c>
      <c r="BA75" s="20">
        <v>1.4599400719354203E-2</v>
      </c>
      <c r="BB75" s="20">
        <v>0</v>
      </c>
      <c r="BC75" s="20">
        <v>21</v>
      </c>
      <c r="BD75" s="20">
        <v>14.4</v>
      </c>
    </row>
    <row r="76" spans="52:56" x14ac:dyDescent="0.25">
      <c r="AZ76" s="20">
        <v>73</v>
      </c>
      <c r="BA76" s="20">
        <v>1.4599400719354203E-2</v>
      </c>
      <c r="BB76" s="20">
        <v>0</v>
      </c>
      <c r="BC76" s="20">
        <v>21</v>
      </c>
      <c r="BD76" s="20">
        <v>14.600000000000001</v>
      </c>
    </row>
    <row r="77" spans="52:56" x14ac:dyDescent="0.25">
      <c r="AZ77" s="20">
        <v>74</v>
      </c>
      <c r="BA77" s="20">
        <v>1.4599400719354203E-2</v>
      </c>
      <c r="BB77" s="20">
        <v>0</v>
      </c>
      <c r="BC77" s="20">
        <v>21</v>
      </c>
      <c r="BD77" s="20">
        <v>14.8</v>
      </c>
    </row>
    <row r="78" spans="52:56" x14ac:dyDescent="0.25">
      <c r="AZ78" s="20">
        <v>75</v>
      </c>
      <c r="BA78" s="20">
        <v>1.4599400719354203E-2</v>
      </c>
      <c r="BB78" s="20">
        <v>0</v>
      </c>
      <c r="BC78" s="20">
        <v>21</v>
      </c>
      <c r="BD78" s="20">
        <v>15</v>
      </c>
    </row>
    <row r="79" spans="52:56" x14ac:dyDescent="0.25">
      <c r="AZ79" s="20">
        <v>76</v>
      </c>
      <c r="BA79" s="20">
        <v>1.4599400719354203E-2</v>
      </c>
      <c r="BB79" s="20">
        <v>0</v>
      </c>
      <c r="BC79" s="20">
        <v>21</v>
      </c>
      <c r="BD79" s="20">
        <v>15.200000000000001</v>
      </c>
    </row>
    <row r="80" spans="52:56" x14ac:dyDescent="0.25">
      <c r="AZ80" s="20">
        <v>77</v>
      </c>
      <c r="BA80" s="20">
        <v>1.4599400719354203E-2</v>
      </c>
      <c r="BB80" s="20">
        <v>0</v>
      </c>
      <c r="BC80" s="20">
        <v>21</v>
      </c>
      <c r="BD80" s="20">
        <v>15.4</v>
      </c>
    </row>
    <row r="81" spans="52:56" x14ac:dyDescent="0.25">
      <c r="AZ81" s="20">
        <v>78</v>
      </c>
      <c r="BA81" s="20">
        <v>1.4599400719354203E-2</v>
      </c>
      <c r="BB81" s="20">
        <v>0</v>
      </c>
      <c r="BC81" s="20">
        <v>21</v>
      </c>
      <c r="BD81" s="20">
        <v>15.600000000000001</v>
      </c>
    </row>
    <row r="82" spans="52:56" x14ac:dyDescent="0.25">
      <c r="AZ82" s="20">
        <v>79</v>
      </c>
      <c r="BA82" s="20">
        <v>1.4599400719354203E-2</v>
      </c>
      <c r="BB82" s="20">
        <v>0</v>
      </c>
      <c r="BC82" s="20">
        <v>21</v>
      </c>
      <c r="BD82" s="20">
        <v>15.8</v>
      </c>
    </row>
    <row r="83" spans="52:56" x14ac:dyDescent="0.25">
      <c r="AZ83" s="20">
        <v>80</v>
      </c>
      <c r="BA83" s="20">
        <v>1.3112325448542921E-2</v>
      </c>
      <c r="BB83" s="20">
        <v>0</v>
      </c>
      <c r="BC83" s="20">
        <v>21</v>
      </c>
      <c r="BD83" s="20">
        <v>16</v>
      </c>
    </row>
    <row r="84" spans="52:56" x14ac:dyDescent="0.25">
      <c r="AZ84" s="19">
        <v>81</v>
      </c>
      <c r="BA84" s="19">
        <v>1.3112325448542921E-2</v>
      </c>
      <c r="BB84" s="19">
        <v>0</v>
      </c>
      <c r="BC84" s="19">
        <v>21</v>
      </c>
      <c r="BD84" s="19">
        <v>16.2</v>
      </c>
    </row>
    <row r="85" spans="52:56" x14ac:dyDescent="0.25">
      <c r="AZ85" s="19">
        <v>82</v>
      </c>
      <c r="BA85" s="19">
        <v>1.3112325448542921E-2</v>
      </c>
      <c r="BB85" s="19">
        <v>0</v>
      </c>
      <c r="BC85" s="19">
        <v>21</v>
      </c>
      <c r="BD85" s="19">
        <v>16.400000000000002</v>
      </c>
    </row>
    <row r="86" spans="52:56" x14ac:dyDescent="0.25">
      <c r="AZ86" s="19">
        <v>83</v>
      </c>
      <c r="BA86" s="19">
        <v>1.3112325448542921E-2</v>
      </c>
      <c r="BB86" s="19">
        <v>0</v>
      </c>
      <c r="BC86" s="19">
        <v>21</v>
      </c>
      <c r="BD86" s="19">
        <v>16.600000000000001</v>
      </c>
    </row>
    <row r="87" spans="52:56" x14ac:dyDescent="0.25">
      <c r="AZ87" s="19">
        <v>84</v>
      </c>
      <c r="BA87" s="19">
        <v>1.3112325448542921E-2</v>
      </c>
      <c r="BB87" s="19">
        <v>0</v>
      </c>
      <c r="BC87" s="19">
        <v>21</v>
      </c>
      <c r="BD87" s="19">
        <v>16.8</v>
      </c>
    </row>
    <row r="88" spans="52:56" x14ac:dyDescent="0.25">
      <c r="AZ88" s="19">
        <v>85</v>
      </c>
      <c r="BA88" s="19">
        <v>1.3112325448542921E-2</v>
      </c>
      <c r="BB88" s="19">
        <v>0</v>
      </c>
      <c r="BC88" s="19">
        <v>21</v>
      </c>
      <c r="BD88" s="19">
        <v>17</v>
      </c>
    </row>
    <row r="89" spans="52:56" x14ac:dyDescent="0.25">
      <c r="AZ89" s="19">
        <v>86</v>
      </c>
      <c r="BA89" s="19">
        <v>1.3112325448542921E-2</v>
      </c>
      <c r="BB89" s="19">
        <v>0</v>
      </c>
      <c r="BC89" s="19">
        <v>21</v>
      </c>
      <c r="BD89" s="19">
        <v>17.2</v>
      </c>
    </row>
    <row r="90" spans="52:56" x14ac:dyDescent="0.25">
      <c r="AZ90" s="19">
        <v>87</v>
      </c>
      <c r="BA90" s="19">
        <v>8.3003667265397815E-3</v>
      </c>
      <c r="BB90" s="19">
        <v>0</v>
      </c>
      <c r="BC90" s="19">
        <v>21</v>
      </c>
      <c r="BD90" s="19">
        <v>17.400000000000002</v>
      </c>
    </row>
    <row r="91" spans="52:56" x14ac:dyDescent="0.25">
      <c r="AZ91" s="19">
        <v>88</v>
      </c>
      <c r="BA91" s="19">
        <v>8.3003667265397815E-3</v>
      </c>
      <c r="BB91" s="19">
        <v>0</v>
      </c>
      <c r="BC91" s="19">
        <v>21</v>
      </c>
      <c r="BD91" s="19">
        <v>17.600000000000001</v>
      </c>
    </row>
    <row r="92" spans="52:56" x14ac:dyDescent="0.25">
      <c r="AZ92" s="19">
        <v>89</v>
      </c>
      <c r="BA92" s="19">
        <v>8.3003667265397815E-3</v>
      </c>
      <c r="BB92" s="19">
        <v>0</v>
      </c>
      <c r="BC92" s="19">
        <v>21</v>
      </c>
      <c r="BD92" s="19">
        <v>17.8</v>
      </c>
    </row>
    <row r="93" spans="52:56" x14ac:dyDescent="0.25">
      <c r="AZ93" s="19">
        <v>90</v>
      </c>
      <c r="BA93" s="19">
        <v>8.3003667265397815E-3</v>
      </c>
      <c r="BB93" s="19">
        <v>0</v>
      </c>
      <c r="BC93" s="19">
        <v>21</v>
      </c>
      <c r="BD93" s="19">
        <v>18</v>
      </c>
    </row>
    <row r="94" spans="52:56" x14ac:dyDescent="0.25">
      <c r="AZ94" s="20">
        <v>91</v>
      </c>
      <c r="BA94" s="20">
        <v>8.3003667265397815E-3</v>
      </c>
      <c r="BB94" s="20">
        <v>0</v>
      </c>
      <c r="BC94" s="20">
        <v>21</v>
      </c>
      <c r="BD94" s="20">
        <v>18.2</v>
      </c>
    </row>
    <row r="95" spans="52:56" x14ac:dyDescent="0.25">
      <c r="AZ95" s="20">
        <v>92</v>
      </c>
      <c r="BA95" s="20">
        <v>4.7061241626921574E-3</v>
      </c>
      <c r="BB95" s="20">
        <v>0</v>
      </c>
      <c r="BC95" s="20">
        <v>21</v>
      </c>
      <c r="BD95" s="20">
        <v>18.400000000000002</v>
      </c>
    </row>
    <row r="96" spans="52:56" x14ac:dyDescent="0.25">
      <c r="AZ96" s="20">
        <v>93</v>
      </c>
      <c r="BA96" s="20">
        <v>4.7061241626921574E-3</v>
      </c>
      <c r="BB96" s="20">
        <v>0</v>
      </c>
      <c r="BC96" s="20">
        <v>21</v>
      </c>
      <c r="BD96" s="20">
        <v>18.600000000000001</v>
      </c>
    </row>
    <row r="97" spans="52:56" x14ac:dyDescent="0.25">
      <c r="AZ97" s="20">
        <v>94</v>
      </c>
      <c r="BA97" s="20">
        <v>4.7061241626921574E-3</v>
      </c>
      <c r="BB97" s="20">
        <v>0</v>
      </c>
      <c r="BC97" s="20">
        <v>21</v>
      </c>
      <c r="BD97" s="20">
        <v>18.8</v>
      </c>
    </row>
    <row r="98" spans="52:56" x14ac:dyDescent="0.25">
      <c r="AZ98" s="20">
        <v>95</v>
      </c>
      <c r="BA98" s="20">
        <v>2.6640871521689067E-3</v>
      </c>
      <c r="BB98" s="20">
        <v>0</v>
      </c>
      <c r="BC98" s="20">
        <v>21</v>
      </c>
      <c r="BD98" s="20">
        <v>19</v>
      </c>
    </row>
    <row r="99" spans="52:56" x14ac:dyDescent="0.25">
      <c r="AZ99" s="20">
        <v>96</v>
      </c>
      <c r="BA99" s="20">
        <v>2.6640871521689067E-3</v>
      </c>
      <c r="BB99" s="20">
        <v>0</v>
      </c>
      <c r="BC99" s="20">
        <v>21</v>
      </c>
      <c r="BD99" s="20">
        <v>19.200000000000003</v>
      </c>
    </row>
    <row r="100" spans="52:56" x14ac:dyDescent="0.25">
      <c r="AZ100" s="20">
        <v>97</v>
      </c>
      <c r="BA100" s="20">
        <v>2.6640871521689067E-3</v>
      </c>
      <c r="BB100" s="20">
        <v>0</v>
      </c>
      <c r="BC100" s="20">
        <v>21</v>
      </c>
      <c r="BD100" s="20">
        <v>19.400000000000002</v>
      </c>
    </row>
    <row r="101" spans="52:56" x14ac:dyDescent="0.25">
      <c r="AZ101" s="20">
        <v>98</v>
      </c>
      <c r="BA101" s="20">
        <v>2.6640871521689067E-3</v>
      </c>
      <c r="BB101" s="20">
        <v>0</v>
      </c>
      <c r="BC101" s="20">
        <v>21</v>
      </c>
      <c r="BD101" s="20">
        <v>19.600000000000001</v>
      </c>
    </row>
    <row r="102" spans="52:56" x14ac:dyDescent="0.25">
      <c r="AZ102" s="20">
        <v>99</v>
      </c>
      <c r="BA102" s="20">
        <v>2.6640871521689067E-3</v>
      </c>
      <c r="BB102" s="20">
        <v>0</v>
      </c>
      <c r="BC102" s="20">
        <v>21</v>
      </c>
      <c r="BD102" s="20">
        <v>19.8</v>
      </c>
    </row>
    <row r="103" spans="52:56" x14ac:dyDescent="0.25">
      <c r="AZ103" s="20">
        <v>100</v>
      </c>
      <c r="BA103" s="20">
        <v>2.6640871521689067E-3</v>
      </c>
      <c r="BB103" s="20">
        <v>0</v>
      </c>
      <c r="BC103" s="20">
        <v>21</v>
      </c>
      <c r="BD103" s="20">
        <v>20</v>
      </c>
    </row>
    <row r="104" spans="52:56" x14ac:dyDescent="0.25">
      <c r="AZ104">
        <v>101</v>
      </c>
      <c r="BA104">
        <v>2.6640871521689067E-3</v>
      </c>
      <c r="BB104">
        <v>0</v>
      </c>
      <c r="BC104">
        <v>21</v>
      </c>
      <c r="BD104">
        <v>20.200000000000003</v>
      </c>
    </row>
    <row r="105" spans="52:56" x14ac:dyDescent="0.25">
      <c r="AZ105">
        <v>102</v>
      </c>
      <c r="BA105">
        <v>2.3897784938870111E-3</v>
      </c>
      <c r="BB105">
        <v>0</v>
      </c>
      <c r="BC105">
        <v>21</v>
      </c>
      <c r="BD105">
        <v>20.400000000000002</v>
      </c>
    </row>
    <row r="106" spans="52:56" x14ac:dyDescent="0.25">
      <c r="AZ106">
        <v>103</v>
      </c>
      <c r="BA106">
        <v>1.506770177865201E-3</v>
      </c>
      <c r="BB106">
        <v>0</v>
      </c>
      <c r="BC106">
        <v>21</v>
      </c>
      <c r="BD106">
        <v>20.6</v>
      </c>
    </row>
    <row r="107" spans="52:56" x14ac:dyDescent="0.25">
      <c r="AZ107">
        <v>104</v>
      </c>
      <c r="BA107">
        <v>1.506770177865201E-3</v>
      </c>
      <c r="BB107">
        <v>0</v>
      </c>
      <c r="BC107">
        <v>21</v>
      </c>
      <c r="BD107">
        <v>20.8</v>
      </c>
    </row>
    <row r="108" spans="52:56" x14ac:dyDescent="0.25">
      <c r="AZ108">
        <v>105</v>
      </c>
      <c r="BA108">
        <v>1.506770177865201E-3</v>
      </c>
      <c r="BB108">
        <v>0</v>
      </c>
      <c r="BC108">
        <v>21</v>
      </c>
      <c r="BD108">
        <v>21</v>
      </c>
    </row>
  </sheetData>
  <mergeCells count="14">
    <mergeCell ref="B3:M3"/>
    <mergeCell ref="P3:S3"/>
    <mergeCell ref="B5:C5"/>
    <mergeCell ref="D5:E5"/>
    <mergeCell ref="F5:G5"/>
    <mergeCell ref="H5:I5"/>
    <mergeCell ref="J5:K5"/>
    <mergeCell ref="L5:M5"/>
    <mergeCell ref="B4:C4"/>
    <mergeCell ref="D4:E4"/>
    <mergeCell ref="F4:G4"/>
    <mergeCell ref="H4:I4"/>
    <mergeCell ref="J4:K4"/>
    <mergeCell ref="L4:M4"/>
  </mergeCells>
  <hyperlinks>
    <hyperlink ref="B4" location="'LR_NewScore1'!$B$10:$B$10" display="New Data Detail Rpt."/>
    <hyperlink ref="D4" location="'LR_Output1'!$B$10:$B$10" display="Inputs"/>
    <hyperlink ref="F4" location="'LR_Output1'!$B$43:$B$43" display="Prior Class Prob."/>
    <hyperlink ref="H4" location="'LR_Output1'!$B$52:$B$52" display="Predictors"/>
    <hyperlink ref="J4" location="'LR_Output1'!$B$63:$B$63" display="Regress. Model"/>
    <hyperlink ref="L4" location="'LR_Output1'!$B$71:$B$71" display="Train. Score Summary"/>
    <hyperlink ref="B5" location="'LR_Output1'!$B$95:$B$95" display="Valid. Score Summary"/>
    <hyperlink ref="D5" location="'LR_TrainingLiftChart1'!$B$10:$B$10" display="Training Lift Chart"/>
    <hyperlink ref="F5" location="'LR_TrainingScore1'!$B$10:$B$10" display="Train. Score - Detailed Rep."/>
    <hyperlink ref="H5" location="'LR_ValidationLiftChart1'!$B$10:$B$10" display="Validation Lift Chart"/>
    <hyperlink ref="J5" location="'LR_ValidationScore1'!$B$10:$B$10" display="Valid. Score - Detailed Rep.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B69"/>
  <sheetViews>
    <sheetView showGridLines="0" workbookViewId="0"/>
  </sheetViews>
  <sheetFormatPr defaultRowHeight="15" x14ac:dyDescent="0.25"/>
  <cols>
    <col min="16" max="16" width="13.28515625" bestFit="1" customWidth="1"/>
    <col min="52" max="52" width="8.140625" customWidth="1"/>
    <col min="53" max="53" width="15" bestFit="1" customWidth="1"/>
    <col min="54" max="54" width="12.140625" bestFit="1" customWidth="1"/>
    <col min="55" max="55" width="45.42578125" bestFit="1" customWidth="1"/>
    <col min="56" max="56" width="27.7109375" bestFit="1" customWidth="1"/>
    <col min="57" max="57" width="6.42578125" customWidth="1"/>
    <col min="58" max="58" width="22.42578125" bestFit="1" customWidth="1"/>
    <col min="78" max="80" width="12" bestFit="1" customWidth="1"/>
  </cols>
  <sheetData>
    <row r="1" spans="2:80" ht="18.75" x14ac:dyDescent="0.3">
      <c r="B1" s="2" t="s">
        <v>231</v>
      </c>
      <c r="N1" t="s">
        <v>369</v>
      </c>
      <c r="BZ1" s="5" t="s">
        <v>241</v>
      </c>
      <c r="CA1" s="5" t="s">
        <v>242</v>
      </c>
      <c r="CB1" s="5" t="s">
        <v>243</v>
      </c>
    </row>
    <row r="2" spans="2:80" x14ac:dyDescent="0.25">
      <c r="BZ2">
        <v>0</v>
      </c>
      <c r="CA2">
        <v>0</v>
      </c>
      <c r="CB2">
        <v>0</v>
      </c>
    </row>
    <row r="3" spans="2:80" ht="15.75" x14ac:dyDescent="0.25">
      <c r="B3" s="6" t="s">
        <v>190</v>
      </c>
      <c r="C3" s="7"/>
      <c r="D3" s="7"/>
      <c r="E3" s="7"/>
      <c r="F3" s="7"/>
      <c r="G3" s="7"/>
      <c r="H3" s="7"/>
      <c r="I3" s="7"/>
      <c r="J3" s="7"/>
      <c r="K3" s="7"/>
      <c r="L3" s="7"/>
      <c r="M3" s="8"/>
      <c r="P3" s="6" t="s">
        <v>191</v>
      </c>
      <c r="Q3" s="7"/>
      <c r="R3" s="7"/>
      <c r="S3" s="8"/>
      <c r="AZ3" s="5" t="s">
        <v>234</v>
      </c>
      <c r="BA3" s="5" t="s">
        <v>235</v>
      </c>
      <c r="BB3" s="5" t="s">
        <v>236</v>
      </c>
      <c r="BC3" s="5" t="s">
        <v>237</v>
      </c>
      <c r="BD3" s="5" t="s">
        <v>238</v>
      </c>
      <c r="BE3" s="5" t="s">
        <v>239</v>
      </c>
      <c r="BF3" s="5" t="s">
        <v>240</v>
      </c>
      <c r="BZ3">
        <v>0</v>
      </c>
      <c r="CA3">
        <v>0.1111111111111111</v>
      </c>
      <c r="CB3">
        <v>0</v>
      </c>
    </row>
    <row r="4" spans="2:80" x14ac:dyDescent="0.25">
      <c r="B4" s="18" t="s">
        <v>375</v>
      </c>
      <c r="C4" s="14"/>
      <c r="D4" s="18" t="s">
        <v>249</v>
      </c>
      <c r="E4" s="14"/>
      <c r="F4" s="18" t="s">
        <v>250</v>
      </c>
      <c r="G4" s="14"/>
      <c r="H4" s="18" t="s">
        <v>251</v>
      </c>
      <c r="I4" s="14"/>
      <c r="J4" s="18" t="s">
        <v>252</v>
      </c>
      <c r="K4" s="14"/>
      <c r="L4" s="18" t="s">
        <v>254</v>
      </c>
      <c r="M4" s="14"/>
      <c r="P4" s="5" t="s">
        <v>232</v>
      </c>
      <c r="Q4" s="5" t="s">
        <v>233</v>
      </c>
      <c r="R4" s="5" t="s">
        <v>193</v>
      </c>
      <c r="S4" s="5" t="s">
        <v>194</v>
      </c>
      <c r="AZ4" s="19">
        <v>1</v>
      </c>
      <c r="BA4" s="19">
        <v>0.83668541480523573</v>
      </c>
      <c r="BB4" s="19">
        <v>1</v>
      </c>
      <c r="BC4" s="19">
        <v>1</v>
      </c>
      <c r="BD4" s="19">
        <v>0.13636363636363635</v>
      </c>
      <c r="BE4">
        <v>1</v>
      </c>
      <c r="BF4">
        <v>3.666666666666667</v>
      </c>
      <c r="BZ4">
        <v>1.7543859649122806E-2</v>
      </c>
      <c r="CA4">
        <v>0.22222222222222221</v>
      </c>
      <c r="CB4">
        <v>1.7543859649122806E-2</v>
      </c>
    </row>
    <row r="5" spans="2:80" x14ac:dyDescent="0.25">
      <c r="B5" s="18" t="s">
        <v>255</v>
      </c>
      <c r="C5" s="14"/>
      <c r="D5" s="18" t="s">
        <v>256</v>
      </c>
      <c r="E5" s="14"/>
      <c r="F5" s="18" t="s">
        <v>356</v>
      </c>
      <c r="G5" s="14"/>
      <c r="H5" s="18" t="s">
        <v>257</v>
      </c>
      <c r="I5" s="14"/>
      <c r="J5" s="18" t="s">
        <v>357</v>
      </c>
      <c r="K5" s="14"/>
      <c r="L5" s="12"/>
      <c r="M5" s="14"/>
      <c r="P5" s="3">
        <v>1</v>
      </c>
      <c r="Q5" s="3">
        <v>1</v>
      </c>
      <c r="R5" s="3">
        <v>4</v>
      </c>
      <c r="S5" s="3">
        <v>6</v>
      </c>
      <c r="AZ5" s="19">
        <v>2</v>
      </c>
      <c r="BA5" s="19">
        <v>0.64579357254318581</v>
      </c>
      <c r="BB5" s="19">
        <v>0</v>
      </c>
      <c r="BC5" s="19">
        <v>1</v>
      </c>
      <c r="BD5" s="19">
        <v>0.27272727272727271</v>
      </c>
      <c r="BE5">
        <v>2</v>
      </c>
      <c r="BF5">
        <v>0</v>
      </c>
      <c r="BZ5">
        <v>5.2631578947368418E-2</v>
      </c>
      <c r="CA5">
        <v>0.22222222222222221</v>
      </c>
      <c r="CB5">
        <v>5.2631578947368418E-2</v>
      </c>
    </row>
    <row r="6" spans="2:80" x14ac:dyDescent="0.25">
      <c r="AZ6" s="19">
        <v>3</v>
      </c>
      <c r="BA6" s="19">
        <v>0.64579357254318581</v>
      </c>
      <c r="BB6" s="19">
        <v>1</v>
      </c>
      <c r="BC6" s="19">
        <v>2</v>
      </c>
      <c r="BD6" s="19">
        <v>0.40909090909090906</v>
      </c>
      <c r="BE6">
        <v>3</v>
      </c>
      <c r="BF6">
        <v>1.2222222222222223</v>
      </c>
      <c r="BZ6">
        <v>7.0175438596491224E-2</v>
      </c>
      <c r="CA6">
        <v>0.33333333333333331</v>
      </c>
      <c r="CB6">
        <v>7.0175438596491224E-2</v>
      </c>
    </row>
    <row r="7" spans="2:80" x14ac:dyDescent="0.25">
      <c r="AZ7" s="19">
        <v>4</v>
      </c>
      <c r="BA7" s="19">
        <v>0.62049840743522267</v>
      </c>
      <c r="BB7" s="19">
        <v>0</v>
      </c>
      <c r="BC7" s="19">
        <v>2</v>
      </c>
      <c r="BD7" s="19">
        <v>0.54545454545454541</v>
      </c>
      <c r="BE7">
        <v>4</v>
      </c>
      <c r="BF7">
        <v>2.4444444444444446</v>
      </c>
      <c r="BZ7">
        <v>8.771929824561403E-2</v>
      </c>
      <c r="CA7">
        <v>0.33333333333333331</v>
      </c>
      <c r="CB7">
        <v>8.771929824561403E-2</v>
      </c>
    </row>
    <row r="8" spans="2:80" x14ac:dyDescent="0.25">
      <c r="AZ8" s="19">
        <v>5</v>
      </c>
      <c r="BA8" s="19">
        <v>0.62049840743522267</v>
      </c>
      <c r="BB8" s="19">
        <v>0</v>
      </c>
      <c r="BC8" s="19">
        <v>2</v>
      </c>
      <c r="BD8" s="19">
        <v>0.68181818181818177</v>
      </c>
      <c r="BE8">
        <v>5</v>
      </c>
      <c r="BF8">
        <v>0</v>
      </c>
      <c r="BZ8">
        <v>0.10526315789473684</v>
      </c>
      <c r="CA8">
        <v>0.33333333333333331</v>
      </c>
      <c r="CB8">
        <v>0.10526315789473684</v>
      </c>
    </row>
    <row r="9" spans="2:80" x14ac:dyDescent="0.25">
      <c r="AZ9" s="19">
        <v>6</v>
      </c>
      <c r="BA9" s="19">
        <v>0.41979037458463492</v>
      </c>
      <c r="BB9" s="19">
        <v>1</v>
      </c>
      <c r="BC9" s="19">
        <v>3</v>
      </c>
      <c r="BD9" s="19">
        <v>0.81818181818181812</v>
      </c>
      <c r="BE9">
        <v>6</v>
      </c>
      <c r="BF9">
        <v>1.2222222222222223</v>
      </c>
      <c r="BZ9">
        <v>0.12280701754385964</v>
      </c>
      <c r="CA9">
        <v>0.33333333333333331</v>
      </c>
      <c r="CB9">
        <v>0.12280701754385964</v>
      </c>
    </row>
    <row r="10" spans="2:80" x14ac:dyDescent="0.25">
      <c r="AZ10" s="20">
        <v>7</v>
      </c>
      <c r="BA10" s="20">
        <v>0.41979037458463492</v>
      </c>
      <c r="BB10" s="20">
        <v>0</v>
      </c>
      <c r="BC10" s="20">
        <v>3</v>
      </c>
      <c r="BD10" s="20">
        <v>0.95454545454545447</v>
      </c>
      <c r="BE10">
        <v>7</v>
      </c>
      <c r="BF10">
        <v>1.2222222222222223</v>
      </c>
      <c r="BZ10">
        <v>0.14035087719298245</v>
      </c>
      <c r="CA10">
        <v>0.33333333333333331</v>
      </c>
      <c r="CB10">
        <v>0.14035087719298245</v>
      </c>
    </row>
    <row r="11" spans="2:80" x14ac:dyDescent="0.25">
      <c r="AZ11" s="20">
        <v>8</v>
      </c>
      <c r="BA11" s="20">
        <v>0.36783741989417773</v>
      </c>
      <c r="BB11" s="20">
        <v>0</v>
      </c>
      <c r="BC11" s="20">
        <v>3</v>
      </c>
      <c r="BD11" s="20">
        <v>1.0909090909090908</v>
      </c>
      <c r="BE11">
        <v>8</v>
      </c>
      <c r="BF11">
        <v>1.2222222222222223</v>
      </c>
      <c r="BZ11">
        <v>0.15789473684210525</v>
      </c>
      <c r="CA11">
        <v>0.33333333333333331</v>
      </c>
      <c r="CB11">
        <v>0.15789473684210525</v>
      </c>
    </row>
    <row r="12" spans="2:80" x14ac:dyDescent="0.25">
      <c r="AZ12" s="20">
        <v>9</v>
      </c>
      <c r="BA12" s="20">
        <v>0.31308174134100825</v>
      </c>
      <c r="BB12" s="20">
        <v>0</v>
      </c>
      <c r="BC12" s="20">
        <v>3</v>
      </c>
      <c r="BD12" s="20">
        <v>1.2272727272727271</v>
      </c>
      <c r="BE12">
        <v>9</v>
      </c>
      <c r="BF12">
        <v>0</v>
      </c>
      <c r="BZ12">
        <v>0.15789473684210525</v>
      </c>
      <c r="CA12">
        <v>0.44444444444444442</v>
      </c>
      <c r="CB12">
        <v>0.15789473684210525</v>
      </c>
    </row>
    <row r="13" spans="2:80" x14ac:dyDescent="0.25">
      <c r="AZ13" s="20">
        <v>10</v>
      </c>
      <c r="BA13" s="20">
        <v>0.29014358821209585</v>
      </c>
      <c r="BB13" s="20">
        <v>0</v>
      </c>
      <c r="BC13" s="20">
        <v>3</v>
      </c>
      <c r="BD13" s="20">
        <v>1.3636363636363635</v>
      </c>
      <c r="BE13">
        <v>10</v>
      </c>
      <c r="BF13">
        <v>0</v>
      </c>
      <c r="BZ13">
        <v>0.19298245614035087</v>
      </c>
      <c r="CA13">
        <v>0.44444444444444442</v>
      </c>
      <c r="CB13">
        <v>0.19298245614035087</v>
      </c>
    </row>
    <row r="14" spans="2:80" x14ac:dyDescent="0.25">
      <c r="AZ14" s="20">
        <v>11</v>
      </c>
      <c r="BA14" s="20">
        <v>0.2682297773834319</v>
      </c>
      <c r="BB14" s="20">
        <v>0</v>
      </c>
      <c r="BC14" s="20">
        <v>3</v>
      </c>
      <c r="BD14" s="20">
        <v>1.5</v>
      </c>
      <c r="BZ14">
        <v>0.21052631578947367</v>
      </c>
      <c r="CA14">
        <v>0.44444444444444442</v>
      </c>
      <c r="CB14">
        <v>0.21052631578947367</v>
      </c>
    </row>
    <row r="15" spans="2:80" x14ac:dyDescent="0.25">
      <c r="AZ15" s="20">
        <v>12</v>
      </c>
      <c r="BA15" s="20">
        <v>0.18759104097085189</v>
      </c>
      <c r="BB15" s="20">
        <v>0</v>
      </c>
      <c r="BC15" s="20">
        <v>3</v>
      </c>
      <c r="BD15" s="20">
        <v>1.6363636363636362</v>
      </c>
      <c r="BZ15">
        <v>0.26315789473684209</v>
      </c>
      <c r="CA15">
        <v>0.44444444444444442</v>
      </c>
      <c r="CB15">
        <v>0.26315789473684209</v>
      </c>
    </row>
    <row r="16" spans="2:80" x14ac:dyDescent="0.25">
      <c r="AZ16" s="19">
        <v>13</v>
      </c>
      <c r="BA16" s="19">
        <v>0.17155090223931616</v>
      </c>
      <c r="BB16" s="19">
        <v>1</v>
      </c>
      <c r="BC16" s="19">
        <v>4</v>
      </c>
      <c r="BD16" s="19">
        <v>1.7727272727272725</v>
      </c>
      <c r="BZ16">
        <v>0.2982456140350877</v>
      </c>
      <c r="CA16">
        <v>0.44444444444444442</v>
      </c>
      <c r="CB16">
        <v>0.2982456140350877</v>
      </c>
    </row>
    <row r="17" spans="52:80" x14ac:dyDescent="0.25">
      <c r="AZ17" s="19">
        <v>14</v>
      </c>
      <c r="BA17" s="19">
        <v>0.10473108520416485</v>
      </c>
      <c r="BB17" s="19">
        <v>0</v>
      </c>
      <c r="BC17" s="19">
        <v>4</v>
      </c>
      <c r="BD17" s="19">
        <v>1.9090909090909089</v>
      </c>
      <c r="BZ17">
        <v>0.2982456140350877</v>
      </c>
      <c r="CA17">
        <v>0.55555555555555558</v>
      </c>
      <c r="CB17">
        <v>0.2982456140350877</v>
      </c>
    </row>
    <row r="18" spans="52:80" x14ac:dyDescent="0.25">
      <c r="AZ18" s="19">
        <v>15</v>
      </c>
      <c r="BA18" s="19">
        <v>0.10473108520416485</v>
      </c>
      <c r="BB18" s="19">
        <v>0</v>
      </c>
      <c r="BC18" s="19">
        <v>4</v>
      </c>
      <c r="BD18" s="19">
        <v>2.0454545454545454</v>
      </c>
      <c r="BZ18">
        <v>0.31578947368421051</v>
      </c>
      <c r="CA18">
        <v>0.66666666666666663</v>
      </c>
      <c r="CB18">
        <v>0.31578947368421051</v>
      </c>
    </row>
    <row r="19" spans="52:80" x14ac:dyDescent="0.25">
      <c r="AZ19" s="19">
        <v>16</v>
      </c>
      <c r="BA19" s="19">
        <v>7.5934671623267821E-2</v>
      </c>
      <c r="BB19" s="19">
        <v>0</v>
      </c>
      <c r="BC19" s="19">
        <v>4</v>
      </c>
      <c r="BD19" s="19">
        <v>2.1818181818181817</v>
      </c>
      <c r="BZ19">
        <v>0.36842105263157893</v>
      </c>
      <c r="CA19">
        <v>0.66666666666666663</v>
      </c>
      <c r="CB19">
        <v>0.36842105263157893</v>
      </c>
    </row>
    <row r="20" spans="52:80" x14ac:dyDescent="0.25">
      <c r="AZ20" s="19">
        <v>17</v>
      </c>
      <c r="BA20" s="19">
        <v>6.8635221814071085E-2</v>
      </c>
      <c r="BB20" s="19">
        <v>0</v>
      </c>
      <c r="BC20" s="19">
        <v>4</v>
      </c>
      <c r="BD20" s="19">
        <v>2.3181818181818179</v>
      </c>
      <c r="BZ20">
        <v>0.40350877192982454</v>
      </c>
      <c r="CA20">
        <v>0.66666666666666663</v>
      </c>
      <c r="CB20">
        <v>0.40350877192982454</v>
      </c>
    </row>
    <row r="21" spans="52:80" x14ac:dyDescent="0.25">
      <c r="AZ21" s="19">
        <v>18</v>
      </c>
      <c r="BA21" s="19">
        <v>6.8635221814071085E-2</v>
      </c>
      <c r="BB21" s="19">
        <v>0</v>
      </c>
      <c r="BC21" s="19">
        <v>4</v>
      </c>
      <c r="BD21" s="19">
        <v>2.4545454545454541</v>
      </c>
      <c r="BZ21">
        <v>0.42105263157894735</v>
      </c>
      <c r="CA21">
        <v>0.77777777777777779</v>
      </c>
      <c r="CB21">
        <v>0.42105263157894735</v>
      </c>
    </row>
    <row r="22" spans="52:80" x14ac:dyDescent="0.25">
      <c r="AZ22" s="20">
        <v>19</v>
      </c>
      <c r="BA22" s="20">
        <v>6.8635221814071085E-2</v>
      </c>
      <c r="BB22" s="20">
        <v>0</v>
      </c>
      <c r="BC22" s="20">
        <v>4</v>
      </c>
      <c r="BD22" s="20">
        <v>2.5909090909090908</v>
      </c>
      <c r="BZ22">
        <v>0.43859649122807015</v>
      </c>
      <c r="CA22">
        <v>0.77777777777777779</v>
      </c>
      <c r="CB22">
        <v>0.43859649122807015</v>
      </c>
    </row>
    <row r="23" spans="52:80" x14ac:dyDescent="0.25">
      <c r="AZ23" s="20">
        <v>20</v>
      </c>
      <c r="BA23" s="20">
        <v>6.1990381774628532E-2</v>
      </c>
      <c r="BB23" s="20">
        <v>0</v>
      </c>
      <c r="BC23" s="20">
        <v>4</v>
      </c>
      <c r="BD23" s="20">
        <v>2.7272727272727271</v>
      </c>
      <c r="BZ23">
        <v>0.45614035087719296</v>
      </c>
      <c r="CA23">
        <v>0.77777777777777779</v>
      </c>
      <c r="CB23">
        <v>0.45614035087719296</v>
      </c>
    </row>
    <row r="24" spans="52:80" x14ac:dyDescent="0.25">
      <c r="AZ24" s="20">
        <v>21</v>
      </c>
      <c r="BA24" s="20">
        <v>6.1990381774628532E-2</v>
      </c>
      <c r="BB24" s="20">
        <v>0</v>
      </c>
      <c r="BC24" s="20">
        <v>4</v>
      </c>
      <c r="BD24" s="20">
        <v>2.8636363636363633</v>
      </c>
      <c r="BZ24">
        <v>0.59649122807017541</v>
      </c>
      <c r="CA24">
        <v>0.88888888888888884</v>
      </c>
      <c r="CB24">
        <v>0.59649122807017541</v>
      </c>
    </row>
    <row r="25" spans="52:80" x14ac:dyDescent="0.25">
      <c r="AZ25" s="20">
        <v>22</v>
      </c>
      <c r="BA25" s="20">
        <v>4.4363430878092497E-2</v>
      </c>
      <c r="BB25" s="20">
        <v>1</v>
      </c>
      <c r="BC25" s="20">
        <v>5</v>
      </c>
      <c r="BD25" s="20">
        <v>3</v>
      </c>
      <c r="BZ25">
        <v>0.7192982456140351</v>
      </c>
      <c r="CA25">
        <v>1</v>
      </c>
      <c r="CB25">
        <v>0.7192982456140351</v>
      </c>
    </row>
    <row r="26" spans="52:80" x14ac:dyDescent="0.25">
      <c r="AZ26" s="20">
        <v>23</v>
      </c>
      <c r="BA26" s="20">
        <v>3.9967597583531363E-2</v>
      </c>
      <c r="BB26" s="20">
        <v>1</v>
      </c>
      <c r="BC26" s="20">
        <v>6</v>
      </c>
      <c r="BD26" s="20">
        <v>3.1363636363636362</v>
      </c>
      <c r="BZ26">
        <v>0.77192982456140347</v>
      </c>
      <c r="CA26">
        <v>1</v>
      </c>
      <c r="CB26">
        <v>0.77192982456140347</v>
      </c>
    </row>
    <row r="27" spans="52:80" x14ac:dyDescent="0.25">
      <c r="AZ27" s="20">
        <v>24</v>
      </c>
      <c r="BA27" s="20">
        <v>3.9967597583531363E-2</v>
      </c>
      <c r="BB27" s="20">
        <v>0</v>
      </c>
      <c r="BC27" s="20">
        <v>6</v>
      </c>
      <c r="BD27" s="20">
        <v>3.2727272727272725</v>
      </c>
      <c r="BZ27">
        <v>0.80701754385964908</v>
      </c>
      <c r="CA27">
        <v>1</v>
      </c>
      <c r="CB27">
        <v>0.80701754385964908</v>
      </c>
    </row>
    <row r="28" spans="52:80" x14ac:dyDescent="0.25">
      <c r="AZ28" s="19">
        <v>25</v>
      </c>
      <c r="BA28" s="19">
        <v>3.5990929333768816E-2</v>
      </c>
      <c r="BB28" s="19">
        <v>0</v>
      </c>
      <c r="BC28" s="19">
        <v>6</v>
      </c>
      <c r="BD28" s="19">
        <v>3.4090909090909087</v>
      </c>
      <c r="BZ28">
        <v>0.91228070175438591</v>
      </c>
      <c r="CA28">
        <v>1</v>
      </c>
      <c r="CB28">
        <v>0.91228070175438591</v>
      </c>
    </row>
    <row r="29" spans="52:80" x14ac:dyDescent="0.25">
      <c r="AZ29" s="19">
        <v>26</v>
      </c>
      <c r="BA29" s="19">
        <v>3.5990929333768816E-2</v>
      </c>
      <c r="BB29" s="19">
        <v>0</v>
      </c>
      <c r="BC29" s="19">
        <v>6</v>
      </c>
      <c r="BD29" s="19">
        <v>3.545454545454545</v>
      </c>
      <c r="BZ29">
        <v>0.92982456140350878</v>
      </c>
      <c r="CA29">
        <v>1</v>
      </c>
      <c r="CB29">
        <v>0.92982456140350878</v>
      </c>
    </row>
    <row r="30" spans="52:80" x14ac:dyDescent="0.25">
      <c r="AZ30" s="19">
        <v>27</v>
      </c>
      <c r="BA30" s="19">
        <v>3.5990929333768816E-2</v>
      </c>
      <c r="BB30" s="19">
        <v>0</v>
      </c>
      <c r="BC30" s="19">
        <v>6</v>
      </c>
      <c r="BD30" s="19">
        <v>3.6818181818181817</v>
      </c>
      <c r="BZ30">
        <v>0.96491228070175439</v>
      </c>
      <c r="CA30">
        <v>1</v>
      </c>
      <c r="CB30">
        <v>0.96491228070175439</v>
      </c>
    </row>
    <row r="31" spans="52:80" x14ac:dyDescent="0.25">
      <c r="AZ31" s="19">
        <v>28</v>
      </c>
      <c r="BA31" s="19">
        <v>2.5555500696915728E-2</v>
      </c>
      <c r="BB31" s="19">
        <v>0</v>
      </c>
      <c r="BC31" s="19">
        <v>6</v>
      </c>
      <c r="BD31" s="19">
        <v>3.8181818181818179</v>
      </c>
      <c r="BZ31">
        <v>1</v>
      </c>
      <c r="CA31">
        <v>1</v>
      </c>
      <c r="CB31">
        <v>1</v>
      </c>
    </row>
    <row r="32" spans="52:80" x14ac:dyDescent="0.25">
      <c r="AZ32" s="19">
        <v>29</v>
      </c>
      <c r="BA32" s="19">
        <v>2.5555500696915728E-2</v>
      </c>
      <c r="BB32" s="19">
        <v>0</v>
      </c>
      <c r="BC32" s="19">
        <v>6</v>
      </c>
      <c r="BD32" s="19">
        <v>3.9545454545454541</v>
      </c>
    </row>
    <row r="33" spans="9:56" x14ac:dyDescent="0.25">
      <c r="AZ33" s="19">
        <v>30</v>
      </c>
      <c r="BA33" s="19">
        <v>2.2978475151535619E-2</v>
      </c>
      <c r="BB33" s="19">
        <v>0</v>
      </c>
      <c r="BC33" s="19">
        <v>6</v>
      </c>
      <c r="BD33" s="19">
        <v>4.0909090909090908</v>
      </c>
    </row>
    <row r="34" spans="9:56" x14ac:dyDescent="0.25">
      <c r="AZ34" s="20">
        <v>31</v>
      </c>
      <c r="BA34" s="20">
        <v>2.2978475151535619E-2</v>
      </c>
      <c r="BB34" s="20">
        <v>1</v>
      </c>
      <c r="BC34" s="20">
        <v>7</v>
      </c>
      <c r="BD34" s="20">
        <v>4.2272727272727266</v>
      </c>
    </row>
    <row r="35" spans="9:56" x14ac:dyDescent="0.25">
      <c r="AZ35" s="20">
        <v>32</v>
      </c>
      <c r="BA35" s="20">
        <v>2.0655809194170219E-2</v>
      </c>
      <c r="BB35" s="20">
        <v>0</v>
      </c>
      <c r="BC35" s="20">
        <v>7</v>
      </c>
      <c r="BD35" s="20">
        <v>4.3636363636363633</v>
      </c>
    </row>
    <row r="36" spans="9:56" x14ac:dyDescent="0.25">
      <c r="AZ36" s="20">
        <v>33</v>
      </c>
      <c r="BA36" s="20">
        <v>1.4599400719354203E-2</v>
      </c>
      <c r="BB36" s="20">
        <v>0</v>
      </c>
      <c r="BC36" s="20">
        <v>7</v>
      </c>
      <c r="BD36" s="20">
        <v>4.5</v>
      </c>
    </row>
    <row r="37" spans="9:56" x14ac:dyDescent="0.25">
      <c r="AZ37" s="20">
        <v>34</v>
      </c>
      <c r="BA37" s="20">
        <v>1.3112325448542921E-2</v>
      </c>
      <c r="BB37" s="20">
        <v>0</v>
      </c>
      <c r="BC37" s="20">
        <v>7</v>
      </c>
      <c r="BD37" s="20">
        <v>4.6363636363636358</v>
      </c>
    </row>
    <row r="38" spans="9:56" x14ac:dyDescent="0.25">
      <c r="I38" s="5" t="s">
        <v>244</v>
      </c>
      <c r="J38" s="5" t="s">
        <v>245</v>
      </c>
      <c r="K38" s="5" t="s">
        <v>246</v>
      </c>
      <c r="L38" s="5" t="s">
        <v>247</v>
      </c>
      <c r="M38" s="5" t="s">
        <v>248</v>
      </c>
      <c r="AZ38" s="20">
        <v>35</v>
      </c>
      <c r="BA38" s="20">
        <v>1.3112325448542921E-2</v>
      </c>
      <c r="BB38" s="20">
        <v>0</v>
      </c>
      <c r="BC38" s="20">
        <v>7</v>
      </c>
      <c r="BD38" s="20">
        <v>4.7727272727272725</v>
      </c>
    </row>
    <row r="39" spans="9:56" x14ac:dyDescent="0.25">
      <c r="I39" s="4">
        <v>1</v>
      </c>
      <c r="J39" s="3">
        <v>0.5</v>
      </c>
      <c r="K39" s="3">
        <v>0.54772255750516607</v>
      </c>
      <c r="L39" s="3">
        <v>0</v>
      </c>
      <c r="M39" s="3">
        <v>1</v>
      </c>
      <c r="AZ39" s="20">
        <v>36</v>
      </c>
      <c r="BA39" s="20">
        <v>1.3112325448542921E-2</v>
      </c>
      <c r="BB39" s="20">
        <v>0</v>
      </c>
      <c r="BC39" s="20">
        <v>7</v>
      </c>
      <c r="BD39" s="20">
        <v>4.9090909090909083</v>
      </c>
    </row>
    <row r="40" spans="9:56" x14ac:dyDescent="0.25">
      <c r="I40" s="4">
        <v>2</v>
      </c>
      <c r="J40" s="3">
        <v>0</v>
      </c>
      <c r="K40" s="3">
        <v>0</v>
      </c>
      <c r="L40" s="3">
        <v>0</v>
      </c>
      <c r="M40" s="3">
        <v>0</v>
      </c>
      <c r="AZ40" s="19">
        <v>37</v>
      </c>
      <c r="BA40" s="19">
        <v>1.3112325448542921E-2</v>
      </c>
      <c r="BB40" s="19">
        <v>0</v>
      </c>
      <c r="BC40" s="19">
        <v>7</v>
      </c>
      <c r="BD40" s="19">
        <v>5.045454545454545</v>
      </c>
    </row>
    <row r="41" spans="9:56" x14ac:dyDescent="0.25">
      <c r="I41" s="4">
        <v>3</v>
      </c>
      <c r="J41" s="3">
        <v>0.16666666666666666</v>
      </c>
      <c r="K41" s="3">
        <v>0.40824829046386302</v>
      </c>
      <c r="L41" s="3">
        <v>0</v>
      </c>
      <c r="M41" s="3">
        <v>1</v>
      </c>
      <c r="AZ41" s="19">
        <v>38</v>
      </c>
      <c r="BA41" s="19">
        <v>1.3112325448542921E-2</v>
      </c>
      <c r="BB41" s="19">
        <v>0</v>
      </c>
      <c r="BC41" s="19">
        <v>7</v>
      </c>
      <c r="BD41" s="19">
        <v>5.1818181818181817</v>
      </c>
    </row>
    <row r="42" spans="9:56" x14ac:dyDescent="0.25">
      <c r="I42" s="4">
        <v>4</v>
      </c>
      <c r="J42" s="3">
        <v>0.33333333333333331</v>
      </c>
      <c r="K42" s="3">
        <v>0.51639777949432231</v>
      </c>
      <c r="L42" s="3">
        <v>0</v>
      </c>
      <c r="M42" s="3">
        <v>1</v>
      </c>
      <c r="AZ42" s="19">
        <v>39</v>
      </c>
      <c r="BA42" s="19">
        <v>1.3112325448542921E-2</v>
      </c>
      <c r="BB42" s="19">
        <v>1</v>
      </c>
      <c r="BC42" s="19">
        <v>8</v>
      </c>
      <c r="BD42" s="19">
        <v>5.3181818181818175</v>
      </c>
    </row>
    <row r="43" spans="9:56" x14ac:dyDescent="0.25">
      <c r="I43" s="4">
        <v>5</v>
      </c>
      <c r="J43" s="3">
        <v>0</v>
      </c>
      <c r="K43" s="3">
        <v>0</v>
      </c>
      <c r="L43" s="3">
        <v>0</v>
      </c>
      <c r="M43" s="3">
        <v>0</v>
      </c>
      <c r="AZ43" s="19">
        <v>40</v>
      </c>
      <c r="BA43" s="19">
        <v>1.3112325448542921E-2</v>
      </c>
      <c r="BB43" s="19">
        <v>0</v>
      </c>
      <c r="BC43" s="19">
        <v>8</v>
      </c>
      <c r="BD43" s="19">
        <v>5.4545454545454541</v>
      </c>
    </row>
    <row r="44" spans="9:56" x14ac:dyDescent="0.25">
      <c r="I44" s="4">
        <v>6</v>
      </c>
      <c r="J44" s="3">
        <v>0.16666666666666666</v>
      </c>
      <c r="K44" s="3">
        <v>0.40824829046386302</v>
      </c>
      <c r="L44" s="3">
        <v>0</v>
      </c>
      <c r="M44" s="3">
        <v>1</v>
      </c>
      <c r="AZ44" s="19">
        <v>41</v>
      </c>
      <c r="BA44" s="19">
        <v>1.3112325448542921E-2</v>
      </c>
      <c r="BB44" s="19">
        <v>0</v>
      </c>
      <c r="BC44" s="19">
        <v>8</v>
      </c>
      <c r="BD44" s="19">
        <v>5.5909090909090908</v>
      </c>
    </row>
    <row r="45" spans="9:56" x14ac:dyDescent="0.25">
      <c r="I45" s="4">
        <v>7</v>
      </c>
      <c r="J45" s="3">
        <v>0.16666666666666666</v>
      </c>
      <c r="K45" s="3">
        <v>0.40824829046386302</v>
      </c>
      <c r="L45" s="3">
        <v>0</v>
      </c>
      <c r="M45" s="3">
        <v>1</v>
      </c>
      <c r="AZ45" s="19">
        <v>42</v>
      </c>
      <c r="BA45" s="19">
        <v>1.3112325448542921E-2</v>
      </c>
      <c r="BB45" s="19">
        <v>0</v>
      </c>
      <c r="BC45" s="19">
        <v>8</v>
      </c>
      <c r="BD45" s="19">
        <v>5.7272727272727266</v>
      </c>
    </row>
    <row r="46" spans="9:56" x14ac:dyDescent="0.25">
      <c r="I46" s="4">
        <v>8</v>
      </c>
      <c r="J46" s="3">
        <v>0.16666666666666666</v>
      </c>
      <c r="K46" s="3">
        <v>0.40824829046386302</v>
      </c>
      <c r="L46" s="3">
        <v>0</v>
      </c>
      <c r="M46" s="3">
        <v>1</v>
      </c>
      <c r="AZ46" s="20">
        <v>43</v>
      </c>
      <c r="BA46" s="20">
        <v>8.3003667265397815E-3</v>
      </c>
      <c r="BB46" s="20">
        <v>0</v>
      </c>
      <c r="BC46" s="20">
        <v>8</v>
      </c>
      <c r="BD46" s="20">
        <v>5.8636363636363633</v>
      </c>
    </row>
    <row r="47" spans="9:56" x14ac:dyDescent="0.25">
      <c r="I47" s="4">
        <v>9</v>
      </c>
      <c r="J47" s="3">
        <v>0</v>
      </c>
      <c r="K47" s="3">
        <v>0</v>
      </c>
      <c r="L47" s="3">
        <v>0</v>
      </c>
      <c r="M47" s="3">
        <v>0</v>
      </c>
      <c r="AZ47" s="20">
        <v>44</v>
      </c>
      <c r="BA47" s="20">
        <v>8.3003667265397815E-3</v>
      </c>
      <c r="BB47" s="20">
        <v>0</v>
      </c>
      <c r="BC47" s="20">
        <v>8</v>
      </c>
      <c r="BD47" s="20">
        <v>6</v>
      </c>
    </row>
    <row r="48" spans="9:56" x14ac:dyDescent="0.25">
      <c r="I48" s="4">
        <v>10</v>
      </c>
      <c r="J48" s="3">
        <v>0</v>
      </c>
      <c r="K48" s="3">
        <v>0</v>
      </c>
      <c r="L48" s="3">
        <v>0</v>
      </c>
      <c r="M48" s="3">
        <v>0</v>
      </c>
      <c r="AZ48" s="20">
        <v>45</v>
      </c>
      <c r="BA48" s="20">
        <v>8.3003667265397815E-3</v>
      </c>
      <c r="BB48" s="20">
        <v>0</v>
      </c>
      <c r="BC48" s="20">
        <v>8</v>
      </c>
      <c r="BD48" s="20">
        <v>6.1363636363636358</v>
      </c>
    </row>
    <row r="49" spans="52:56" x14ac:dyDescent="0.25">
      <c r="AZ49" s="20">
        <v>46</v>
      </c>
      <c r="BA49" s="20">
        <v>8.3003667265397815E-3</v>
      </c>
      <c r="BB49" s="20">
        <v>1</v>
      </c>
      <c r="BC49" s="20">
        <v>9</v>
      </c>
      <c r="BD49" s="20">
        <v>6.2727272727272725</v>
      </c>
    </row>
    <row r="50" spans="52:56" x14ac:dyDescent="0.25">
      <c r="AZ50" s="20">
        <v>47</v>
      </c>
      <c r="BA50" s="20">
        <v>8.3003667265397815E-3</v>
      </c>
      <c r="BB50" s="20">
        <v>0</v>
      </c>
      <c r="BC50" s="20">
        <v>9</v>
      </c>
      <c r="BD50" s="20">
        <v>6.4090909090909083</v>
      </c>
    </row>
    <row r="51" spans="52:56" x14ac:dyDescent="0.25">
      <c r="AZ51" s="20">
        <v>48</v>
      </c>
      <c r="BA51" s="20">
        <v>8.3003667265397815E-3</v>
      </c>
      <c r="BB51" s="20">
        <v>0</v>
      </c>
      <c r="BC51" s="20">
        <v>9</v>
      </c>
      <c r="BD51" s="20">
        <v>6.545454545454545</v>
      </c>
    </row>
    <row r="52" spans="52:56" x14ac:dyDescent="0.25">
      <c r="AZ52" s="19">
        <v>49</v>
      </c>
      <c r="BA52" s="19">
        <v>8.3003667265397815E-3</v>
      </c>
      <c r="BB52" s="19">
        <v>0</v>
      </c>
      <c r="BC52" s="19">
        <v>9</v>
      </c>
      <c r="BD52" s="19">
        <v>6.6818181818181817</v>
      </c>
    </row>
    <row r="53" spans="52:56" x14ac:dyDescent="0.25">
      <c r="AZ53" s="19">
        <v>50</v>
      </c>
      <c r="BA53" s="19">
        <v>8.3003667265397815E-3</v>
      </c>
      <c r="BB53" s="19">
        <v>0</v>
      </c>
      <c r="BC53" s="19">
        <v>9</v>
      </c>
      <c r="BD53" s="19">
        <v>6.8181818181818175</v>
      </c>
    </row>
    <row r="54" spans="52:56" x14ac:dyDescent="0.25">
      <c r="AZ54" s="19">
        <v>51</v>
      </c>
      <c r="BA54" s="19">
        <v>7.4500517088275046E-3</v>
      </c>
      <c r="BB54" s="19">
        <v>0</v>
      </c>
      <c r="BC54" s="19">
        <v>9</v>
      </c>
      <c r="BD54" s="19">
        <v>6.9545454545454541</v>
      </c>
    </row>
    <row r="55" spans="52:56" x14ac:dyDescent="0.25">
      <c r="AZ55" s="19">
        <v>52</v>
      </c>
      <c r="BA55" s="19">
        <v>7.4500517088275046E-3</v>
      </c>
      <c r="BB55" s="19">
        <v>0</v>
      </c>
      <c r="BC55" s="19">
        <v>9</v>
      </c>
      <c r="BD55" s="19">
        <v>7.0909090909090899</v>
      </c>
    </row>
    <row r="56" spans="52:56" x14ac:dyDescent="0.25">
      <c r="AZ56" s="19">
        <v>53</v>
      </c>
      <c r="BA56" s="19">
        <v>7.4500517088275046E-3</v>
      </c>
      <c r="BB56" s="19">
        <v>0</v>
      </c>
      <c r="BC56" s="19">
        <v>9</v>
      </c>
      <c r="BD56" s="19">
        <v>7.2272727272727266</v>
      </c>
    </row>
    <row r="57" spans="52:56" x14ac:dyDescent="0.25">
      <c r="AZ57" s="19">
        <v>54</v>
      </c>
      <c r="BA57" s="19">
        <v>4.7061241626921574E-3</v>
      </c>
      <c r="BB57" s="19">
        <v>0</v>
      </c>
      <c r="BC57" s="19">
        <v>9</v>
      </c>
      <c r="BD57" s="19">
        <v>7.3636363636363633</v>
      </c>
    </row>
    <row r="58" spans="52:56" x14ac:dyDescent="0.25">
      <c r="AZ58" s="20">
        <v>55</v>
      </c>
      <c r="BA58" s="20">
        <v>4.7061241626921574E-3</v>
      </c>
      <c r="BB58" s="20">
        <v>0</v>
      </c>
      <c r="BC58" s="20">
        <v>9</v>
      </c>
      <c r="BD58" s="20">
        <v>7.4999999999999991</v>
      </c>
    </row>
    <row r="59" spans="52:56" x14ac:dyDescent="0.25">
      <c r="AZ59" s="20">
        <v>56</v>
      </c>
      <c r="BA59" s="20">
        <v>2.6640871521689067E-3</v>
      </c>
      <c r="BB59" s="20">
        <v>0</v>
      </c>
      <c r="BC59" s="20">
        <v>9</v>
      </c>
      <c r="BD59" s="20">
        <v>7.6363636363636358</v>
      </c>
    </row>
    <row r="60" spans="52:56" x14ac:dyDescent="0.25">
      <c r="AZ60" s="20">
        <v>57</v>
      </c>
      <c r="BA60" s="20">
        <v>2.6640871521689067E-3</v>
      </c>
      <c r="BB60" s="20">
        <v>0</v>
      </c>
      <c r="BC60" s="20">
        <v>9</v>
      </c>
      <c r="BD60" s="20">
        <v>7.7727272727272725</v>
      </c>
    </row>
    <row r="61" spans="52:56" x14ac:dyDescent="0.25">
      <c r="AZ61" s="20">
        <v>58</v>
      </c>
      <c r="BA61" s="20">
        <v>2.6640871521689067E-3</v>
      </c>
      <c r="BB61" s="20">
        <v>0</v>
      </c>
      <c r="BC61" s="20">
        <v>9</v>
      </c>
      <c r="BD61" s="20">
        <v>7.9090909090909083</v>
      </c>
    </row>
    <row r="62" spans="52:56" x14ac:dyDescent="0.25">
      <c r="AZ62" s="20">
        <v>59</v>
      </c>
      <c r="BA62" s="20">
        <v>2.6640871521689067E-3</v>
      </c>
      <c r="BB62" s="20">
        <v>0</v>
      </c>
      <c r="BC62" s="20">
        <v>9</v>
      </c>
      <c r="BD62" s="20">
        <v>8.045454545454545</v>
      </c>
    </row>
    <row r="63" spans="52:56" x14ac:dyDescent="0.25">
      <c r="AZ63" s="20">
        <v>60</v>
      </c>
      <c r="BA63" s="20">
        <v>2.6640871521689067E-3</v>
      </c>
      <c r="BB63" s="20">
        <v>0</v>
      </c>
      <c r="BC63" s="20">
        <v>9</v>
      </c>
      <c r="BD63" s="20">
        <v>8.1818181818181817</v>
      </c>
    </row>
    <row r="64" spans="52:56" x14ac:dyDescent="0.25">
      <c r="AZ64" s="19">
        <v>61</v>
      </c>
      <c r="BA64" s="19">
        <v>2.6640871521689067E-3</v>
      </c>
      <c r="BB64" s="19">
        <v>0</v>
      </c>
      <c r="BC64" s="19">
        <v>9</v>
      </c>
      <c r="BD64" s="19">
        <v>8.3181818181818183</v>
      </c>
    </row>
    <row r="65" spans="52:56" x14ac:dyDescent="0.25">
      <c r="AZ65" s="19">
        <v>62</v>
      </c>
      <c r="BA65" s="19">
        <v>2.3897784938870111E-3</v>
      </c>
      <c r="BB65" s="19">
        <v>0</v>
      </c>
      <c r="BC65" s="19">
        <v>9</v>
      </c>
      <c r="BD65" s="19">
        <v>8.4545454545454533</v>
      </c>
    </row>
    <row r="66" spans="52:56" x14ac:dyDescent="0.25">
      <c r="AZ66" s="19">
        <v>63</v>
      </c>
      <c r="BA66" s="19">
        <v>1.506770177865201E-3</v>
      </c>
      <c r="BB66" s="19">
        <v>0</v>
      </c>
      <c r="BC66" s="19">
        <v>9</v>
      </c>
      <c r="BD66" s="19">
        <v>8.5909090909090899</v>
      </c>
    </row>
    <row r="67" spans="52:56" x14ac:dyDescent="0.25">
      <c r="AZ67" s="19">
        <v>64</v>
      </c>
      <c r="BA67" s="19">
        <v>1.506770177865201E-3</v>
      </c>
      <c r="BB67" s="19">
        <v>0</v>
      </c>
      <c r="BC67" s="19">
        <v>9</v>
      </c>
      <c r="BD67" s="19">
        <v>8.7272727272727266</v>
      </c>
    </row>
    <row r="68" spans="52:56" x14ac:dyDescent="0.25">
      <c r="AZ68" s="19">
        <v>65</v>
      </c>
      <c r="BA68" s="19">
        <v>8.5177861473353185E-4</v>
      </c>
      <c r="BB68" s="19">
        <v>0</v>
      </c>
      <c r="BC68" s="19">
        <v>9</v>
      </c>
      <c r="BD68" s="19">
        <v>8.8636363636363633</v>
      </c>
    </row>
    <row r="69" spans="52:56" x14ac:dyDescent="0.25">
      <c r="AZ69" s="19">
        <v>66</v>
      </c>
      <c r="BA69" s="19">
        <v>8.5177861473353185E-4</v>
      </c>
      <c r="BB69" s="19">
        <v>0</v>
      </c>
      <c r="BC69" s="19">
        <v>9</v>
      </c>
      <c r="BD69" s="19">
        <v>9</v>
      </c>
    </row>
  </sheetData>
  <mergeCells count="14">
    <mergeCell ref="B3:M3"/>
    <mergeCell ref="P3:S3"/>
    <mergeCell ref="B5:C5"/>
    <mergeCell ref="D5:E5"/>
    <mergeCell ref="F5:G5"/>
    <mergeCell ref="H5:I5"/>
    <mergeCell ref="J5:K5"/>
    <mergeCell ref="L5:M5"/>
    <mergeCell ref="B4:C4"/>
    <mergeCell ref="D4:E4"/>
    <mergeCell ref="F4:G4"/>
    <mergeCell ref="H4:I4"/>
    <mergeCell ref="J4:K4"/>
    <mergeCell ref="L4:M4"/>
  </mergeCells>
  <hyperlinks>
    <hyperlink ref="B4" location="'LR_NewScore1'!$B$10:$B$10" display="New Data Detail Rpt."/>
    <hyperlink ref="D4" location="'LR_Output1'!$B$10:$B$10" display="Inputs"/>
    <hyperlink ref="F4" location="'LR_Output1'!$B$43:$B$43" display="Prior Class Prob."/>
    <hyperlink ref="H4" location="'LR_Output1'!$B$52:$B$52" display="Predictors"/>
    <hyperlink ref="J4" location="'LR_Output1'!$B$63:$B$63" display="Regress. Model"/>
    <hyperlink ref="L4" location="'LR_Output1'!$B$71:$B$71" display="Train. Score Summary"/>
    <hyperlink ref="B5" location="'LR_Output1'!$B$95:$B$95" display="Valid. Score Summary"/>
    <hyperlink ref="D5" location="'LR_TrainingLiftChart1'!$B$10:$B$10" display="Training Lift Chart"/>
    <hyperlink ref="F5" location="'LR_TrainingScore1'!$B$10:$B$10" display="Train. Score - Detailed Rep."/>
    <hyperlink ref="H5" location="'LR_ValidationLiftChart1'!$B$10:$B$10" display="Validation Lift Chart"/>
    <hyperlink ref="J5" location="'LR_ValidationScore1'!$B$10:$B$10" display="Valid. Score - Detailed Rep.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showGridLines="0" tabSelected="1" workbookViewId="0">
      <selection activeCell="I32" sqref="I32"/>
    </sheetView>
  </sheetViews>
  <sheetFormatPr defaultRowHeight="15" x14ac:dyDescent="0.25"/>
  <cols>
    <col min="1" max="1" width="24.42578125" bestFit="1" customWidth="1"/>
    <col min="2" max="2" width="12.7109375" bestFit="1" customWidth="1"/>
    <col min="3" max="4" width="9.28515625" bestFit="1" customWidth="1"/>
    <col min="5" max="5" width="15.42578125" bestFit="1" customWidth="1"/>
    <col min="6" max="6" width="15.140625" bestFit="1" customWidth="1"/>
    <col min="16" max="16" width="13.28515625" bestFit="1" customWidth="1"/>
  </cols>
  <sheetData>
    <row r="1" spans="1:19" ht="18.75" x14ac:dyDescent="0.3">
      <c r="B1" s="2" t="s">
        <v>370</v>
      </c>
      <c r="N1" t="s">
        <v>369</v>
      </c>
    </row>
    <row r="3" spans="1:19" ht="15.75" x14ac:dyDescent="0.25">
      <c r="B3" s="6" t="s">
        <v>190</v>
      </c>
      <c r="C3" s="7"/>
      <c r="D3" s="7"/>
      <c r="E3" s="7"/>
      <c r="F3" s="7"/>
      <c r="G3" s="7"/>
      <c r="H3" s="7"/>
      <c r="I3" s="7"/>
      <c r="J3" s="7"/>
      <c r="K3" s="7"/>
      <c r="L3" s="7"/>
      <c r="M3" s="8"/>
      <c r="P3" s="6" t="s">
        <v>191</v>
      </c>
      <c r="Q3" s="7"/>
      <c r="R3" s="7"/>
      <c r="S3" s="8"/>
    </row>
    <row r="4" spans="1:19" x14ac:dyDescent="0.25">
      <c r="B4" s="18" t="s">
        <v>375</v>
      </c>
      <c r="C4" s="14"/>
      <c r="D4" s="18" t="s">
        <v>249</v>
      </c>
      <c r="E4" s="14"/>
      <c r="F4" s="18" t="s">
        <v>250</v>
      </c>
      <c r="G4" s="14"/>
      <c r="H4" s="18" t="s">
        <v>251</v>
      </c>
      <c r="I4" s="14"/>
      <c r="J4" s="18" t="s">
        <v>252</v>
      </c>
      <c r="K4" s="14"/>
      <c r="L4" s="18" t="s">
        <v>254</v>
      </c>
      <c r="M4" s="14"/>
      <c r="P4" s="5" t="s">
        <v>232</v>
      </c>
      <c r="Q4" s="5" t="s">
        <v>233</v>
      </c>
      <c r="R4" s="5" t="s">
        <v>193</v>
      </c>
      <c r="S4" s="5" t="s">
        <v>194</v>
      </c>
    </row>
    <row r="5" spans="1:19" x14ac:dyDescent="0.25">
      <c r="B5" s="18" t="s">
        <v>255</v>
      </c>
      <c r="C5" s="14"/>
      <c r="D5" s="18" t="s">
        <v>256</v>
      </c>
      <c r="E5" s="14"/>
      <c r="F5" s="18" t="s">
        <v>356</v>
      </c>
      <c r="G5" s="14"/>
      <c r="H5" s="18" t="s">
        <v>257</v>
      </c>
      <c r="I5" s="14"/>
      <c r="J5" s="18" t="s">
        <v>357</v>
      </c>
      <c r="K5" s="14"/>
      <c r="L5" s="12"/>
      <c r="M5" s="14"/>
      <c r="P5" s="3">
        <v>1</v>
      </c>
      <c r="Q5" s="3">
        <v>1</v>
      </c>
      <c r="R5" s="3">
        <v>4</v>
      </c>
      <c r="S5" s="3">
        <v>6</v>
      </c>
    </row>
    <row r="10" spans="1:19" x14ac:dyDescent="0.25">
      <c r="B10" s="4" t="s">
        <v>260</v>
      </c>
      <c r="C10" s="12" t="s">
        <v>261</v>
      </c>
      <c r="D10" s="13"/>
      <c r="E10" s="13"/>
      <c r="F10" s="14"/>
    </row>
    <row r="11" spans="1:19" x14ac:dyDescent="0.25">
      <c r="B11" s="4" t="s">
        <v>262</v>
      </c>
      <c r="C11" s="12" t="s">
        <v>371</v>
      </c>
      <c r="D11" s="13"/>
      <c r="E11" s="13"/>
      <c r="F11" s="14"/>
    </row>
    <row r="12" spans="1:19" x14ac:dyDescent="0.25">
      <c r="B12" s="4" t="s">
        <v>359</v>
      </c>
      <c r="C12" s="12" t="s">
        <v>372</v>
      </c>
      <c r="D12" s="13"/>
      <c r="E12" s="13"/>
      <c r="F12" s="14"/>
    </row>
    <row r="14" spans="1:19" ht="15.75" thickBot="1" x14ac:dyDescent="0.3">
      <c r="A14" s="1" t="s">
        <v>1</v>
      </c>
      <c r="B14" s="5" t="s">
        <v>332</v>
      </c>
      <c r="C14" s="5" t="s">
        <v>373</v>
      </c>
      <c r="D14" s="47" t="s">
        <v>374</v>
      </c>
      <c r="E14" s="5" t="s">
        <v>2</v>
      </c>
      <c r="F14" s="5" t="s">
        <v>3</v>
      </c>
    </row>
    <row r="15" spans="1:19" ht="15.75" thickBot="1" x14ac:dyDescent="0.3">
      <c r="A15" t="s">
        <v>180</v>
      </c>
      <c r="B15" s="3">
        <v>0</v>
      </c>
      <c r="C15" s="45">
        <v>0.7317702226165681</v>
      </c>
      <c r="D15" s="49">
        <v>0.2682297773834319</v>
      </c>
      <c r="E15" s="46">
        <v>9</v>
      </c>
      <c r="F15" s="3">
        <v>2</v>
      </c>
    </row>
    <row r="16" spans="1:19" x14ac:dyDescent="0.25">
      <c r="A16" t="s">
        <v>181</v>
      </c>
      <c r="B16" s="3">
        <v>0</v>
      </c>
      <c r="C16" s="3">
        <v>0.99169963327346022</v>
      </c>
      <c r="D16" s="48">
        <v>8.3003667265397815E-3</v>
      </c>
      <c r="E16" s="3">
        <v>6</v>
      </c>
      <c r="F16" s="3">
        <v>0</v>
      </c>
    </row>
    <row r="17" spans="1:6" x14ac:dyDescent="0.25">
      <c r="A17" t="s">
        <v>182</v>
      </c>
      <c r="B17" s="3">
        <v>0</v>
      </c>
      <c r="C17" s="3">
        <v>0.84338211585898526</v>
      </c>
      <c r="D17" s="3">
        <v>0.15661788414101474</v>
      </c>
      <c r="E17" s="3">
        <v>6</v>
      </c>
      <c r="F17" s="3">
        <v>3</v>
      </c>
    </row>
    <row r="18" spans="1:6" x14ac:dyDescent="0.25">
      <c r="A18" t="s">
        <v>183</v>
      </c>
      <c r="B18" s="3">
        <v>0</v>
      </c>
      <c r="C18" s="3">
        <v>0.8846062436846055</v>
      </c>
      <c r="D18" s="3">
        <v>0.11539375631539449</v>
      </c>
      <c r="E18" s="3">
        <v>9</v>
      </c>
      <c r="F18" s="3">
        <v>1</v>
      </c>
    </row>
    <row r="19" spans="1:6" x14ac:dyDescent="0.25">
      <c r="A19" t="s">
        <v>184</v>
      </c>
      <c r="B19" s="3">
        <v>0</v>
      </c>
      <c r="C19" s="3">
        <v>0.9744444993030843</v>
      </c>
      <c r="D19" s="3">
        <v>2.5555500696915728E-2</v>
      </c>
      <c r="E19" s="3">
        <v>8</v>
      </c>
      <c r="F19" s="3">
        <v>0</v>
      </c>
    </row>
    <row r="20" spans="1:6" x14ac:dyDescent="0.25">
      <c r="A20" t="s">
        <v>185</v>
      </c>
      <c r="B20" s="3">
        <v>0</v>
      </c>
      <c r="C20" s="3">
        <v>0.997610221506113</v>
      </c>
      <c r="D20" s="3">
        <v>2.3897784938870111E-3</v>
      </c>
      <c r="E20" s="3">
        <v>2</v>
      </c>
      <c r="F20" s="3">
        <v>1</v>
      </c>
    </row>
    <row r="21" spans="1:6" x14ac:dyDescent="0.25">
      <c r="A21" t="s">
        <v>186</v>
      </c>
      <c r="B21" s="3">
        <v>0</v>
      </c>
      <c r="C21" s="3">
        <v>0.9640090706662312</v>
      </c>
      <c r="D21" s="3">
        <v>3.5990929333768816E-2</v>
      </c>
      <c r="E21" s="3">
        <v>5</v>
      </c>
      <c r="F21" s="3">
        <v>2</v>
      </c>
    </row>
    <row r="22" spans="1:6" x14ac:dyDescent="0.25">
      <c r="A22" t="s">
        <v>187</v>
      </c>
      <c r="B22" s="3">
        <v>0</v>
      </c>
      <c r="C22" s="3">
        <v>0.98688767455145709</v>
      </c>
      <c r="D22" s="3">
        <v>1.3112325448542921E-2</v>
      </c>
      <c r="E22" s="3">
        <v>5</v>
      </c>
      <c r="F22" s="3">
        <v>1</v>
      </c>
    </row>
  </sheetData>
  <mergeCells count="17">
    <mergeCell ref="B3:M3"/>
    <mergeCell ref="P3:S3"/>
    <mergeCell ref="H4:I4"/>
    <mergeCell ref="J4:K4"/>
    <mergeCell ref="L4:M4"/>
    <mergeCell ref="B5:C5"/>
    <mergeCell ref="D5:E5"/>
    <mergeCell ref="F5:G5"/>
    <mergeCell ref="H5:I5"/>
    <mergeCell ref="J5:K5"/>
    <mergeCell ref="L5:M5"/>
    <mergeCell ref="C10:F10"/>
    <mergeCell ref="C11:F11"/>
    <mergeCell ref="C12:F12"/>
    <mergeCell ref="B4:C4"/>
    <mergeCell ref="D4:E4"/>
    <mergeCell ref="F4:G4"/>
  </mergeCells>
  <hyperlinks>
    <hyperlink ref="B4" location="'LR_NewScore1'!$B$10:$B$10" display="New Data Detail Rpt."/>
    <hyperlink ref="D4" location="'LR_Output1'!$B$10:$B$10" display="Inputs"/>
    <hyperlink ref="F4" location="'LR_Output1'!$B$43:$B$43" display="Prior Class Prob."/>
    <hyperlink ref="H4" location="'LR_Output1'!$B$52:$B$52" display="Predictors"/>
    <hyperlink ref="J4" location="'LR_Output1'!$B$63:$B$63" display="Regress. Model"/>
    <hyperlink ref="L4" location="'LR_Output1'!$B$71:$B$71" display="Train. Score Summary"/>
    <hyperlink ref="B5" location="'LR_Output1'!$B$95:$B$95" display="Valid. Score Summary"/>
    <hyperlink ref="D5" location="'LR_TrainingLiftChart1'!$B$10:$B$10" display="Training Lift Chart"/>
    <hyperlink ref="F5" location="'LR_TrainingScore1'!$B$10:$B$10" display="Train. Score - Detailed Rep."/>
    <hyperlink ref="H5" location="'LR_ValidationLiftChart1'!$B$10:$B$10" display="Validation Lift Chart"/>
    <hyperlink ref="J5" location="'LR_ValidationScore1'!$B$10:$B$10" display="Valid. Score - Detailed Rep.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NewDataToPredict</vt:lpstr>
      <vt:lpstr>Data</vt:lpstr>
      <vt:lpstr>Data_Partition</vt:lpstr>
      <vt:lpstr>LR_Output1</vt:lpstr>
      <vt:lpstr>LR_TrainingScore1</vt:lpstr>
      <vt:lpstr>LR_ValidationScore1</vt:lpstr>
      <vt:lpstr>LR_TrainingLiftChart1</vt:lpstr>
      <vt:lpstr>LR_ValidationLiftChart1</vt:lpstr>
      <vt:lpstr>LR_NewScore1</vt:lpstr>
      <vt:lpstr>LR_Stored1</vt:lpstr>
      <vt:lpstr>LR_Output</vt:lpstr>
      <vt:lpstr>LR_TrainingLiftChart</vt:lpstr>
      <vt:lpstr>LR_ValidationLiftChart</vt:lpstr>
      <vt:lpstr>LR_Stored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Ohlmann</dc:creator>
  <cp:lastModifiedBy>Jeff Ohlmann</cp:lastModifiedBy>
  <dcterms:created xsi:type="dcterms:W3CDTF">2015-08-29T13:50:13Z</dcterms:created>
  <dcterms:modified xsi:type="dcterms:W3CDTF">2015-08-29T15:45:18Z</dcterms:modified>
</cp:coreProperties>
</file>