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280" windowHeight="6540"/>
  </bookViews>
  <sheets>
    <sheet name="Chapter 5" sheetId="25" r:id="rId1"/>
    <sheet name="#1" sheetId="3" r:id="rId2"/>
    <sheet name="#2" sheetId="4" r:id="rId3"/>
    <sheet name="#3" sheetId="5" r:id="rId4"/>
    <sheet name="#4" sheetId="6" r:id="rId5"/>
    <sheet name="#5" sheetId="8" r:id="rId6"/>
    <sheet name="#6" sheetId="27" r:id="rId7"/>
    <sheet name="#7" sheetId="10" r:id="rId8"/>
    <sheet name="#8" sheetId="11" r:id="rId9"/>
    <sheet name="#9" sheetId="21" r:id="rId10"/>
    <sheet name="#10" sheetId="13" r:id="rId11"/>
    <sheet name="#11" sheetId="14" r:id="rId12"/>
    <sheet name="#12" sheetId="17" r:id="rId13"/>
    <sheet name="#13" sheetId="15" r:id="rId14"/>
    <sheet name="#14" sheetId="18" r:id="rId15"/>
    <sheet name="#15" sheetId="29" r:id="rId16"/>
    <sheet name="#16" sheetId="30" r:id="rId17"/>
    <sheet name="#17" sheetId="31" r:id="rId18"/>
    <sheet name="#18" sheetId="32" r:id="rId19"/>
    <sheet name="#19" sheetId="33" r:id="rId20"/>
    <sheet name="#20" sheetId="40" r:id="rId21"/>
    <sheet name="#20 Answer Report" sheetId="44" r:id="rId22"/>
    <sheet name="#21" sheetId="22" r:id="rId23"/>
    <sheet name="#22" sheetId="23" r:id="rId24"/>
    <sheet name="#23" sheetId="24" r:id="rId25"/>
    <sheet name="#24" sheetId="35" r:id="rId26"/>
    <sheet name="#25" sheetId="42" r:id="rId27"/>
    <sheet name="#26" sheetId="36" r:id="rId28"/>
    <sheet name="#26 Answer Report" sheetId="43" r:id="rId29"/>
    <sheet name="#27" sheetId="41" r:id="rId30"/>
    <sheet name="#28" sheetId="28" r:id="rId31"/>
  </sheets>
  <definedNames>
    <definedName name="solver_adj" localSheetId="20" hidden="1">'#20'!$D$12</definedName>
    <definedName name="solver_adj" localSheetId="27" hidden="1">'#26'!$D$16</definedName>
    <definedName name="solver_cvg" localSheetId="20" hidden="1">0.0001</definedName>
    <definedName name="solver_cvg" localSheetId="27" hidden="1">0.0001</definedName>
    <definedName name="solver_drv" localSheetId="20" hidden="1">1</definedName>
    <definedName name="solver_drv" localSheetId="27" hidden="1">1</definedName>
    <definedName name="solver_est" localSheetId="20" hidden="1">1</definedName>
    <definedName name="solver_est" localSheetId="27" hidden="1">1</definedName>
    <definedName name="solver_itr" localSheetId="20" hidden="1">100</definedName>
    <definedName name="solver_itr" localSheetId="27" hidden="1">100</definedName>
    <definedName name="solver_lin" localSheetId="20" hidden="1">2</definedName>
    <definedName name="solver_lin" localSheetId="27" hidden="1">2</definedName>
    <definedName name="solver_neg" localSheetId="20" hidden="1">2</definedName>
    <definedName name="solver_neg" localSheetId="27" hidden="1">2</definedName>
    <definedName name="solver_num" localSheetId="20" hidden="1">0</definedName>
    <definedName name="solver_num" localSheetId="27" hidden="1">0</definedName>
    <definedName name="solver_nwt" localSheetId="20" hidden="1">1</definedName>
    <definedName name="solver_nwt" localSheetId="27" hidden="1">1</definedName>
    <definedName name="solver_opt" localSheetId="20" hidden="1">'#20'!$D$21</definedName>
    <definedName name="solver_opt" localSheetId="27" hidden="1">'#26'!$D$26</definedName>
    <definedName name="solver_pre" localSheetId="20" hidden="1">0.000001</definedName>
    <definedName name="solver_pre" localSheetId="27" hidden="1">0.000001</definedName>
    <definedName name="solver_scl" localSheetId="20" hidden="1">2</definedName>
    <definedName name="solver_scl" localSheetId="27" hidden="1">2</definedName>
    <definedName name="solver_sho" localSheetId="20" hidden="1">2</definedName>
    <definedName name="solver_sho" localSheetId="27" hidden="1">2</definedName>
    <definedName name="solver_tim" localSheetId="20" hidden="1">100</definedName>
    <definedName name="solver_tim" localSheetId="27" hidden="1">100</definedName>
    <definedName name="solver_tol" localSheetId="20" hidden="1">0.05</definedName>
    <definedName name="solver_tol" localSheetId="27" hidden="1">0.05</definedName>
    <definedName name="solver_typ" localSheetId="20" hidden="1">1</definedName>
    <definedName name="solver_typ" localSheetId="27" hidden="1">3</definedName>
    <definedName name="solver_val" localSheetId="20" hidden="1">0</definedName>
    <definedName name="solver_val" localSheetId="27" hidden="1">0</definedName>
  </definedNames>
  <calcPr calcId="114210"/>
</workbook>
</file>

<file path=xl/calcChain.xml><?xml version="1.0" encoding="utf-8"?>
<calcChain xmlns="http://schemas.openxmlformats.org/spreadsheetml/2006/main">
  <c r="D23" i="40"/>
  <c r="D21"/>
  <c r="D19"/>
  <c r="D18"/>
  <c r="E21" i="33"/>
  <c r="E22"/>
  <c r="F20" i="32"/>
  <c r="F19"/>
  <c r="C31" i="13"/>
  <c r="C29"/>
  <c r="D24" i="4"/>
  <c r="D21"/>
  <c r="D18"/>
  <c r="C23"/>
  <c r="C20"/>
  <c r="C17"/>
  <c r="D28" i="41"/>
  <c r="D31" i="36"/>
  <c r="D22" i="24"/>
  <c r="D27" i="42"/>
  <c r="D26"/>
  <c r="D25"/>
  <c r="D24"/>
  <c r="D22"/>
  <c r="D29"/>
  <c r="E23" i="33"/>
  <c r="D30" i="42"/>
  <c r="D16" i="28"/>
  <c r="D24" i="41"/>
  <c r="D23"/>
  <c r="D22"/>
  <c r="D21"/>
  <c r="D26"/>
  <c r="D24" i="36"/>
  <c r="D22"/>
  <c r="D26"/>
  <c r="E30" i="33"/>
  <c r="D19" i="35"/>
  <c r="D18"/>
  <c r="D16" i="24"/>
  <c r="D18"/>
  <c r="D22" i="23"/>
  <c r="D21"/>
  <c r="D20"/>
  <c r="D19"/>
  <c r="D17" i="22"/>
  <c r="E29" i="33"/>
  <c r="E25"/>
  <c r="E34"/>
  <c r="D38" i="32"/>
  <c r="D37"/>
  <c r="D36"/>
  <c r="D35"/>
  <c r="F30"/>
  <c r="F29"/>
  <c r="F25"/>
  <c r="F24"/>
  <c r="H21" i="31"/>
  <c r="F21"/>
  <c r="D21"/>
  <c r="H19"/>
  <c r="D26"/>
  <c r="F19"/>
  <c r="D25"/>
  <c r="D19"/>
  <c r="D24"/>
  <c r="H18"/>
  <c r="F18"/>
  <c r="D18"/>
  <c r="F30" i="30"/>
  <c r="D30"/>
  <c r="F25"/>
  <c r="D25"/>
  <c r="F20"/>
  <c r="D20"/>
  <c r="H25" i="29"/>
  <c r="F25"/>
  <c r="D25"/>
  <c r="H20"/>
  <c r="F20"/>
  <c r="D20"/>
  <c r="H19"/>
  <c r="F19"/>
  <c r="D19"/>
  <c r="D38" i="18"/>
  <c r="D37"/>
  <c r="D36"/>
  <c r="D35"/>
  <c r="F30"/>
  <c r="F29"/>
  <c r="F25"/>
  <c r="F24"/>
  <c r="F20"/>
  <c r="F19"/>
  <c r="D22" i="15"/>
  <c r="C27"/>
  <c r="D21"/>
  <c r="C25"/>
  <c r="D18"/>
  <c r="F25" i="17"/>
  <c r="F24"/>
  <c r="F20"/>
  <c r="F19"/>
  <c r="D32" i="14"/>
  <c r="D30"/>
  <c r="D26"/>
  <c r="D25"/>
  <c r="D24"/>
  <c r="D23"/>
  <c r="D20"/>
  <c r="D19"/>
  <c r="D31" i="13"/>
  <c r="D29"/>
  <c r="D20"/>
  <c r="C25"/>
  <c r="D21" i="11"/>
  <c r="D19"/>
  <c r="D16" i="10"/>
  <c r="E19" i="27"/>
  <c r="E17"/>
  <c r="D18" i="8"/>
  <c r="D20"/>
  <c r="D23" i="6"/>
  <c r="D22"/>
  <c r="D21"/>
  <c r="D20"/>
  <c r="D19"/>
  <c r="D18"/>
  <c r="D17"/>
  <c r="D25"/>
  <c r="D20" i="24"/>
  <c r="E35" i="33"/>
  <c r="E26"/>
  <c r="E36"/>
  <c r="E31"/>
  <c r="E27"/>
  <c r="F21" i="32"/>
  <c r="F26"/>
  <c r="F31"/>
  <c r="D40"/>
  <c r="C42"/>
  <c r="F22" i="30"/>
  <c r="F27"/>
  <c r="F32"/>
  <c r="D21" i="29"/>
  <c r="D26"/>
  <c r="F22"/>
  <c r="F27"/>
  <c r="F21" i="18"/>
  <c r="F26"/>
  <c r="F31"/>
  <c r="D40"/>
  <c r="C42"/>
  <c r="D19" i="15"/>
  <c r="F21" i="17"/>
  <c r="F26"/>
  <c r="D28" i="14"/>
  <c r="C27" i="13"/>
  <c r="C23" i="11"/>
  <c r="D25" i="5"/>
  <c r="D24"/>
  <c r="D23"/>
  <c r="D22"/>
  <c r="E29" i="3"/>
  <c r="E30"/>
  <c r="E26"/>
  <c r="E27"/>
  <c r="E23"/>
  <c r="E24"/>
  <c r="E20"/>
  <c r="E21"/>
  <c r="D20" i="35"/>
  <c r="D21"/>
  <c r="D31"/>
  <c r="D33"/>
  <c r="D22"/>
  <c r="D23"/>
  <c r="D24"/>
  <c r="D25"/>
  <c r="D26"/>
  <c r="D27"/>
  <c r="D28"/>
  <c r="D29"/>
  <c r="D27" i="5"/>
  <c r="C32" i="3"/>
</calcChain>
</file>

<file path=xl/sharedStrings.xml><?xml version="1.0" encoding="utf-8"?>
<sst xmlns="http://schemas.openxmlformats.org/spreadsheetml/2006/main" count="584" uniqueCount="262">
  <si>
    <t>Input area:</t>
  </si>
  <si>
    <t>Output area:</t>
  </si>
  <si>
    <t>Year</t>
  </si>
  <si>
    <t>Cash flow</t>
  </si>
  <si>
    <t>Question 1</t>
  </si>
  <si>
    <t>Question 2</t>
  </si>
  <si>
    <t>Cash Flow (A)</t>
  </si>
  <si>
    <t>Cash Flow (B)</t>
  </si>
  <si>
    <t>Annual cash inflow</t>
  </si>
  <si>
    <t># of years</t>
  </si>
  <si>
    <t>Initial cost</t>
  </si>
  <si>
    <t>.</t>
  </si>
  <si>
    <t>Question 4</t>
  </si>
  <si>
    <t>Question 3</t>
  </si>
  <si>
    <t>Annual cash inflows:</t>
  </si>
  <si>
    <t>Year 1</t>
  </si>
  <si>
    <t>Year 2</t>
  </si>
  <si>
    <t>Year 3</t>
  </si>
  <si>
    <t>Year 4</t>
  </si>
  <si>
    <t>Discount rate</t>
  </si>
  <si>
    <t>Discounted payments:</t>
  </si>
  <si>
    <t>Question 5</t>
  </si>
  <si>
    <t>Annual cash flow</t>
  </si>
  <si>
    <t>Question 6</t>
  </si>
  <si>
    <t>Year 0</t>
  </si>
  <si>
    <t>Question 7</t>
  </si>
  <si>
    <t>Required Return</t>
  </si>
  <si>
    <t>Annual cash flows:</t>
  </si>
  <si>
    <t>IRR</t>
  </si>
  <si>
    <t>Question 8</t>
  </si>
  <si>
    <t>Question 9</t>
  </si>
  <si>
    <t>Annual cash flows</t>
  </si>
  <si>
    <t>Costs</t>
  </si>
  <si>
    <t>Question 10</t>
  </si>
  <si>
    <t>Question 11</t>
  </si>
  <si>
    <t>Question 12</t>
  </si>
  <si>
    <t>Required return</t>
  </si>
  <si>
    <t>NPV (A)</t>
  </si>
  <si>
    <t>Question 13</t>
  </si>
  <si>
    <t>Question 14</t>
  </si>
  <si>
    <t>NPV</t>
  </si>
  <si>
    <t xml:space="preserve">When there are multiple IRRs, the IRR </t>
  </si>
  <si>
    <t xml:space="preserve">would accept the project, but if the </t>
  </si>
  <si>
    <t>the project.</t>
  </si>
  <si>
    <t>Question 15</t>
  </si>
  <si>
    <t>Question 16</t>
  </si>
  <si>
    <t>I</t>
  </si>
  <si>
    <t>II</t>
  </si>
  <si>
    <t>Profitability index (I)</t>
  </si>
  <si>
    <t>Profitability index (II)</t>
  </si>
  <si>
    <t>NPV (I)</t>
  </si>
  <si>
    <t>NPV (II)</t>
  </si>
  <si>
    <t xml:space="preserve">Using the profitability index to compare mutually exclusive </t>
  </si>
  <si>
    <t xml:space="preserve">projects can be ambiguous when the magnitude of the cash </t>
  </si>
  <si>
    <t>Question 17</t>
  </si>
  <si>
    <t>Question 18</t>
  </si>
  <si>
    <t>Question 19</t>
  </si>
  <si>
    <t>Question 20</t>
  </si>
  <si>
    <t>Pays</t>
  </si>
  <si>
    <t>R</t>
  </si>
  <si>
    <t>C</t>
  </si>
  <si>
    <t>N</t>
  </si>
  <si>
    <t>To have a payback equal to the project's life,</t>
  </si>
  <si>
    <t>given C is a constant cash flow for N years,</t>
  </si>
  <si>
    <t>Question 21</t>
  </si>
  <si>
    <t>Cost</t>
  </si>
  <si>
    <t>Payback</t>
  </si>
  <si>
    <t xml:space="preserve">Given the six year payback, the worst case is the </t>
  </si>
  <si>
    <t xml:space="preserve">payback occurs at the end of the sixth year.  Thus, </t>
  </si>
  <si>
    <t>Worst-case NPV</t>
  </si>
  <si>
    <t xml:space="preserve">The best case has infinite cash flows beyond the </t>
  </si>
  <si>
    <t>payback point.  Thus, the best-case NPV is infinite.</t>
  </si>
  <si>
    <t>Question 22</t>
  </si>
  <si>
    <t>Question 23</t>
  </si>
  <si>
    <t>Initial investment</t>
  </si>
  <si>
    <t>Net cash flow (year 1)</t>
  </si>
  <si>
    <t>Cash flow growth per year</t>
  </si>
  <si>
    <t>PV of cash flows</t>
  </si>
  <si>
    <t xml:space="preserve">NPV </t>
  </si>
  <si>
    <t>Input boxes in tan</t>
  </si>
  <si>
    <t>Output boxes in yellow</t>
  </si>
  <si>
    <t>Given data in blue</t>
  </si>
  <si>
    <t>Calculations in red</t>
  </si>
  <si>
    <t>Answers in green</t>
  </si>
  <si>
    <t>Payback period</t>
  </si>
  <si>
    <t xml:space="preserve">Project A Payback </t>
  </si>
  <si>
    <t>Project B Payback</t>
  </si>
  <si>
    <t>Required payback</t>
  </si>
  <si>
    <t>Project A</t>
  </si>
  <si>
    <t>Project B</t>
  </si>
  <si>
    <t xml:space="preserve">Payback period </t>
  </si>
  <si>
    <r>
      <t xml:space="preserve">Discounted
</t>
    </r>
    <r>
      <rPr>
        <u/>
        <sz val="12"/>
        <rFont val="Arial"/>
        <family val="2"/>
      </rPr>
      <t xml:space="preserve">Cash Flow </t>
    </r>
  </si>
  <si>
    <t>Accept/Reject</t>
  </si>
  <si>
    <t xml:space="preserve">flows for the two projects are of different scale. </t>
  </si>
  <si>
    <t xml:space="preserve">The profitability index implies accept </t>
  </si>
  <si>
    <t xml:space="preserve">NPV decision rule implies accept </t>
  </si>
  <si>
    <t>because it pays back sooner.</t>
  </si>
  <si>
    <t xml:space="preserve">Payback criterion implies accept </t>
  </si>
  <si>
    <t>a.</t>
  </si>
  <si>
    <t>b.</t>
  </si>
  <si>
    <t>c.</t>
  </si>
  <si>
    <t>because it has a higher NPV.</t>
  </si>
  <si>
    <t xml:space="preserve">NPV criterion implies accept </t>
  </si>
  <si>
    <t>d.</t>
  </si>
  <si>
    <t>because its IRR is greater.</t>
  </si>
  <si>
    <t xml:space="preserve">IRR decision rule implies accept </t>
  </si>
  <si>
    <t>Necessary growth rate</t>
  </si>
  <si>
    <r>
      <t>To have a positive NPV, I &lt; C(PVIFA</t>
    </r>
    <r>
      <rPr>
        <vertAlign val="subscript"/>
        <sz val="12"/>
        <rFont val="Arial"/>
        <family val="2"/>
      </rPr>
      <t>R%,N</t>
    </r>
    <r>
      <rPr>
        <sz val="12"/>
        <rFont val="Arial"/>
        <family val="2"/>
      </rPr>
      <t>).</t>
    </r>
  </si>
  <si>
    <r>
      <t>Thus, C &gt; I / (PVIFA</t>
    </r>
    <r>
      <rPr>
        <vertAlign val="subscript"/>
        <sz val="12"/>
        <rFont val="Arial"/>
        <family val="2"/>
      </rPr>
      <t>R%,N</t>
    </r>
    <r>
      <rPr>
        <sz val="12"/>
        <rFont val="Arial"/>
        <family val="2"/>
      </rPr>
      <t>)</t>
    </r>
  </si>
  <si>
    <r>
      <t>Benefits = C (PVIFA</t>
    </r>
    <r>
      <rPr>
        <vertAlign val="subscript"/>
        <sz val="12"/>
        <rFont val="Arial"/>
        <family val="2"/>
      </rPr>
      <t>R%,N</t>
    </r>
    <r>
      <rPr>
        <sz val="12"/>
        <rFont val="Arial"/>
        <family val="2"/>
      </rPr>
      <t>) = 2 costs = 2I</t>
    </r>
  </si>
  <si>
    <r>
      <t>C = 2I / (PVIFA</t>
    </r>
    <r>
      <rPr>
        <vertAlign val="subscript"/>
        <sz val="12"/>
        <rFont val="Arial"/>
        <family val="2"/>
      </rPr>
      <t>R%,N</t>
    </r>
    <r>
      <rPr>
        <sz val="12"/>
        <rFont val="Arial"/>
        <family val="2"/>
      </rPr>
      <t>)</t>
    </r>
  </si>
  <si>
    <t>C = I/N</t>
  </si>
  <si>
    <t>a)</t>
  </si>
  <si>
    <t>b)</t>
  </si>
  <si>
    <t>Project A NPV</t>
  </si>
  <si>
    <t>Project B NPV</t>
  </si>
  <si>
    <t>Project B IRR</t>
  </si>
  <si>
    <t>Project A IRR</t>
  </si>
  <si>
    <t>Profitability index</t>
  </si>
  <si>
    <t>Project Alpha</t>
  </si>
  <si>
    <t>Project Beta</t>
  </si>
  <si>
    <t>PI for Alpha</t>
  </si>
  <si>
    <t>PI for Beta</t>
  </si>
  <si>
    <t>It is possible that the cash flows do not</t>
  </si>
  <si>
    <t xml:space="preserve">have an IRR. That is the case here. </t>
  </si>
  <si>
    <t>There is no real root to the IRR equation.</t>
  </si>
  <si>
    <t>Question 24</t>
  </si>
  <si>
    <t>Question 25</t>
  </si>
  <si>
    <t>c)</t>
  </si>
  <si>
    <t>d)</t>
  </si>
  <si>
    <t xml:space="preserve">This is a financing project, so the IRR </t>
  </si>
  <si>
    <t>decision rule is reversed.</t>
  </si>
  <si>
    <t xml:space="preserve">e) </t>
  </si>
  <si>
    <t>The answers agree if you remember that</t>
  </si>
  <si>
    <t>the IRR decision rule is reversed for a</t>
  </si>
  <si>
    <t>financing project.</t>
  </si>
  <si>
    <t>Fishing</t>
  </si>
  <si>
    <t>Submarine</t>
  </si>
  <si>
    <t>Incremental CF</t>
  </si>
  <si>
    <t>Incremental IRR</t>
  </si>
  <si>
    <t>IRR (Fishing)</t>
  </si>
  <si>
    <t>IRR (Submarine)</t>
  </si>
  <si>
    <t>NPV (Fishing)</t>
  </si>
  <si>
    <t>NPV (Submarine)</t>
  </si>
  <si>
    <t>Board Game</t>
  </si>
  <si>
    <t>CD-ROM</t>
  </si>
  <si>
    <t>Payback (Board game)</t>
  </si>
  <si>
    <t>Payback (CD-ROM)</t>
  </si>
  <si>
    <t>NPV (Board game)</t>
  </si>
  <si>
    <t>IRR (Board game)</t>
  </si>
  <si>
    <t>NPV (CD-ROM)</t>
  </si>
  <si>
    <t>IRR (CD-ROM)</t>
  </si>
  <si>
    <t>Year 5</t>
  </si>
  <si>
    <t xml:space="preserve">Payback </t>
  </si>
  <si>
    <t>Payback criterion implies accept</t>
  </si>
  <si>
    <t>because it has a shorter payback.</t>
  </si>
  <si>
    <t>Highest NPV</t>
  </si>
  <si>
    <t>CDMA</t>
  </si>
  <si>
    <t>G4</t>
  </si>
  <si>
    <t>Wi-Fi</t>
  </si>
  <si>
    <t>Highest PI</t>
  </si>
  <si>
    <t>Profitability index implies accept</t>
  </si>
  <si>
    <t>because it has the highest value.</t>
  </si>
  <si>
    <t>AZM</t>
  </si>
  <si>
    <t>AZF</t>
  </si>
  <si>
    <t xml:space="preserve">IRR criterion implies accept </t>
  </si>
  <si>
    <t>Project C</t>
  </si>
  <si>
    <t>Accept/Reject if independent projects</t>
  </si>
  <si>
    <t>Dry Prepeg</t>
  </si>
  <si>
    <t>Solvent Prepeg</t>
  </si>
  <si>
    <t>Payback (Dry Prepeg)</t>
  </si>
  <si>
    <t>NPV (Dry Prepeg)</t>
  </si>
  <si>
    <t>IRR (Dry Prepeg)</t>
  </si>
  <si>
    <t>Payback (Solvent Prepeg)</t>
  </si>
  <si>
    <t>NPV (Solvent Prepeg)</t>
  </si>
  <si>
    <t>IRR (Solvent Prepeg)</t>
  </si>
  <si>
    <t>NP-30</t>
  </si>
  <si>
    <t>NX-20</t>
  </si>
  <si>
    <t>NPV (NP-30)</t>
  </si>
  <si>
    <t>IRR (NP-30)</t>
  </si>
  <si>
    <t>NPV (NX-20)</t>
  </si>
  <si>
    <t>IRR (NX-20)</t>
  </si>
  <si>
    <t>Profitability index (NP-30)</t>
  </si>
  <si>
    <t>Profitability index (NX-20)</t>
  </si>
  <si>
    <t xml:space="preserve">PI decision rule implies accept </t>
  </si>
  <si>
    <t>because its PI is greater.</t>
  </si>
  <si>
    <t>Question 26</t>
  </si>
  <si>
    <t>First year cash flow</t>
  </si>
  <si>
    <t>Cash flow growth rate</t>
  </si>
  <si>
    <t>Cost to abandon</t>
  </si>
  <si>
    <t>Cash flow A:</t>
  </si>
  <si>
    <t>First cash flow</t>
  </si>
  <si>
    <t>Growth rate in cash flow</t>
  </si>
  <si>
    <t>Cash flow B:</t>
  </si>
  <si>
    <t>Years until first cash flow</t>
  </si>
  <si>
    <t>PV of cash flow A</t>
  </si>
  <si>
    <t>PV of cash flow B</t>
  </si>
  <si>
    <t>Question 27</t>
  </si>
  <si>
    <t>Setting the NPV of the present value of the</t>
  </si>
  <si>
    <t xml:space="preserve">two cash flow streams, and solving for the </t>
  </si>
  <si>
    <t>IRR, we find the IRR of the combined cash</t>
  </si>
  <si>
    <t>flow streams is:</t>
  </si>
  <si>
    <t>Target Cell (Value Of)</t>
  </si>
  <si>
    <t>Cell</t>
  </si>
  <si>
    <t>Name</t>
  </si>
  <si>
    <t>Original Value</t>
  </si>
  <si>
    <t>Final Value</t>
  </si>
  <si>
    <t>Adjustable Cells</t>
  </si>
  <si>
    <t>Constraints</t>
  </si>
  <si>
    <t>NONE</t>
  </si>
  <si>
    <t>$D$26</t>
  </si>
  <si>
    <t>$D$16</t>
  </si>
  <si>
    <t xml:space="preserve">The correct decision rule for an investing-type </t>
  </si>
  <si>
    <t xml:space="preserve">project is to accept the project if the discount </t>
  </si>
  <si>
    <t xml:space="preserve">rate is below the IRR.  Since there is one IRR, </t>
  </si>
  <si>
    <t xml:space="preserve">a decision can be made.  At a point in the </t>
  </si>
  <si>
    <t xml:space="preserve">future, the cash flows from stream A will be </t>
  </si>
  <si>
    <t xml:space="preserve">greater than those from stream B.  Therefore, </t>
  </si>
  <si>
    <t xml:space="preserve">although there are many cash flows, there will </t>
  </si>
  <si>
    <t xml:space="preserve">be only one change in sign.  When the sign of </t>
  </si>
  <si>
    <t xml:space="preserve">the cash flows change more than once over </t>
  </si>
  <si>
    <t xml:space="preserve">the life of the project, there may be multiple </t>
  </si>
  <si>
    <t xml:space="preserve">internal rates of return.  In such cases, there  </t>
  </si>
  <si>
    <t xml:space="preserve">is no correct decision rule for accepting and </t>
  </si>
  <si>
    <t xml:space="preserve">rejecting projects using the internal rate of </t>
  </si>
  <si>
    <t xml:space="preserve">return. </t>
  </si>
  <si>
    <t>Question 28</t>
  </si>
  <si>
    <t>Project Million</t>
  </si>
  <si>
    <t>Project Billion</t>
  </si>
  <si>
    <r>
      <t>-I</t>
    </r>
    <r>
      <rPr>
        <vertAlign val="subscript"/>
        <sz val="12"/>
        <color indexed="12"/>
        <rFont val="Arial"/>
        <family val="2"/>
      </rPr>
      <t>0</t>
    </r>
  </si>
  <si>
    <t>Incremental cash flows: Project Billion - Project Million</t>
  </si>
  <si>
    <t>PV of future cash flows</t>
  </si>
  <si>
    <r>
      <t>- I</t>
    </r>
    <r>
      <rPr>
        <vertAlign val="subscript"/>
        <sz val="12"/>
        <color indexed="12"/>
        <rFont val="Arial"/>
        <family val="2"/>
      </rPr>
      <t>0</t>
    </r>
  </si>
  <si>
    <t>since it has a larger profitability</t>
  </si>
  <si>
    <t>index. However, remember the profitability index can</t>
  </si>
  <si>
    <t>lead to incorrect decisions when evaluating mutually</t>
  </si>
  <si>
    <t>exclusive projects.</t>
  </si>
  <si>
    <r>
      <t>So, I</t>
    </r>
    <r>
      <rPr>
        <vertAlign val="subscript"/>
        <sz val="12"/>
        <rFont val="Arial"/>
        <family val="2"/>
      </rPr>
      <t>0</t>
    </r>
    <r>
      <rPr>
        <sz val="12"/>
        <rFont val="Arial"/>
        <family val="2"/>
      </rPr>
      <t xml:space="preserve"> must be less than </t>
    </r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</si>
  <si>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</si>
  <si>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</si>
  <si>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</si>
  <si>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</si>
  <si>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Chapter 5</t>
  </si>
  <si>
    <t>decision rule is ambiguous; in this case,</t>
  </si>
  <si>
    <t>Reinvestment rate</t>
  </si>
  <si>
    <t>CF</t>
  </si>
  <si>
    <t>The IRRs are:</t>
  </si>
  <si>
    <t>Microsoft Excel 12.0 Answer Report</t>
  </si>
  <si>
    <t>Report Created: 12/31/2008 4:14:30 PM</t>
  </si>
  <si>
    <t>Problems 1-28</t>
  </si>
  <si>
    <t>Worksheet: [Jaffe 9th edition Chapter 05.xlsx]#26</t>
  </si>
  <si>
    <t xml:space="preserve">  Payback period </t>
  </si>
  <si>
    <t>Payback (NP-30)</t>
  </si>
  <si>
    <t>Payback (NX-20)</t>
  </si>
  <si>
    <t xml:space="preserve">Payback decision rule implies accept </t>
  </si>
  <si>
    <t>Interest rate</t>
  </si>
  <si>
    <t>Worksheet: [Jaffe 10th edition Chapter 05.xlsx]#20</t>
  </si>
  <si>
    <t>Report Created: 5/25/2011 2:36:25 PM</t>
  </si>
  <si>
    <t>Target Cell (Max)</t>
  </si>
  <si>
    <t>$D$21</t>
  </si>
  <si>
    <t>$D$12</t>
  </si>
  <si>
    <r>
      <t>f</t>
    </r>
    <r>
      <rPr>
        <sz val="12"/>
        <rFont val="Symbol"/>
        <family val="1"/>
        <charset val="2"/>
      </rPr>
      <t>²</t>
    </r>
    <r>
      <rPr>
        <sz val="12"/>
        <rFont val="Arial"/>
        <family val="2"/>
      </rPr>
      <t>(IRR)</t>
    </r>
  </si>
</sst>
</file>

<file path=xl/styles.xml><?xml version="1.0" encoding="utf-8"?>
<styleSheet xmlns="http://schemas.openxmlformats.org/spreadsheetml/2006/main">
  <numFmts count="17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  <numFmt numFmtId="167" formatCode="0.00_);\(0.00\)"/>
    <numFmt numFmtId="168" formatCode="&quot;$&quot;#,##0"/>
    <numFmt numFmtId="169" formatCode="#,##0.000_);\(#,##0.000\)"/>
    <numFmt numFmtId="170" formatCode="_(* #,##0.000_);_(* \(#,##0.000\);_(* &quot;-&quot;???_);_(@_)"/>
    <numFmt numFmtId="171" formatCode="_(&quot;$&quot;* #,##0.00_);_(&quot;$&quot;* \(#,##0.00\);_(&quot;$&quot;* &quot;-&quot;_);_(@_)"/>
    <numFmt numFmtId="172" formatCode="_(* #,##0.000_);_(* \(#,##0.000\);_(* &quot;-&quot;????_);_(@_)"/>
    <numFmt numFmtId="173" formatCode="_(&quot;$&quot;* #,##0.0_);_(&quot;$&quot;* \(#,##0.0\);_(&quot;$&quot;* &quot;-&quot;?_);_(@_)"/>
  </numFmts>
  <fonts count="33">
    <font>
      <sz val="10"/>
      <name val="Arial"/>
    </font>
    <font>
      <sz val="1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48"/>
      <name val="Arial"/>
      <family val="2"/>
    </font>
    <font>
      <b/>
      <sz val="12"/>
      <color indexed="57"/>
      <name val="Arial"/>
      <family val="2"/>
    </font>
    <font>
      <sz val="12"/>
      <color indexed="57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b/>
      <sz val="12"/>
      <color indexed="57"/>
      <name val="Arial"/>
      <family val="2"/>
    </font>
    <font>
      <vertAlign val="subscript"/>
      <sz val="12"/>
      <name val="Arial"/>
      <family val="2"/>
    </font>
    <font>
      <b/>
      <sz val="14"/>
      <name val="Arial"/>
      <family val="2"/>
    </font>
    <font>
      <b/>
      <sz val="10"/>
      <color indexed="57"/>
      <name val="Arial"/>
      <family val="2"/>
    </font>
    <font>
      <b/>
      <sz val="10"/>
      <name val="Arial"/>
      <family val="2"/>
    </font>
    <font>
      <vertAlign val="subscript"/>
      <sz val="12"/>
      <color indexed="12"/>
      <name val="Arial"/>
      <family val="2"/>
    </font>
    <font>
      <b/>
      <sz val="10"/>
      <color indexed="9"/>
      <name val="Arial"/>
      <family val="2"/>
    </font>
    <font>
      <u/>
      <sz val="12"/>
      <color indexed="8"/>
      <name val="Arial"/>
      <family val="2"/>
    </font>
    <font>
      <b/>
      <sz val="10"/>
      <color indexed="18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b/>
      <sz val="10"/>
      <color indexed="18"/>
      <name val="Arial"/>
      <family val="2"/>
    </font>
    <font>
      <sz val="12"/>
      <name val="Symbol"/>
      <family val="1"/>
      <charset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0" xfId="0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3" borderId="1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0" xfId="0" applyFont="1" applyFill="1" applyBorder="1"/>
    <xf numFmtId="0" fontId="2" fillId="3" borderId="6" xfId="0" applyFont="1" applyFill="1" applyBorder="1"/>
    <xf numFmtId="0" fontId="2" fillId="3" borderId="8" xfId="0" applyFont="1" applyFill="1" applyBorder="1"/>
    <xf numFmtId="0" fontId="2" fillId="3" borderId="7" xfId="0" applyFont="1" applyFill="1" applyBorder="1"/>
    <xf numFmtId="0" fontId="2" fillId="2" borderId="0" xfId="0" applyFont="1" applyFill="1" applyBorder="1" applyAlignment="1">
      <alignment horizontal="right"/>
    </xf>
    <xf numFmtId="0" fontId="6" fillId="0" borderId="0" xfId="0" applyFont="1"/>
    <xf numFmtId="0" fontId="4" fillId="2" borderId="8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4" fillId="3" borderId="2" xfId="0" applyFont="1" applyFill="1" applyBorder="1"/>
    <xf numFmtId="2" fontId="5" fillId="3" borderId="9" xfId="0" applyNumberFormat="1" applyFont="1" applyFill="1" applyBorder="1"/>
    <xf numFmtId="164" fontId="2" fillId="2" borderId="0" xfId="2" applyNumberFormat="1" applyFont="1" applyFill="1" applyBorder="1" applyAlignment="1">
      <alignment horizontal="right"/>
    </xf>
    <xf numFmtId="2" fontId="5" fillId="3" borderId="0" xfId="0" applyNumberFormat="1" applyFont="1" applyFill="1" applyBorder="1"/>
    <xf numFmtId="164" fontId="2" fillId="2" borderId="0" xfId="2" applyNumberFormat="1" applyFont="1" applyFill="1" applyBorder="1" applyAlignment="1">
      <alignment horizontal="left"/>
    </xf>
    <xf numFmtId="164" fontId="4" fillId="2" borderId="0" xfId="2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44" fontId="3" fillId="3" borderId="0" xfId="2" applyFont="1" applyFill="1" applyBorder="1" applyAlignment="1">
      <alignment horizontal="left"/>
    </xf>
    <xf numFmtId="43" fontId="5" fillId="3" borderId="9" xfId="1" applyFont="1" applyFill="1" applyBorder="1"/>
    <xf numFmtId="0" fontId="3" fillId="2" borderId="0" xfId="0" applyFont="1" applyFill="1" applyBorder="1"/>
    <xf numFmtId="0" fontId="2" fillId="2" borderId="8" xfId="0" applyFont="1" applyFill="1" applyBorder="1"/>
    <xf numFmtId="5" fontId="2" fillId="3" borderId="0" xfId="0" applyNumberFormat="1" applyFont="1" applyFill="1" applyBorder="1"/>
    <xf numFmtId="10" fontId="5" fillId="3" borderId="9" xfId="4" applyNumberFormat="1" applyFont="1" applyFill="1" applyBorder="1"/>
    <xf numFmtId="10" fontId="5" fillId="3" borderId="0" xfId="4" applyNumberFormat="1" applyFont="1" applyFill="1" applyBorder="1"/>
    <xf numFmtId="7" fontId="2" fillId="3" borderId="0" xfId="0" applyNumberFormat="1" applyFont="1" applyFill="1" applyBorder="1"/>
    <xf numFmtId="5" fontId="4" fillId="2" borderId="0" xfId="2" applyNumberFormat="1" applyFont="1" applyFill="1" applyBorder="1"/>
    <xf numFmtId="9" fontId="7" fillId="2" borderId="0" xfId="2" applyNumberFormat="1" applyFont="1" applyFill="1" applyBorder="1" applyAlignment="1">
      <alignment horizontal="center"/>
    </xf>
    <xf numFmtId="9" fontId="4" fillId="2" borderId="8" xfId="1" applyNumberFormat="1" applyFont="1" applyFill="1" applyBorder="1"/>
    <xf numFmtId="0" fontId="2" fillId="2" borderId="0" xfId="0" applyFont="1" applyFill="1" applyBorder="1" applyAlignment="1">
      <alignment horizontal="center"/>
    </xf>
    <xf numFmtId="0" fontId="2" fillId="3" borderId="2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5" xfId="0" applyFill="1" applyBorder="1"/>
    <xf numFmtId="9" fontId="2" fillId="3" borderId="0" xfId="0" applyNumberFormat="1" applyFont="1" applyFill="1" applyBorder="1" applyAlignment="1">
      <alignment horizontal="center"/>
    </xf>
    <xf numFmtId="7" fontId="2" fillId="3" borderId="0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7" fontId="6" fillId="3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5" fontId="4" fillId="0" borderId="0" xfId="0" applyNumberFormat="1" applyFont="1" applyFill="1" applyBorder="1" applyAlignment="1">
      <alignment horizontal="center"/>
    </xf>
    <xf numFmtId="9" fontId="4" fillId="0" borderId="0" xfId="0" applyNumberFormat="1" applyFont="1" applyFill="1" applyBorder="1"/>
    <xf numFmtId="0" fontId="0" fillId="0" borderId="0" xfId="0" applyFill="1" applyBorder="1"/>
    <xf numFmtId="7" fontId="6" fillId="0" borderId="0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9" fontId="2" fillId="3" borderId="0" xfId="0" applyNumberFormat="1" applyFont="1" applyFill="1" applyBorder="1" applyAlignment="1">
      <alignment horizontal="left"/>
    </xf>
    <xf numFmtId="7" fontId="6" fillId="3" borderId="0" xfId="0" applyNumberFormat="1" applyFont="1" applyFill="1" applyBorder="1" applyAlignment="1">
      <alignment horizontal="left"/>
    </xf>
    <xf numFmtId="169" fontId="2" fillId="3" borderId="0" xfId="0" applyNumberFormat="1" applyFont="1" applyFill="1" applyBorder="1"/>
    <xf numFmtId="167" fontId="2" fillId="0" borderId="0" xfId="0" applyNumberFormat="1" applyFont="1" applyFill="1" applyBorder="1"/>
    <xf numFmtId="39" fontId="2" fillId="0" borderId="0" xfId="0" applyNumberFormat="1" applyFont="1" applyFill="1" applyBorder="1"/>
    <xf numFmtId="0" fontId="0" fillId="3" borderId="8" xfId="0" applyFill="1" applyBorder="1"/>
    <xf numFmtId="0" fontId="0" fillId="3" borderId="7" xfId="0" applyFill="1" applyBorder="1"/>
    <xf numFmtId="5" fontId="2" fillId="0" borderId="0" xfId="0" applyNumberFormat="1" applyFont="1" applyFill="1" applyBorder="1"/>
    <xf numFmtId="10" fontId="5" fillId="3" borderId="9" xfId="0" applyNumberFormat="1" applyFont="1" applyFill="1" applyBorder="1"/>
    <xf numFmtId="7" fontId="5" fillId="3" borderId="9" xfId="0" applyNumberFormat="1" applyFont="1" applyFill="1" applyBorder="1"/>
    <xf numFmtId="7" fontId="5" fillId="3" borderId="0" xfId="0" applyNumberFormat="1" applyFont="1" applyFill="1" applyBorder="1"/>
    <xf numFmtId="169" fontId="5" fillId="3" borderId="9" xfId="0" applyNumberFormat="1" applyFont="1" applyFill="1" applyBorder="1"/>
    <xf numFmtId="167" fontId="5" fillId="3" borderId="9" xfId="0" applyNumberFormat="1" applyFont="1" applyFill="1" applyBorder="1"/>
    <xf numFmtId="0" fontId="5" fillId="3" borderId="9" xfId="0" applyFont="1" applyFill="1" applyBorder="1" applyAlignment="1">
      <alignment horizontal="right"/>
    </xf>
    <xf numFmtId="7" fontId="5" fillId="3" borderId="9" xfId="0" applyNumberFormat="1" applyFont="1" applyFill="1" applyBorder="1" applyAlignment="1">
      <alignment horizontal="right"/>
    </xf>
    <xf numFmtId="10" fontId="5" fillId="3" borderId="9" xfId="0" applyNumberFormat="1" applyFont="1" applyFill="1" applyBorder="1" applyAlignment="1">
      <alignment horizontal="right"/>
    </xf>
    <xf numFmtId="166" fontId="5" fillId="3" borderId="9" xfId="0" applyNumberFormat="1" applyFont="1" applyFill="1" applyBorder="1"/>
    <xf numFmtId="0" fontId="8" fillId="4" borderId="0" xfId="0" applyFont="1" applyFill="1" applyBorder="1"/>
    <xf numFmtId="0" fontId="8" fillId="4" borderId="0" xfId="0" applyFont="1" applyFill="1"/>
    <xf numFmtId="0" fontId="0" fillId="4" borderId="0" xfId="0" applyFill="1"/>
    <xf numFmtId="2" fontId="9" fillId="4" borderId="0" xfId="0" applyNumberFormat="1" applyFont="1" applyFill="1" applyBorder="1" applyAlignment="1"/>
    <xf numFmtId="0" fontId="10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7" fillId="4" borderId="0" xfId="0" applyFont="1" applyFill="1" applyBorder="1"/>
    <xf numFmtId="0" fontId="12" fillId="4" borderId="0" xfId="0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5" fillId="4" borderId="0" xfId="0" applyFont="1" applyFill="1" applyBorder="1"/>
    <xf numFmtId="0" fontId="0" fillId="4" borderId="0" xfId="0" applyFill="1" applyBorder="1"/>
    <xf numFmtId="42" fontId="16" fillId="2" borderId="0" xfId="2" applyNumberFormat="1" applyFont="1" applyFill="1" applyBorder="1"/>
    <xf numFmtId="41" fontId="16" fillId="2" borderId="0" xfId="1" applyNumberFormat="1" applyFont="1" applyFill="1" applyBorder="1"/>
    <xf numFmtId="42" fontId="17" fillId="3" borderId="0" xfId="0" applyNumberFormat="1" applyFont="1" applyFill="1" applyBorder="1"/>
    <xf numFmtId="37" fontId="16" fillId="2" borderId="0" xfId="1" applyNumberFormat="1" applyFont="1" applyFill="1" applyBorder="1"/>
    <xf numFmtId="44" fontId="17" fillId="3" borderId="0" xfId="2" applyNumberFormat="1" applyFont="1" applyFill="1" applyBorder="1"/>
    <xf numFmtId="44" fontId="17" fillId="3" borderId="0" xfId="1" applyNumberFormat="1" applyFont="1" applyFill="1" applyBorder="1"/>
    <xf numFmtId="165" fontId="16" fillId="2" borderId="0" xfId="1" applyNumberFormat="1" applyFont="1" applyFill="1" applyBorder="1"/>
    <xf numFmtId="9" fontId="16" fillId="2" borderId="0" xfId="4" applyFont="1" applyFill="1" applyBorder="1"/>
    <xf numFmtId="42" fontId="16" fillId="2" borderId="0" xfId="1" applyNumberFormat="1" applyFont="1" applyFill="1" applyBorder="1"/>
    <xf numFmtId="0" fontId="0" fillId="3" borderId="0" xfId="0" applyFill="1"/>
    <xf numFmtId="44" fontId="17" fillId="3" borderId="0" xfId="0" applyNumberFormat="1" applyFont="1" applyFill="1" applyBorder="1"/>
    <xf numFmtId="0" fontId="2" fillId="2" borderId="0" xfId="0" applyFont="1" applyFill="1" applyBorder="1" applyAlignment="1">
      <alignment horizontal="left"/>
    </xf>
    <xf numFmtId="166" fontId="5" fillId="3" borderId="9" xfId="0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 wrapText="1"/>
    </xf>
    <xf numFmtId="0" fontId="18" fillId="3" borderId="0" xfId="0" applyFont="1" applyFill="1" applyBorder="1" applyAlignment="1">
      <alignment horizontal="right"/>
    </xf>
    <xf numFmtId="43" fontId="17" fillId="3" borderId="0" xfId="0" applyNumberFormat="1" applyFont="1" applyFill="1" applyBorder="1"/>
    <xf numFmtId="9" fontId="16" fillId="2" borderId="0" xfId="2" applyNumberFormat="1" applyFont="1" applyFill="1" applyBorder="1"/>
    <xf numFmtId="10" fontId="5" fillId="3" borderId="9" xfId="4" applyNumberFormat="1" applyFont="1" applyFill="1" applyBorder="1" applyAlignment="1">
      <alignment horizontal="right"/>
    </xf>
    <xf numFmtId="44" fontId="5" fillId="3" borderId="9" xfId="0" applyNumberFormat="1" applyFont="1" applyFill="1" applyBorder="1"/>
    <xf numFmtId="9" fontId="16" fillId="2" borderId="0" xfId="1" applyNumberFormat="1" applyFont="1" applyFill="1" applyBorder="1"/>
    <xf numFmtId="42" fontId="16" fillId="2" borderId="0" xfId="2" applyNumberFormat="1" applyFont="1" applyFill="1" applyBorder="1" applyAlignment="1">
      <alignment horizontal="right"/>
    </xf>
    <xf numFmtId="42" fontId="16" fillId="2" borderId="0" xfId="0" applyNumberFormat="1" applyFont="1" applyFill="1" applyBorder="1"/>
    <xf numFmtId="42" fontId="16" fillId="2" borderId="0" xfId="0" applyNumberFormat="1" applyFont="1" applyFill="1" applyBorder="1" applyAlignment="1">
      <alignment horizontal="right"/>
    </xf>
    <xf numFmtId="42" fontId="16" fillId="2" borderId="0" xfId="1" applyNumberFormat="1" applyFont="1" applyFill="1" applyBorder="1" applyAlignment="1">
      <alignment horizontal="right"/>
    </xf>
    <xf numFmtId="0" fontId="16" fillId="2" borderId="0" xfId="0" applyFont="1" applyFill="1" applyBorder="1"/>
    <xf numFmtId="9" fontId="16" fillId="2" borderId="0" xfId="0" applyNumberFormat="1" applyFont="1" applyFill="1" applyBorder="1"/>
    <xf numFmtId="0" fontId="19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42" fontId="16" fillId="2" borderId="0" xfId="2" applyNumberFormat="1" applyFont="1" applyFill="1" applyBorder="1" applyAlignment="1">
      <alignment horizontal="center"/>
    </xf>
    <xf numFmtId="42" fontId="16" fillId="2" borderId="0" xfId="1" applyNumberFormat="1" applyFont="1" applyFill="1" applyBorder="1" applyAlignment="1">
      <alignment horizontal="center"/>
    </xf>
    <xf numFmtId="44" fontId="17" fillId="3" borderId="0" xfId="0" applyNumberFormat="1" applyFont="1" applyFill="1" applyBorder="1" applyAlignment="1">
      <alignment horizontal="center"/>
    </xf>
    <xf numFmtId="10" fontId="5" fillId="3" borderId="0" xfId="0" applyNumberFormat="1" applyFont="1" applyFill="1" applyBorder="1"/>
    <xf numFmtId="9" fontId="0" fillId="0" borderId="0" xfId="0" applyNumberFormat="1"/>
    <xf numFmtId="0" fontId="16" fillId="2" borderId="0" xfId="0" applyFont="1" applyFill="1" applyBorder="1" applyAlignment="1">
      <alignment horizontal="right"/>
    </xf>
    <xf numFmtId="37" fontId="16" fillId="2" borderId="0" xfId="1" applyNumberFormat="1" applyFont="1" applyFill="1" applyBorder="1" applyAlignment="1">
      <alignment horizontal="right"/>
    </xf>
    <xf numFmtId="9" fontId="16" fillId="2" borderId="0" xfId="1" applyNumberFormat="1" applyFont="1" applyFill="1" applyBorder="1" applyAlignment="1">
      <alignment horizontal="right"/>
    </xf>
    <xf numFmtId="9" fontId="16" fillId="2" borderId="0" xfId="0" applyNumberFormat="1" applyFont="1" applyFill="1" applyBorder="1" applyAlignment="1">
      <alignment horizontal="right"/>
    </xf>
    <xf numFmtId="42" fontId="16" fillId="2" borderId="0" xfId="2" applyNumberFormat="1" applyFont="1" applyFill="1" applyBorder="1" applyAlignment="1"/>
    <xf numFmtId="42" fontId="16" fillId="2" borderId="0" xfId="0" applyNumberFormat="1" applyFont="1" applyFill="1" applyBorder="1" applyAlignment="1"/>
    <xf numFmtId="42" fontId="16" fillId="2" borderId="0" xfId="1" applyNumberFormat="1" applyFont="1" applyFill="1" applyBorder="1" applyAlignment="1"/>
    <xf numFmtId="0" fontId="3" fillId="3" borderId="4" xfId="0" applyFont="1" applyFill="1" applyBorder="1"/>
    <xf numFmtId="44" fontId="5" fillId="3" borderId="9" xfId="0" applyNumberFormat="1" applyFont="1" applyFill="1" applyBorder="1" applyAlignment="1">
      <alignment horizontal="right"/>
    </xf>
    <xf numFmtId="0" fontId="16" fillId="2" borderId="0" xfId="0" applyFont="1" applyFill="1" applyBorder="1" applyAlignment="1">
      <alignment horizontal="center"/>
    </xf>
    <xf numFmtId="168" fontId="16" fillId="2" borderId="0" xfId="2" applyNumberFormat="1" applyFont="1" applyFill="1" applyBorder="1" applyAlignment="1">
      <alignment horizontal="center"/>
    </xf>
    <xf numFmtId="37" fontId="16" fillId="2" borderId="0" xfId="2" applyNumberFormat="1" applyFont="1" applyFill="1" applyBorder="1" applyAlignment="1">
      <alignment horizontal="center"/>
    </xf>
    <xf numFmtId="7" fontId="17" fillId="3" borderId="0" xfId="0" applyNumberFormat="1" applyFont="1" applyFill="1" applyBorder="1"/>
    <xf numFmtId="7" fontId="17" fillId="3" borderId="10" xfId="0" applyNumberFormat="1" applyFont="1" applyFill="1" applyBorder="1"/>
    <xf numFmtId="0" fontId="21" fillId="0" borderId="0" xfId="0" applyFont="1"/>
    <xf numFmtId="166" fontId="5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42" fontId="16" fillId="2" borderId="0" xfId="4" applyNumberFormat="1" applyFont="1" applyFill="1" applyBorder="1"/>
    <xf numFmtId="0" fontId="3" fillId="3" borderId="0" xfId="0" applyFont="1" applyFill="1" applyBorder="1"/>
    <xf numFmtId="0" fontId="3" fillId="2" borderId="0" xfId="0" applyFont="1" applyFill="1" applyBorder="1" applyAlignment="1">
      <alignment horizontal="right"/>
    </xf>
    <xf numFmtId="165" fontId="3" fillId="2" borderId="0" xfId="1" applyNumberFormat="1" applyFont="1" applyFill="1" applyBorder="1" applyAlignment="1">
      <alignment horizontal="right"/>
    </xf>
    <xf numFmtId="0" fontId="4" fillId="3" borderId="0" xfId="0" applyFont="1" applyFill="1" applyBorder="1"/>
    <xf numFmtId="9" fontId="3" fillId="2" borderId="0" xfId="2" applyNumberFormat="1" applyFont="1" applyFill="1" applyBorder="1" applyAlignment="1">
      <alignment horizontal="right"/>
    </xf>
    <xf numFmtId="170" fontId="5" fillId="3" borderId="9" xfId="0" applyNumberFormat="1" applyFont="1" applyFill="1" applyBorder="1"/>
    <xf numFmtId="170" fontId="5" fillId="3" borderId="0" xfId="0" applyNumberFormat="1" applyFont="1" applyFill="1" applyBorder="1"/>
    <xf numFmtId="44" fontId="5" fillId="3" borderId="0" xfId="0" applyNumberFormat="1" applyFont="1" applyFill="1" applyBorder="1"/>
    <xf numFmtId="0" fontId="22" fillId="3" borderId="0" xfId="0" applyFont="1" applyFill="1" applyBorder="1"/>
    <xf numFmtId="44" fontId="5" fillId="3" borderId="0" xfId="0" applyNumberFormat="1" applyFont="1" applyFill="1" applyBorder="1" applyAlignment="1">
      <alignment horizontal="right"/>
    </xf>
    <xf numFmtId="166" fontId="2" fillId="3" borderId="0" xfId="0" applyNumberFormat="1" applyFont="1" applyFill="1" applyBorder="1"/>
    <xf numFmtId="0" fontId="6" fillId="2" borderId="0" xfId="0" applyFont="1" applyFill="1" applyBorder="1"/>
    <xf numFmtId="0" fontId="6" fillId="2" borderId="8" xfId="0" applyFont="1" applyFill="1" applyBorder="1"/>
    <xf numFmtId="167" fontId="17" fillId="3" borderId="0" xfId="0" applyNumberFormat="1" applyFont="1" applyFill="1" applyBorder="1"/>
    <xf numFmtId="167" fontId="5" fillId="3" borderId="0" xfId="0" applyNumberFormat="1" applyFont="1" applyFill="1" applyBorder="1"/>
    <xf numFmtId="167" fontId="5" fillId="3" borderId="9" xfId="0" applyNumberFormat="1" applyFont="1" applyFill="1" applyBorder="1" applyAlignment="1">
      <alignment horizontal="center"/>
    </xf>
    <xf numFmtId="44" fontId="17" fillId="3" borderId="0" xfId="2" applyFont="1" applyFill="1" applyBorder="1"/>
    <xf numFmtId="44" fontId="5" fillId="3" borderId="11" xfId="0" applyNumberFormat="1" applyFont="1" applyFill="1" applyBorder="1" applyAlignment="1">
      <alignment horizontal="right"/>
    </xf>
    <xf numFmtId="0" fontId="2" fillId="2" borderId="0" xfId="0" applyFont="1" applyFill="1"/>
    <xf numFmtId="44" fontId="5" fillId="3" borderId="0" xfId="0" applyNumberFormat="1" applyFont="1" applyFill="1" applyBorder="1" applyAlignment="1">
      <alignment horizontal="center"/>
    </xf>
    <xf numFmtId="170" fontId="5" fillId="3" borderId="9" xfId="0" applyNumberFormat="1" applyFont="1" applyFill="1" applyBorder="1" applyAlignment="1">
      <alignment horizontal="right"/>
    </xf>
    <xf numFmtId="7" fontId="17" fillId="3" borderId="0" xfId="0" applyNumberFormat="1" applyFont="1" applyFill="1" applyBorder="1" applyAlignment="1">
      <alignment horizontal="left"/>
    </xf>
    <xf numFmtId="7" fontId="17" fillId="3" borderId="0" xfId="0" applyNumberFormat="1" applyFont="1" applyFill="1" applyBorder="1" applyAlignment="1">
      <alignment horizontal="right"/>
    </xf>
    <xf numFmtId="1" fontId="2" fillId="3" borderId="0" xfId="0" applyNumberFormat="1" applyFont="1" applyFill="1" applyBorder="1" applyAlignment="1">
      <alignment horizontal="center"/>
    </xf>
    <xf numFmtId="42" fontId="17" fillId="3" borderId="0" xfId="0" applyNumberFormat="1" applyFont="1" applyFill="1" applyBorder="1" applyAlignment="1">
      <alignment horizontal="right"/>
    </xf>
    <xf numFmtId="1" fontId="2" fillId="3" borderId="0" xfId="0" applyNumberFormat="1" applyFont="1" applyFill="1" applyBorder="1" applyAlignment="1">
      <alignment horizontal="left"/>
    </xf>
    <xf numFmtId="10" fontId="5" fillId="3" borderId="0" xfId="4" applyNumberFormat="1" applyFont="1" applyFill="1" applyBorder="1" applyAlignment="1">
      <alignment horizontal="right"/>
    </xf>
    <xf numFmtId="41" fontId="16" fillId="2" borderId="0" xfId="4" applyNumberFormat="1" applyFont="1" applyFill="1" applyBorder="1"/>
    <xf numFmtId="0" fontId="2" fillId="3" borderId="0" xfId="0" applyFont="1" applyFill="1" applyBorder="1" applyAlignment="1"/>
    <xf numFmtId="1" fontId="2" fillId="3" borderId="0" xfId="0" applyNumberFormat="1" applyFont="1" applyFill="1" applyBorder="1" applyAlignment="1"/>
    <xf numFmtId="9" fontId="2" fillId="3" borderId="0" xfId="0" applyNumberFormat="1" applyFont="1" applyFill="1" applyBorder="1" applyAlignment="1"/>
    <xf numFmtId="0" fontId="2" fillId="3" borderId="8" xfId="0" applyFont="1" applyFill="1" applyBorder="1" applyAlignment="1"/>
    <xf numFmtId="0" fontId="2" fillId="0" borderId="0" xfId="0" applyFont="1" applyBorder="1" applyAlignment="1"/>
    <xf numFmtId="0" fontId="2" fillId="0" borderId="0" xfId="0" applyFont="1" applyAlignment="1"/>
    <xf numFmtId="171" fontId="17" fillId="3" borderId="0" xfId="0" applyNumberFormat="1" applyFont="1" applyFill="1" applyBorder="1" applyAlignment="1">
      <alignment horizontal="right"/>
    </xf>
    <xf numFmtId="0" fontId="23" fillId="0" borderId="0" xfId="0" applyFont="1"/>
    <xf numFmtId="0" fontId="0" fillId="0" borderId="12" xfId="0" applyFill="1" applyBorder="1" applyAlignment="1"/>
    <xf numFmtId="171" fontId="0" fillId="0" borderId="12" xfId="0" applyNumberFormat="1" applyFill="1" applyBorder="1" applyAlignment="1"/>
    <xf numFmtId="10" fontId="16" fillId="2" borderId="0" xfId="1" applyNumberFormat="1" applyFont="1" applyFill="1" applyBorder="1"/>
    <xf numFmtId="10" fontId="0" fillId="0" borderId="12" xfId="0" applyNumberFormat="1" applyFill="1" applyBorder="1" applyAlignment="1"/>
    <xf numFmtId="0" fontId="16" fillId="2" borderId="0" xfId="0" quotePrefix="1" applyNumberFormat="1" applyFont="1" applyFill="1" applyBorder="1" applyAlignment="1">
      <alignment horizontal="right"/>
    </xf>
    <xf numFmtId="169" fontId="3" fillId="3" borderId="0" xfId="0" applyNumberFormat="1" applyFont="1" applyFill="1" applyBorder="1"/>
    <xf numFmtId="166" fontId="16" fillId="3" borderId="0" xfId="0" quotePrefix="1" applyNumberFormat="1" applyFont="1" applyFill="1" applyBorder="1"/>
    <xf numFmtId="44" fontId="17" fillId="3" borderId="0" xfId="4" applyNumberFormat="1" applyFont="1" applyFill="1" applyBorder="1"/>
    <xf numFmtId="170" fontId="5" fillId="3" borderId="0" xfId="0" applyNumberFormat="1" applyFont="1" applyFill="1" applyBorder="1" applyAlignment="1">
      <alignment horizontal="right"/>
    </xf>
    <xf numFmtId="44" fontId="2" fillId="0" borderId="0" xfId="0" applyNumberFormat="1" applyFont="1" applyBorder="1"/>
    <xf numFmtId="164" fontId="17" fillId="3" borderId="0" xfId="0" applyNumberFormat="1" applyFont="1" applyFill="1" applyBorder="1"/>
    <xf numFmtId="170" fontId="2" fillId="3" borderId="0" xfId="0" applyNumberFormat="1" applyFont="1" applyFill="1" applyBorder="1"/>
    <xf numFmtId="0" fontId="25" fillId="4" borderId="0" xfId="0" applyFont="1" applyFill="1" applyBorder="1"/>
    <xf numFmtId="164" fontId="16" fillId="2" borderId="0" xfId="2" applyNumberFormat="1" applyFont="1" applyFill="1" applyBorder="1" applyAlignment="1">
      <alignment horizontal="right"/>
    </xf>
    <xf numFmtId="164" fontId="16" fillId="2" borderId="0" xfId="2" applyNumberFormat="1" applyFont="1" applyFill="1" applyBorder="1"/>
    <xf numFmtId="43" fontId="0" fillId="0" borderId="0" xfId="0" applyNumberFormat="1"/>
    <xf numFmtId="172" fontId="5" fillId="3" borderId="9" xfId="0" applyNumberFormat="1" applyFont="1" applyFill="1" applyBorder="1"/>
    <xf numFmtId="44" fontId="2" fillId="0" borderId="0" xfId="0" applyNumberFormat="1" applyFont="1"/>
    <xf numFmtId="0" fontId="2" fillId="0" borderId="0" xfId="3" applyFont="1"/>
    <xf numFmtId="0" fontId="21" fillId="0" borderId="0" xfId="3" applyFont="1"/>
    <xf numFmtId="0" fontId="3" fillId="0" borderId="0" xfId="3" applyFont="1"/>
    <xf numFmtId="0" fontId="3" fillId="0" borderId="0" xfId="3" applyFont="1" applyBorder="1"/>
    <xf numFmtId="0" fontId="2" fillId="0" borderId="0" xfId="3" applyFont="1" applyBorder="1"/>
    <xf numFmtId="0" fontId="2" fillId="2" borderId="1" xfId="3" applyFont="1" applyFill="1" applyBorder="1"/>
    <xf numFmtId="0" fontId="3" fillId="2" borderId="2" xfId="3" applyFont="1" applyFill="1" applyBorder="1"/>
    <xf numFmtId="0" fontId="2" fillId="2" borderId="2" xfId="3" applyFont="1" applyFill="1" applyBorder="1"/>
    <xf numFmtId="0" fontId="2" fillId="2" borderId="3" xfId="3" applyFont="1" applyFill="1" applyBorder="1"/>
    <xf numFmtId="0" fontId="2" fillId="0" borderId="0" xfId="3" applyFont="1" applyFill="1" applyBorder="1"/>
    <xf numFmtId="0" fontId="2" fillId="2" borderId="4" xfId="3" applyFont="1" applyFill="1" applyBorder="1"/>
    <xf numFmtId="0" fontId="3" fillId="2" borderId="0" xfId="3" applyFont="1" applyFill="1" applyBorder="1"/>
    <xf numFmtId="0" fontId="2" fillId="2" borderId="5" xfId="3" applyFont="1" applyFill="1" applyBorder="1"/>
    <xf numFmtId="0" fontId="2" fillId="0" borderId="0" xfId="3" applyFont="1" applyFill="1" applyBorder="1" applyAlignment="1">
      <alignment horizontal="center"/>
    </xf>
    <xf numFmtId="0" fontId="2" fillId="2" borderId="0" xfId="3" applyFont="1" applyFill="1" applyBorder="1"/>
    <xf numFmtId="5" fontId="4" fillId="0" borderId="0" xfId="3" applyNumberFormat="1" applyFont="1" applyFill="1" applyBorder="1" applyAlignment="1">
      <alignment horizontal="center"/>
    </xf>
    <xf numFmtId="0" fontId="6" fillId="0" borderId="0" xfId="3" applyFont="1"/>
    <xf numFmtId="9" fontId="4" fillId="0" borderId="0" xfId="3" applyNumberFormat="1" applyFont="1" applyFill="1" applyBorder="1"/>
    <xf numFmtId="0" fontId="2" fillId="2" borderId="6" xfId="3" applyFont="1" applyFill="1" applyBorder="1"/>
    <xf numFmtId="0" fontId="2" fillId="2" borderId="8" xfId="3" applyFont="1" applyFill="1" applyBorder="1"/>
    <xf numFmtId="0" fontId="2" fillId="2" borderId="7" xfId="3" applyFont="1" applyFill="1" applyBorder="1"/>
    <xf numFmtId="0" fontId="4" fillId="0" borderId="0" xfId="3" applyFont="1" applyFill="1" applyBorder="1"/>
    <xf numFmtId="0" fontId="1" fillId="0" borderId="0" xfId="3"/>
    <xf numFmtId="0" fontId="3" fillId="0" borderId="0" xfId="3" applyFont="1" applyFill="1" applyBorder="1"/>
    <xf numFmtId="0" fontId="2" fillId="3" borderId="1" xfId="3" applyFont="1" applyFill="1" applyBorder="1"/>
    <xf numFmtId="0" fontId="4" fillId="3" borderId="2" xfId="3" applyFont="1" applyFill="1" applyBorder="1"/>
    <xf numFmtId="0" fontId="2" fillId="3" borderId="3" xfId="3" applyFont="1" applyFill="1" applyBorder="1"/>
    <xf numFmtId="0" fontId="1" fillId="0" borderId="0" xfId="3" applyFill="1" applyBorder="1"/>
    <xf numFmtId="0" fontId="2" fillId="3" borderId="4" xfId="3" applyFont="1" applyFill="1" applyBorder="1"/>
    <xf numFmtId="0" fontId="26" fillId="3" borderId="0" xfId="3" applyFont="1" applyFill="1" applyBorder="1" applyAlignment="1">
      <alignment horizontal="center"/>
    </xf>
    <xf numFmtId="0" fontId="26" fillId="3" borderId="0" xfId="3" applyFont="1" applyFill="1" applyBorder="1" applyAlignment="1">
      <alignment horizontal="right"/>
    </xf>
    <xf numFmtId="0" fontId="2" fillId="3" borderId="5" xfId="3" applyFont="1" applyFill="1" applyBorder="1"/>
    <xf numFmtId="0" fontId="7" fillId="3" borderId="0" xfId="3" applyFont="1" applyFill="1" applyBorder="1" applyAlignment="1">
      <alignment horizontal="center"/>
    </xf>
    <xf numFmtId="44" fontId="17" fillId="3" borderId="0" xfId="3" applyNumberFormat="1" applyFont="1" applyFill="1" applyBorder="1"/>
    <xf numFmtId="0" fontId="7" fillId="3" borderId="0" xfId="3" applyFont="1" applyFill="1" applyBorder="1"/>
    <xf numFmtId="44" fontId="5" fillId="3" borderId="9" xfId="4" applyNumberFormat="1" applyFont="1" applyFill="1" applyBorder="1"/>
    <xf numFmtId="0" fontId="2" fillId="3" borderId="6" xfId="3" applyFont="1" applyFill="1" applyBorder="1"/>
    <xf numFmtId="0" fontId="2" fillId="3" borderId="8" xfId="3" applyFont="1" applyFill="1" applyBorder="1"/>
    <xf numFmtId="0" fontId="2" fillId="3" borderId="7" xfId="3" applyFont="1" applyFill="1" applyBorder="1"/>
    <xf numFmtId="43" fontId="17" fillId="3" borderId="0" xfId="4" applyNumberFormat="1" applyFont="1" applyFill="1" applyBorder="1"/>
    <xf numFmtId="0" fontId="27" fillId="0" borderId="13" xfId="0" applyFont="1" applyFill="1" applyBorder="1" applyAlignment="1">
      <alignment horizontal="center"/>
    </xf>
    <xf numFmtId="173" fontId="2" fillId="0" borderId="0" xfId="0" applyNumberFormat="1" applyFont="1"/>
    <xf numFmtId="8" fontId="2" fillId="0" borderId="0" xfId="0" applyNumberFormat="1" applyFont="1"/>
    <xf numFmtId="44" fontId="0" fillId="0" borderId="0" xfId="0" applyNumberFormat="1"/>
    <xf numFmtId="43" fontId="5" fillId="3" borderId="9" xfId="0" applyNumberFormat="1" applyFont="1" applyFill="1" applyBorder="1" applyAlignment="1">
      <alignment horizontal="right"/>
    </xf>
    <xf numFmtId="43" fontId="29" fillId="3" borderId="9" xfId="0" applyNumberFormat="1" applyFont="1" applyFill="1" applyBorder="1" applyAlignment="1">
      <alignment horizontal="right"/>
    </xf>
    <xf numFmtId="10" fontId="29" fillId="3" borderId="9" xfId="0" applyNumberFormat="1" applyFont="1" applyFill="1" applyBorder="1" applyAlignment="1">
      <alignment horizontal="right"/>
    </xf>
    <xf numFmtId="10" fontId="29" fillId="3" borderId="9" xfId="4" applyNumberFormat="1" applyFont="1" applyFill="1" applyBorder="1"/>
    <xf numFmtId="44" fontId="28" fillId="3" borderId="0" xfId="0" applyNumberFormat="1" applyFont="1" applyFill="1" applyBorder="1"/>
    <xf numFmtId="10" fontId="16" fillId="2" borderId="0" xfId="0" applyNumberFormat="1" applyFont="1" applyFill="1" applyBorder="1"/>
    <xf numFmtId="0" fontId="30" fillId="0" borderId="13" xfId="0" applyFont="1" applyFill="1" applyBorder="1" applyAlignment="1">
      <alignment horizontal="center"/>
    </xf>
    <xf numFmtId="44" fontId="0" fillId="0" borderId="12" xfId="0" applyNumberFormat="1" applyFill="1" applyBorder="1" applyAlignment="1"/>
    <xf numFmtId="42" fontId="2" fillId="0" borderId="0" xfId="0" applyNumberFormat="1" applyFont="1"/>
  </cellXfs>
  <cellStyles count="5">
    <cellStyle name="Comma" xfId="1" builtinId="3"/>
    <cellStyle name="Currency" xfId="2" builtinId="4"/>
    <cellStyle name="Normal" xfId="0" builtinId="0"/>
    <cellStyle name="Normal 2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81"/>
    <col min="4" max="4" width="42.5703125" style="81" customWidth="1"/>
    <col min="5" max="16384" width="9.140625" style="81"/>
  </cols>
  <sheetData>
    <row r="1" spans="1:29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</row>
    <row r="2" spans="1:29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</row>
    <row r="3" spans="1:29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</row>
    <row r="4" spans="1:29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</row>
    <row r="5" spans="1:29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</row>
    <row r="6" spans="1:29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</row>
    <row r="7" spans="1:29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</row>
    <row r="8" spans="1:29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</row>
    <row r="9" spans="1:29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</row>
    <row r="10" spans="1:29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</row>
    <row r="11" spans="1:29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</row>
    <row r="12" spans="1:29" ht="59.25">
      <c r="A12" s="79"/>
      <c r="B12" s="79"/>
      <c r="C12" s="79"/>
      <c r="D12" s="82" t="s">
        <v>242</v>
      </c>
      <c r="E12" s="79"/>
      <c r="F12" s="83"/>
      <c r="G12" s="79"/>
      <c r="H12" s="79"/>
      <c r="I12" s="79"/>
      <c r="J12" s="79"/>
      <c r="K12" s="79"/>
      <c r="L12" s="79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</row>
    <row r="13" spans="1:29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</row>
    <row r="14" spans="1:29" ht="23.25">
      <c r="A14" s="79"/>
      <c r="B14" s="79"/>
      <c r="C14" s="79"/>
      <c r="D14" s="84" t="s">
        <v>249</v>
      </c>
      <c r="E14" s="79"/>
      <c r="F14" s="79"/>
      <c r="G14" s="79"/>
      <c r="H14" s="79"/>
      <c r="I14" s="79"/>
      <c r="J14" s="79"/>
      <c r="K14" s="79"/>
      <c r="L14" s="79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</row>
    <row r="15" spans="1:29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</row>
    <row r="16" spans="1:29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</row>
    <row r="17" spans="1:29" ht="15">
      <c r="A17" s="79"/>
      <c r="B17" s="79"/>
      <c r="C17" s="79"/>
      <c r="D17" s="85"/>
      <c r="E17" s="79"/>
      <c r="F17" s="79"/>
      <c r="G17" s="79"/>
      <c r="H17" s="79"/>
      <c r="I17" s="79"/>
      <c r="J17" s="79"/>
      <c r="K17" s="79"/>
      <c r="L17" s="79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</row>
    <row r="18" spans="1:29" ht="15.75">
      <c r="A18" s="79"/>
      <c r="B18" s="79"/>
      <c r="C18" s="79"/>
      <c r="D18" s="86" t="s">
        <v>79</v>
      </c>
      <c r="E18" s="79"/>
      <c r="F18" s="79"/>
      <c r="G18" s="79"/>
      <c r="H18" s="79"/>
      <c r="I18" s="79"/>
      <c r="J18" s="79"/>
      <c r="K18" s="79"/>
      <c r="L18" s="79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</row>
    <row r="19" spans="1:29" ht="15.75">
      <c r="A19" s="79"/>
      <c r="B19" s="79"/>
      <c r="C19" s="79"/>
      <c r="D19" s="87" t="s">
        <v>80</v>
      </c>
      <c r="E19" s="79"/>
      <c r="F19" s="79"/>
      <c r="G19" s="79"/>
      <c r="H19" s="79"/>
      <c r="I19" s="79"/>
      <c r="J19" s="79"/>
      <c r="K19" s="79"/>
      <c r="L19" s="79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</row>
    <row r="20" spans="1:29" ht="15.75">
      <c r="A20" s="79"/>
      <c r="B20" s="79"/>
      <c r="C20" s="79"/>
      <c r="D20" s="88" t="s">
        <v>81</v>
      </c>
      <c r="E20" s="79"/>
      <c r="F20" s="79"/>
      <c r="G20" s="79"/>
      <c r="H20" s="79"/>
      <c r="I20" s="79"/>
      <c r="J20" s="79"/>
      <c r="K20" s="79"/>
      <c r="L20" s="79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</row>
    <row r="21" spans="1:29" ht="15.75">
      <c r="A21" s="79"/>
      <c r="B21" s="79"/>
      <c r="C21" s="79"/>
      <c r="D21" s="89" t="s">
        <v>82</v>
      </c>
      <c r="E21" s="79"/>
      <c r="F21" s="79"/>
      <c r="G21" s="79"/>
      <c r="H21" s="79"/>
      <c r="I21" s="79"/>
      <c r="J21" s="79"/>
      <c r="K21" s="79"/>
      <c r="L21" s="79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</row>
    <row r="22" spans="1:29" ht="15.75">
      <c r="A22" s="79"/>
      <c r="B22" s="79"/>
      <c r="C22" s="79"/>
      <c r="D22" s="90" t="s">
        <v>83</v>
      </c>
      <c r="E22" s="79"/>
      <c r="F22" s="79"/>
      <c r="G22" s="79"/>
      <c r="H22" s="79"/>
      <c r="I22" s="79"/>
      <c r="J22" s="79"/>
      <c r="K22" s="79"/>
      <c r="L22" s="79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</row>
    <row r="23" spans="1:29" ht="15">
      <c r="A23" s="79"/>
      <c r="B23" s="79"/>
      <c r="C23" s="79"/>
      <c r="D23" s="85"/>
      <c r="E23" s="79"/>
      <c r="F23" s="79"/>
      <c r="G23" s="79"/>
      <c r="H23" s="79"/>
      <c r="I23" s="79"/>
      <c r="J23" s="79"/>
      <c r="K23" s="79"/>
      <c r="L23" s="79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</row>
    <row r="24" spans="1:29">
      <c r="A24" s="79"/>
      <c r="B24" s="79"/>
      <c r="C24" s="79"/>
      <c r="D24" s="192" t="s">
        <v>238</v>
      </c>
      <c r="E24" s="79"/>
      <c r="F24" s="79"/>
      <c r="G24" s="79"/>
      <c r="H24" s="79"/>
      <c r="I24" s="79"/>
      <c r="J24" s="79"/>
      <c r="K24" s="79"/>
      <c r="L24" s="79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</row>
    <row r="25" spans="1:29">
      <c r="A25" s="79"/>
      <c r="B25" s="79"/>
      <c r="C25" s="79"/>
      <c r="D25" s="192" t="s">
        <v>239</v>
      </c>
      <c r="E25" s="79"/>
      <c r="F25" s="79"/>
      <c r="G25" s="79"/>
      <c r="H25" s="79"/>
      <c r="I25" s="79"/>
      <c r="J25" s="79"/>
      <c r="K25" s="79"/>
      <c r="L25" s="79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</row>
    <row r="26" spans="1:29">
      <c r="A26" s="79"/>
      <c r="B26" s="79"/>
      <c r="C26" s="79"/>
      <c r="D26" s="192" t="s">
        <v>240</v>
      </c>
      <c r="E26" s="79"/>
      <c r="F26" s="79"/>
      <c r="G26" s="79"/>
      <c r="H26" s="79"/>
      <c r="I26" s="79"/>
      <c r="J26" s="79"/>
      <c r="K26" s="79"/>
      <c r="L26" s="79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</row>
    <row r="27" spans="1:29">
      <c r="A27" s="79"/>
      <c r="B27" s="79"/>
      <c r="C27" s="79"/>
      <c r="D27" s="192" t="s">
        <v>241</v>
      </c>
      <c r="E27" s="79"/>
      <c r="F27" s="79"/>
      <c r="G27" s="79"/>
      <c r="H27" s="79"/>
      <c r="I27" s="79"/>
      <c r="J27" s="79"/>
      <c r="K27" s="79"/>
      <c r="L27" s="79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</row>
    <row r="28" spans="1:29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</row>
    <row r="29" spans="1:29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</row>
    <row r="30" spans="1:29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</row>
    <row r="31" spans="1:29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</row>
    <row r="32" spans="1:29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</row>
    <row r="33" spans="1:29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</row>
    <row r="34" spans="1:29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</row>
    <row r="35" spans="1:29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</row>
    <row r="36" spans="1:29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</row>
    <row r="37" spans="1:29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</row>
    <row r="38" spans="1:29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</row>
    <row r="39" spans="1:29">
      <c r="A39" s="79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</row>
    <row r="40" spans="1:29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</row>
    <row r="41" spans="1:29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</row>
    <row r="42" spans="1:29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</row>
    <row r="43" spans="1:29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</row>
    <row r="44" spans="1:29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</row>
    <row r="45" spans="1:29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</row>
    <row r="46" spans="1:29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</row>
    <row r="47" spans="1:29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</row>
    <row r="48" spans="1:29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</row>
    <row r="49" spans="1:1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</row>
    <row r="50" spans="1:12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</row>
    <row r="51" spans="1:1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</row>
    <row r="52" spans="1:1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</row>
    <row r="53" spans="1:1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</row>
    <row r="54" spans="1:12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</row>
    <row r="55" spans="1:12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</row>
    <row r="56" spans="1:12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</row>
    <row r="57" spans="1:1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</row>
    <row r="58" spans="1:12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</row>
    <row r="59" spans="1:12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</row>
    <row r="60" spans="1:12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</row>
    <row r="61" spans="1:12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</row>
    <row r="62" spans="1:1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</row>
    <row r="63" spans="1:1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</row>
    <row r="64" spans="1:1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</row>
    <row r="65" spans="1:1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</row>
    <row r="66" spans="1:1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</row>
    <row r="67" spans="1:1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</row>
    <row r="68" spans="1:1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</row>
    <row r="69" spans="1:1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</row>
    <row r="70" spans="1:1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</row>
    <row r="71" spans="1:1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</row>
    <row r="72" spans="1:1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</row>
    <row r="73" spans="1:1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</row>
    <row r="74" spans="1:1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</row>
    <row r="75" spans="1:1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</row>
    <row r="76" spans="1:1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</row>
    <row r="77" spans="1:12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</row>
    <row r="78" spans="1:1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</row>
    <row r="79" spans="1:1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</row>
    <row r="80" spans="1:12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</row>
    <row r="81" spans="1:12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</row>
    <row r="82" spans="1:12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</row>
    <row r="83" spans="1:12">
      <c r="A83" s="9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</row>
    <row r="84" spans="1:12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</row>
    <row r="85" spans="1:12">
      <c r="A85" s="9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</row>
    <row r="86" spans="1:12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</row>
    <row r="87" spans="1:12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</row>
    <row r="88" spans="1:12">
      <c r="A88" s="9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</row>
    <row r="89" spans="1:12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</row>
    <row r="90" spans="1:12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</row>
    <row r="91" spans="1:12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</row>
    <row r="92" spans="1:12">
      <c r="A92" s="9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</row>
    <row r="93" spans="1:12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</row>
    <row r="94" spans="1:12">
      <c r="A94" s="9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</row>
    <row r="95" spans="1:12">
      <c r="A95" s="9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</row>
    <row r="96" spans="1:12">
      <c r="A96" s="91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</row>
    <row r="97" spans="1:12">
      <c r="A97" s="9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</row>
    <row r="98" spans="1:12">
      <c r="A98" s="9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</row>
    <row r="99" spans="1:12">
      <c r="A99" s="9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</row>
    <row r="100" spans="1:12">
      <c r="A100" s="91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</row>
    <row r="101" spans="1:12">
      <c r="A101" s="91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</row>
    <row r="102" spans="1:12">
      <c r="A102" s="91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</row>
    <row r="103" spans="1:12">
      <c r="A103" s="91"/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</row>
    <row r="104" spans="1:12">
      <c r="A104" s="91"/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</row>
    <row r="105" spans="1:12">
      <c r="A105" s="91"/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</row>
    <row r="106" spans="1:12">
      <c r="A106" s="91"/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211111121111111111111111"/>
  <dimension ref="B1:H43"/>
  <sheetViews>
    <sheetView workbookViewId="0"/>
  </sheetViews>
  <sheetFormatPr defaultRowHeight="12.75"/>
  <cols>
    <col min="2" max="2" width="3.140625" customWidth="1"/>
    <col min="3" max="3" width="26.140625" bestFit="1" customWidth="1"/>
    <col min="4" max="4" width="15.140625" customWidth="1"/>
    <col min="5" max="5" width="4.7109375" customWidth="1"/>
    <col min="6" max="6" width="15.140625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30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8"/>
      <c r="F6" s="25"/>
      <c r="G6" s="25"/>
    </row>
    <row r="7" spans="2:8" s="1" customFormat="1" ht="15.75" customHeight="1">
      <c r="B7" s="9"/>
      <c r="C7" s="10" t="s">
        <v>10</v>
      </c>
      <c r="D7" s="135" t="s">
        <v>46</v>
      </c>
      <c r="E7" s="11"/>
      <c r="F7" s="25"/>
      <c r="G7" s="25"/>
    </row>
    <row r="8" spans="2:8" s="1" customFormat="1" ht="15.75" customHeight="1">
      <c r="B8" s="9"/>
      <c r="C8" s="10" t="s">
        <v>36</v>
      </c>
      <c r="D8" s="135" t="s">
        <v>59</v>
      </c>
      <c r="E8" s="11"/>
      <c r="F8" s="25"/>
      <c r="G8" s="25"/>
    </row>
    <row r="9" spans="2:8" s="1" customFormat="1" ht="15.75" customHeight="1">
      <c r="B9" s="9"/>
      <c r="C9" s="10" t="s">
        <v>58</v>
      </c>
      <c r="D9" s="136" t="s">
        <v>60</v>
      </c>
      <c r="E9" s="11"/>
      <c r="F9" s="56"/>
      <c r="G9" s="25"/>
    </row>
    <row r="10" spans="2:8" s="1" customFormat="1" ht="15.75" customHeight="1">
      <c r="B10" s="9"/>
      <c r="C10" s="10" t="s">
        <v>9</v>
      </c>
      <c r="D10" s="137" t="s">
        <v>61</v>
      </c>
      <c r="E10" s="11"/>
      <c r="F10" s="57"/>
      <c r="G10" s="25"/>
    </row>
    <row r="11" spans="2:8" s="1" customFormat="1" ht="15.75" customHeight="1" thickBot="1">
      <c r="B11" s="12"/>
      <c r="C11" s="38"/>
      <c r="D11" s="45"/>
      <c r="E11" s="13"/>
      <c r="F11" s="25"/>
      <c r="G11" s="25"/>
      <c r="H11" s="23"/>
    </row>
    <row r="12" spans="2:8" ht="15.75" customHeight="1">
      <c r="B12" s="25"/>
      <c r="C12" s="26"/>
      <c r="D12" s="26"/>
      <c r="E12" s="25"/>
    </row>
    <row r="13" spans="2:8" ht="15.75" customHeight="1">
      <c r="B13" s="25"/>
      <c r="C13" s="27" t="s">
        <v>1</v>
      </c>
      <c r="D13" s="26"/>
      <c r="E13" s="25"/>
    </row>
    <row r="14" spans="2:8" ht="15.75" customHeight="1" thickBot="1">
      <c r="B14" s="25"/>
      <c r="C14" s="26"/>
      <c r="D14" s="26"/>
      <c r="E14" s="25"/>
    </row>
    <row r="15" spans="2:8" ht="15.75" customHeight="1">
      <c r="B15" s="14"/>
      <c r="C15" s="28"/>
      <c r="D15" s="28"/>
      <c r="E15" s="15"/>
      <c r="F15" s="59"/>
      <c r="G15" s="59"/>
    </row>
    <row r="16" spans="2:8" ht="15.75" customHeight="1">
      <c r="B16" s="16"/>
      <c r="C16" s="18" t="s">
        <v>62</v>
      </c>
      <c r="D16" s="39"/>
      <c r="E16" s="17"/>
      <c r="F16" s="65"/>
      <c r="G16" s="59"/>
    </row>
    <row r="17" spans="2:7" ht="15.75" customHeight="1">
      <c r="B17" s="16"/>
      <c r="C17" s="18" t="s">
        <v>63</v>
      </c>
      <c r="D17" s="39"/>
      <c r="E17" s="17"/>
      <c r="F17" s="66"/>
      <c r="G17" s="59"/>
    </row>
    <row r="18" spans="2:7" ht="15.75" customHeight="1">
      <c r="B18" s="16"/>
      <c r="C18" s="18" t="s">
        <v>111</v>
      </c>
      <c r="D18" s="39"/>
      <c r="E18" s="17"/>
      <c r="F18" s="66"/>
      <c r="G18" s="59"/>
    </row>
    <row r="19" spans="2:7" ht="15.75" customHeight="1">
      <c r="B19" s="16"/>
      <c r="C19" s="18"/>
      <c r="D19" s="39"/>
      <c r="E19" s="17"/>
      <c r="F19" s="66"/>
      <c r="G19" s="59"/>
    </row>
    <row r="20" spans="2:7" ht="15.75" customHeight="1">
      <c r="B20" s="16"/>
      <c r="C20" s="18" t="s">
        <v>107</v>
      </c>
      <c r="D20" s="39"/>
      <c r="E20" s="17"/>
      <c r="F20" s="66"/>
      <c r="G20" s="59"/>
    </row>
    <row r="21" spans="2:7" ht="15.75" customHeight="1">
      <c r="B21" s="16"/>
      <c r="C21" s="18" t="s">
        <v>108</v>
      </c>
      <c r="D21" s="39"/>
      <c r="E21" s="17"/>
      <c r="F21" s="66"/>
      <c r="G21" s="59"/>
    </row>
    <row r="22" spans="2:7" ht="15.75" customHeight="1">
      <c r="B22" s="16"/>
      <c r="C22" s="18"/>
      <c r="D22" s="39"/>
      <c r="E22" s="17"/>
      <c r="F22" s="66"/>
      <c r="G22" s="59"/>
    </row>
    <row r="23" spans="2:7" ht="15.75" customHeight="1">
      <c r="B23" s="16"/>
      <c r="C23" s="18" t="s">
        <v>109</v>
      </c>
      <c r="D23" s="39"/>
      <c r="E23" s="17"/>
      <c r="F23" s="66"/>
      <c r="G23" s="59"/>
    </row>
    <row r="24" spans="2:7" ht="15.75" customHeight="1">
      <c r="B24" s="16"/>
      <c r="C24" s="18" t="s">
        <v>110</v>
      </c>
      <c r="D24" s="39"/>
      <c r="E24" s="17"/>
      <c r="F24" s="66"/>
      <c r="G24" s="59"/>
    </row>
    <row r="25" spans="2:7" s="1" customFormat="1" ht="15.75" customHeight="1" thickBot="1">
      <c r="B25" s="19"/>
      <c r="C25" s="20"/>
      <c r="D25" s="20"/>
      <c r="E25" s="21"/>
      <c r="F25" s="25"/>
      <c r="G25" s="25"/>
    </row>
    <row r="26" spans="2:7" ht="15.75" customHeight="1">
      <c r="B26" s="4"/>
      <c r="C26" s="4"/>
      <c r="D26" s="4"/>
      <c r="E26" s="4"/>
    </row>
    <row r="27" spans="2:7" ht="15.75" customHeight="1">
      <c r="B27" s="4"/>
      <c r="C27" s="4"/>
      <c r="D27" s="4"/>
      <c r="E27" s="4"/>
    </row>
    <row r="28" spans="2:7" ht="15.75" customHeight="1">
      <c r="B28" s="1"/>
      <c r="C28" s="1"/>
      <c r="D28" s="1"/>
      <c r="E28" s="1"/>
    </row>
    <row r="29" spans="2:7" ht="15.75" customHeight="1">
      <c r="B29" s="1"/>
      <c r="C29" s="1"/>
      <c r="D29" s="1"/>
      <c r="E29" s="1"/>
    </row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21111112111111111"/>
  <dimension ref="B1:F66"/>
  <sheetViews>
    <sheetView workbookViewId="0"/>
  </sheetViews>
  <sheetFormatPr defaultRowHeight="12.75"/>
  <cols>
    <col min="2" max="2" width="3.140625" customWidth="1"/>
    <col min="3" max="3" width="27.5703125" customWidth="1"/>
    <col min="4" max="4" width="15.140625" customWidth="1"/>
    <col min="5" max="5" width="3.140625" customWidth="1"/>
  </cols>
  <sheetData>
    <row r="1" spans="2:6" s="1" customFormat="1" ht="18">
      <c r="C1" s="140" t="s">
        <v>242</v>
      </c>
    </row>
    <row r="2" spans="2:6" s="1" customFormat="1" ht="15.75" customHeight="1">
      <c r="C2" s="1" t="s">
        <v>33</v>
      </c>
    </row>
    <row r="3" spans="2:6" s="1" customFormat="1" ht="15.75" customHeight="1"/>
    <row r="4" spans="2:6" s="1" customFormat="1" ht="15.75" customHeight="1">
      <c r="C4" s="2" t="s">
        <v>0</v>
      </c>
    </row>
    <row r="5" spans="2:6" s="1" customFormat="1" ht="15.75" customHeight="1" thickBot="1">
      <c r="C5" s="3"/>
    </row>
    <row r="6" spans="2:6" s="1" customFormat="1" ht="15.75" customHeight="1">
      <c r="B6" s="5"/>
      <c r="C6" s="6"/>
      <c r="D6" s="7"/>
      <c r="E6" s="8"/>
    </row>
    <row r="7" spans="2:6" s="1" customFormat="1" ht="15.75" customHeight="1">
      <c r="B7" s="9"/>
      <c r="C7" s="10" t="s">
        <v>24</v>
      </c>
      <c r="D7" s="115">
        <v>7000</v>
      </c>
      <c r="E7" s="11"/>
    </row>
    <row r="8" spans="2:6" s="1" customFormat="1" ht="15.75" customHeight="1">
      <c r="B8" s="9"/>
      <c r="C8" s="10" t="s">
        <v>15</v>
      </c>
      <c r="D8" s="115">
        <v>-3700</v>
      </c>
      <c r="E8" s="11"/>
      <c r="F8" s="23"/>
    </row>
    <row r="9" spans="2:6" s="1" customFormat="1" ht="15.75" customHeight="1">
      <c r="B9" s="9"/>
      <c r="C9" s="10" t="s">
        <v>16</v>
      </c>
      <c r="D9" s="115">
        <v>-2400</v>
      </c>
      <c r="E9" s="11"/>
      <c r="F9" s="23"/>
    </row>
    <row r="10" spans="2:6" s="1" customFormat="1" ht="15.75" customHeight="1">
      <c r="B10" s="9"/>
      <c r="C10" s="10" t="s">
        <v>17</v>
      </c>
      <c r="D10" s="115">
        <v>-1500</v>
      </c>
      <c r="E10" s="11"/>
      <c r="F10" s="23"/>
    </row>
    <row r="11" spans="2:6" s="1" customFormat="1" ht="15.75" customHeight="1">
      <c r="B11" s="9"/>
      <c r="C11" s="10" t="s">
        <v>18</v>
      </c>
      <c r="D11" s="115">
        <v>-1200</v>
      </c>
      <c r="E11" s="11"/>
      <c r="F11" s="23"/>
    </row>
    <row r="12" spans="2:6" s="1" customFormat="1" ht="15.75" customHeight="1">
      <c r="B12" s="9"/>
      <c r="C12" s="10"/>
      <c r="D12" s="117"/>
      <c r="E12" s="11"/>
      <c r="F12" s="23"/>
    </row>
    <row r="13" spans="2:6" s="1" customFormat="1" ht="15.75" customHeight="1">
      <c r="B13" s="9" t="s">
        <v>113</v>
      </c>
      <c r="C13" s="10" t="s">
        <v>36</v>
      </c>
      <c r="D13" s="118">
        <v>0.1</v>
      </c>
      <c r="E13" s="11"/>
      <c r="F13" s="23"/>
    </row>
    <row r="14" spans="2:6" s="1" customFormat="1" ht="15.75" customHeight="1">
      <c r="B14" s="9" t="s">
        <v>128</v>
      </c>
      <c r="C14" s="10" t="s">
        <v>36</v>
      </c>
      <c r="D14" s="118">
        <v>0.2</v>
      </c>
      <c r="E14" s="11"/>
      <c r="F14" s="23"/>
    </row>
    <row r="15" spans="2:6" s="1" customFormat="1" ht="15.75" customHeight="1" thickBot="1">
      <c r="B15" s="12"/>
      <c r="C15" s="38"/>
      <c r="D15" s="38"/>
      <c r="E15" s="13"/>
      <c r="F15" s="23"/>
    </row>
    <row r="16" spans="2:6" ht="15.75" customHeight="1">
      <c r="B16" s="25"/>
      <c r="C16" s="26"/>
    </row>
    <row r="17" spans="2:5" ht="15.75" customHeight="1">
      <c r="B17" s="25"/>
      <c r="C17" s="27" t="s">
        <v>1</v>
      </c>
    </row>
    <row r="18" spans="2:5" ht="15.75" customHeight="1" thickBot="1">
      <c r="B18" s="25"/>
      <c r="C18" s="26"/>
    </row>
    <row r="19" spans="2:5" ht="15.75" customHeight="1">
      <c r="B19" s="14"/>
      <c r="C19" s="28"/>
      <c r="D19" s="48"/>
      <c r="E19" s="49"/>
    </row>
    <row r="20" spans="2:5" ht="15.75" customHeight="1">
      <c r="B20" s="16" t="s">
        <v>112</v>
      </c>
      <c r="C20" s="18" t="s">
        <v>28</v>
      </c>
      <c r="D20" s="70">
        <f>IRR(D7:D11,0.2)</f>
        <v>0.12396805316102411</v>
      </c>
      <c r="E20" s="51"/>
    </row>
    <row r="21" spans="2:5" ht="15.75" customHeight="1">
      <c r="B21" s="16"/>
      <c r="C21" s="18"/>
      <c r="D21" s="124"/>
      <c r="E21" s="51"/>
    </row>
    <row r="22" spans="2:5" ht="15.75" customHeight="1">
      <c r="B22" s="16"/>
      <c r="C22" s="18" t="s">
        <v>130</v>
      </c>
      <c r="D22" s="124"/>
      <c r="E22" s="51"/>
    </row>
    <row r="23" spans="2:5" ht="15.75" customHeight="1">
      <c r="B23" s="16"/>
      <c r="C23" s="18" t="s">
        <v>131</v>
      </c>
      <c r="D23" s="124"/>
      <c r="E23" s="51"/>
    </row>
    <row r="24" spans="2:5" ht="15.75" customHeight="1">
      <c r="B24" s="16"/>
      <c r="C24" s="18"/>
      <c r="D24" s="119"/>
      <c r="E24" s="51"/>
    </row>
    <row r="25" spans="2:5" ht="15.75" customHeight="1">
      <c r="B25" s="16" t="s">
        <v>113</v>
      </c>
      <c r="C25" s="142" t="str">
        <f>IF(D20&gt;D13,"Reject the project.","Accept the project.")</f>
        <v>Reject the project.</v>
      </c>
      <c r="D25" s="152"/>
      <c r="E25" s="51"/>
    </row>
    <row r="26" spans="2:5" ht="15.75" customHeight="1">
      <c r="B26" s="16"/>
      <c r="C26" s="18"/>
      <c r="D26" s="142"/>
      <c r="E26" s="51"/>
    </row>
    <row r="27" spans="2:5" ht="15.75" customHeight="1">
      <c r="B27" s="16" t="s">
        <v>128</v>
      </c>
      <c r="C27" s="142" t="str">
        <f>IF(D20&gt;D14,"Reject the project.","Accept the project.")</f>
        <v>Accept the project.</v>
      </c>
      <c r="D27" s="142"/>
      <c r="E27" s="51"/>
    </row>
    <row r="28" spans="2:5" ht="15.75" customHeight="1">
      <c r="B28" s="16"/>
      <c r="C28" s="18"/>
      <c r="D28" s="142"/>
      <c r="E28" s="51"/>
    </row>
    <row r="29" spans="2:5" ht="15.75" customHeight="1">
      <c r="B29" s="16" t="s">
        <v>129</v>
      </c>
      <c r="C29" s="18" t="str">
        <f>"NPV at "&amp;D13*100&amp;"%"</f>
        <v>NPV at 10%</v>
      </c>
      <c r="D29" s="111">
        <f>NPV(D13,D8:D11)+D7</f>
        <v>-293.69578580697998</v>
      </c>
      <c r="E29" s="51"/>
    </row>
    <row r="30" spans="2:5" ht="15.75" customHeight="1">
      <c r="B30" s="16"/>
      <c r="C30" s="18"/>
      <c r="D30" s="151"/>
      <c r="E30" s="51"/>
    </row>
    <row r="31" spans="2:5" ht="15.75" customHeight="1">
      <c r="B31" s="16"/>
      <c r="C31" s="18" t="str">
        <f>"NPV at "&amp;D14*100&amp;"%"</f>
        <v>NPV at 20%</v>
      </c>
      <c r="D31" s="111">
        <f>NPV(D14,D8:D11)+D7</f>
        <v>803.24074074073997</v>
      </c>
      <c r="E31" s="51"/>
    </row>
    <row r="32" spans="2:5" ht="15.75" customHeight="1">
      <c r="B32" s="16"/>
      <c r="C32" s="18"/>
      <c r="D32" s="120"/>
      <c r="E32" s="51"/>
    </row>
    <row r="33" spans="2:5" ht="15.75" customHeight="1">
      <c r="B33" s="16" t="s">
        <v>132</v>
      </c>
      <c r="C33" s="18" t="s">
        <v>133</v>
      </c>
      <c r="D33" s="120"/>
      <c r="E33" s="51"/>
    </row>
    <row r="34" spans="2:5" ht="15.75" customHeight="1">
      <c r="B34" s="16"/>
      <c r="C34" s="18" t="s">
        <v>134</v>
      </c>
      <c r="D34" s="18"/>
      <c r="E34" s="51"/>
    </row>
    <row r="35" spans="2:5" ht="15.75" customHeight="1">
      <c r="B35" s="16"/>
      <c r="C35" s="18" t="s">
        <v>135</v>
      </c>
      <c r="D35" s="18"/>
      <c r="E35" s="51"/>
    </row>
    <row r="36" spans="2:5" s="1" customFormat="1" ht="15.75" customHeight="1" thickBot="1">
      <c r="B36" s="19"/>
      <c r="C36" s="20"/>
      <c r="D36" s="20"/>
      <c r="E36" s="21"/>
    </row>
    <row r="37" spans="2:5" ht="15.75" customHeight="1">
      <c r="B37" s="4"/>
      <c r="C37" s="4"/>
    </row>
    <row r="38" spans="2:5" ht="15.75" customHeight="1">
      <c r="B38" s="4"/>
      <c r="C38" s="4"/>
    </row>
    <row r="39" spans="2:5" ht="15.75" customHeight="1">
      <c r="B39" s="1"/>
      <c r="C39" s="1"/>
    </row>
    <row r="40" spans="2:5" ht="15.75" customHeight="1">
      <c r="B40" s="1"/>
      <c r="C40" s="1"/>
    </row>
    <row r="41" spans="2:5" ht="15.75" customHeight="1"/>
    <row r="42" spans="2:5" ht="15.75" customHeight="1"/>
    <row r="43" spans="2:5" ht="15.75" customHeight="1"/>
    <row r="44" spans="2:5" ht="15.75" customHeight="1"/>
    <row r="45" spans="2:5" ht="15.75" customHeight="1"/>
    <row r="46" spans="2:5" ht="15.75" customHeight="1"/>
    <row r="47" spans="2:5" ht="15.75" customHeight="1"/>
    <row r="48" spans="2: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211111121111111111"/>
  <dimension ref="B1:H39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5" width="15.140625" customWidth="1"/>
    <col min="6" max="6" width="3.140625" customWidth="1"/>
  </cols>
  <sheetData>
    <row r="1" spans="2:7" s="1" customFormat="1" ht="18">
      <c r="C1" s="140" t="s">
        <v>242</v>
      </c>
    </row>
    <row r="2" spans="2:7" s="1" customFormat="1" ht="15.75" customHeight="1">
      <c r="C2" s="1" t="s">
        <v>34</v>
      </c>
    </row>
    <row r="3" spans="2:7" s="1" customFormat="1" ht="15.75" customHeight="1"/>
    <row r="4" spans="2:7" s="1" customFormat="1" ht="15.75" customHeight="1">
      <c r="C4" s="2" t="s">
        <v>0</v>
      </c>
    </row>
    <row r="5" spans="2:7" s="1" customFormat="1" ht="15.75" customHeight="1" thickBot="1">
      <c r="C5" s="3"/>
      <c r="D5" s="4"/>
    </row>
    <row r="6" spans="2:7" s="1" customFormat="1" ht="15.75" customHeight="1">
      <c r="B6" s="5"/>
      <c r="C6" s="6"/>
      <c r="D6" s="7"/>
      <c r="E6" s="7"/>
      <c r="F6" s="8"/>
    </row>
    <row r="7" spans="2:7" s="1" customFormat="1" ht="15.75" customHeight="1">
      <c r="B7" s="9"/>
      <c r="C7" s="37" t="s">
        <v>27</v>
      </c>
      <c r="D7" s="44" t="s">
        <v>136</v>
      </c>
      <c r="E7" s="46" t="s">
        <v>137</v>
      </c>
      <c r="F7" s="11"/>
    </row>
    <row r="8" spans="2:7" s="1" customFormat="1" ht="15.75" customHeight="1">
      <c r="B8" s="9"/>
      <c r="C8" s="10" t="s">
        <v>24</v>
      </c>
      <c r="D8" s="113">
        <v>-950000</v>
      </c>
      <c r="E8" s="115">
        <v>-1850000</v>
      </c>
      <c r="F8" s="11"/>
    </row>
    <row r="9" spans="2:7" s="1" customFormat="1" ht="15.75" customHeight="1">
      <c r="B9" s="9"/>
      <c r="C9" s="10" t="s">
        <v>15</v>
      </c>
      <c r="D9" s="116">
        <v>370000</v>
      </c>
      <c r="E9" s="115">
        <v>900000</v>
      </c>
      <c r="F9" s="11"/>
      <c r="G9" s="23"/>
    </row>
    <row r="10" spans="2:7" s="1" customFormat="1" ht="15.75" customHeight="1">
      <c r="B10" s="9"/>
      <c r="C10" s="10" t="s">
        <v>16</v>
      </c>
      <c r="D10" s="116">
        <v>510000</v>
      </c>
      <c r="E10" s="115">
        <v>800000</v>
      </c>
      <c r="F10" s="11"/>
      <c r="G10" s="23"/>
    </row>
    <row r="11" spans="2:7" s="1" customFormat="1" ht="15.75" customHeight="1">
      <c r="B11" s="9"/>
      <c r="C11" s="10" t="s">
        <v>17</v>
      </c>
      <c r="D11" s="116">
        <v>420000</v>
      </c>
      <c r="E11" s="115">
        <v>750000</v>
      </c>
      <c r="F11" s="11"/>
      <c r="G11" s="23"/>
    </row>
    <row r="12" spans="2:7" s="1" customFormat="1" ht="15.75" customHeight="1">
      <c r="B12" s="9"/>
      <c r="C12" s="10"/>
      <c r="D12" s="95"/>
      <c r="E12" s="117"/>
      <c r="F12" s="11"/>
      <c r="G12" s="23"/>
    </row>
    <row r="13" spans="2:7" s="1" customFormat="1" ht="15.75" customHeight="1">
      <c r="B13" s="9"/>
      <c r="C13" s="10" t="s">
        <v>19</v>
      </c>
      <c r="D13" s="99">
        <v>0.14000000000000001</v>
      </c>
      <c r="E13" s="117"/>
      <c r="F13" s="11"/>
      <c r="G13" s="23"/>
    </row>
    <row r="14" spans="2:7" s="1" customFormat="1" ht="15.75" customHeight="1" thickBot="1">
      <c r="B14" s="12"/>
      <c r="C14" s="38"/>
      <c r="D14" s="45"/>
      <c r="E14" s="38"/>
      <c r="F14" s="13"/>
      <c r="G14" s="23"/>
    </row>
    <row r="15" spans="2:7" ht="15.75" customHeight="1">
      <c r="B15" s="25"/>
      <c r="C15" s="26"/>
      <c r="D15" s="26"/>
    </row>
    <row r="16" spans="2:7" ht="15.75" customHeight="1">
      <c r="B16" s="25"/>
      <c r="C16" s="27" t="s">
        <v>1</v>
      </c>
      <c r="D16" s="26"/>
    </row>
    <row r="17" spans="2:8" ht="15.75" customHeight="1" thickBot="1">
      <c r="B17" s="25"/>
      <c r="C17" s="26"/>
      <c r="D17" s="26"/>
    </row>
    <row r="18" spans="2:8" ht="15.75" customHeight="1">
      <c r="B18" s="14"/>
      <c r="C18" s="28"/>
      <c r="D18" s="28"/>
      <c r="E18" s="48"/>
      <c r="F18" s="49"/>
    </row>
    <row r="19" spans="2:8" ht="15.75" customHeight="1">
      <c r="B19" s="16" t="s">
        <v>112</v>
      </c>
      <c r="C19" s="18" t="s">
        <v>140</v>
      </c>
      <c r="D19" s="70">
        <f>IRR(D8:D11,0.01)</f>
        <v>0.17065702921653461</v>
      </c>
      <c r="E19" s="101"/>
      <c r="F19" s="51"/>
    </row>
    <row r="20" spans="2:8" ht="15.75" customHeight="1">
      <c r="B20" s="16"/>
      <c r="C20" s="18" t="s">
        <v>141</v>
      </c>
      <c r="D20" s="70">
        <f>IRR(E8:E11,0.01)</f>
        <v>0.16030171870402027</v>
      </c>
      <c r="E20" s="101"/>
      <c r="F20" s="51"/>
    </row>
    <row r="21" spans="2:8" ht="15.75" customHeight="1">
      <c r="B21" s="16"/>
      <c r="C21" s="18"/>
      <c r="D21" s="42"/>
      <c r="E21" s="124"/>
      <c r="F21" s="51"/>
    </row>
    <row r="22" spans="2:8" ht="15.75" customHeight="1">
      <c r="B22" s="16" t="s">
        <v>113</v>
      </c>
      <c r="C22" s="18"/>
      <c r="D22" s="42" t="s">
        <v>138</v>
      </c>
      <c r="E22" s="124"/>
      <c r="F22" s="51"/>
    </row>
    <row r="23" spans="2:8" ht="15.75" customHeight="1">
      <c r="B23" s="16"/>
      <c r="C23" s="18" t="s">
        <v>24</v>
      </c>
      <c r="D23" s="94">
        <f>IF($E$8&lt;$D$8,E8-D8,D8-E8)</f>
        <v>-900000</v>
      </c>
      <c r="E23" s="124"/>
      <c r="F23" s="51"/>
    </row>
    <row r="24" spans="2:8" ht="15.75" customHeight="1">
      <c r="B24" s="16"/>
      <c r="C24" s="18" t="s">
        <v>15</v>
      </c>
      <c r="D24" s="94">
        <f>IF($E$8&lt;$D$8,E9-D9,D9-E9)</f>
        <v>530000</v>
      </c>
      <c r="E24" s="124"/>
      <c r="F24" s="51"/>
    </row>
    <row r="25" spans="2:8" ht="15.75" customHeight="1">
      <c r="B25" s="16"/>
      <c r="C25" s="18" t="s">
        <v>16</v>
      </c>
      <c r="D25" s="94">
        <f>IF($E$8&lt;$D$8,E10-D10,D10-E10)</f>
        <v>290000</v>
      </c>
      <c r="E25" s="124"/>
      <c r="F25" s="51"/>
    </row>
    <row r="26" spans="2:8" ht="15.75" customHeight="1">
      <c r="B26" s="16"/>
      <c r="C26" s="18" t="s">
        <v>17</v>
      </c>
      <c r="D26" s="94">
        <f>IF($E$8&lt;$D$8,E11-D11,D11-E11)</f>
        <v>330000</v>
      </c>
      <c r="E26" s="124"/>
      <c r="F26" s="51"/>
    </row>
    <row r="27" spans="2:8" ht="15.75" customHeight="1">
      <c r="B27" s="16"/>
      <c r="C27" s="18"/>
      <c r="D27" s="42"/>
      <c r="E27" s="50"/>
      <c r="F27" s="51"/>
      <c r="H27" s="125"/>
    </row>
    <row r="28" spans="2:8" ht="15.75" customHeight="1">
      <c r="B28" s="16"/>
      <c r="C28" s="18" t="s">
        <v>139</v>
      </c>
      <c r="D28" s="70">
        <f>IRR(D23:D26)</f>
        <v>0.14787846184763132</v>
      </c>
      <c r="E28" s="101"/>
      <c r="F28" s="51"/>
    </row>
    <row r="29" spans="2:8" ht="15.75" customHeight="1">
      <c r="B29" s="16"/>
      <c r="C29" s="18"/>
      <c r="D29" s="42"/>
      <c r="E29" s="18"/>
      <c r="F29" s="51"/>
    </row>
    <row r="30" spans="2:8" ht="15.75" customHeight="1">
      <c r="B30" s="16" t="s">
        <v>128</v>
      </c>
      <c r="C30" s="18" t="s">
        <v>142</v>
      </c>
      <c r="D30" s="134">
        <f>NPV(D13,D9:D11)+D8</f>
        <v>50477.879833470797</v>
      </c>
      <c r="E30" s="54"/>
      <c r="F30" s="51"/>
    </row>
    <row r="31" spans="2:8" ht="15.75" customHeight="1">
      <c r="B31" s="16"/>
      <c r="C31" s="52"/>
      <c r="D31" s="123"/>
      <c r="E31" s="123"/>
      <c r="F31" s="51"/>
    </row>
    <row r="32" spans="2:8" ht="15.75" customHeight="1">
      <c r="B32" s="16"/>
      <c r="C32" s="62" t="s">
        <v>143</v>
      </c>
      <c r="D32" s="134">
        <f>NPV(D13,E9:E11)+E8</f>
        <v>61276.344138276996</v>
      </c>
      <c r="E32" s="123"/>
      <c r="F32" s="51"/>
    </row>
    <row r="33" spans="2:6" s="1" customFormat="1" ht="15.75" customHeight="1" thickBot="1">
      <c r="B33" s="19"/>
      <c r="C33" s="20"/>
      <c r="D33" s="20"/>
      <c r="E33" s="20"/>
      <c r="F33" s="21"/>
    </row>
    <row r="34" spans="2:6" ht="15.75" customHeight="1">
      <c r="B34" s="4"/>
      <c r="C34" s="4"/>
      <c r="D34" s="4"/>
    </row>
    <row r="35" spans="2:6" ht="15.75" customHeight="1">
      <c r="B35" s="4"/>
      <c r="C35" s="4"/>
      <c r="D35" s="4"/>
    </row>
    <row r="36" spans="2:6" ht="15.75" customHeight="1">
      <c r="B36" s="1"/>
      <c r="C36" s="1"/>
      <c r="D36" s="1"/>
    </row>
    <row r="37" spans="2:6" ht="15.75" customHeight="1">
      <c r="B37" s="1"/>
      <c r="C37" s="1"/>
      <c r="D37" s="1"/>
    </row>
    <row r="38" spans="2:6" ht="15.75" customHeight="1"/>
    <row r="39" spans="2:6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211111121111111111111"/>
  <dimension ref="B1:H67"/>
  <sheetViews>
    <sheetView workbookViewId="0"/>
  </sheetViews>
  <sheetFormatPr defaultRowHeight="12.75"/>
  <cols>
    <col min="2" max="2" width="3.140625" customWidth="1"/>
    <col min="3" max="3" width="26.140625" bestFit="1" customWidth="1"/>
    <col min="4" max="4" width="15.140625" customWidth="1"/>
    <col min="5" max="5" width="3.140625" customWidth="1"/>
    <col min="6" max="6" width="15.140625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">
      <c r="C2" s="1" t="s">
        <v>35</v>
      </c>
    </row>
    <row r="3" spans="2:8" s="1" customFormat="1" ht="15"/>
    <row r="4" spans="2:8" s="1" customFormat="1" ht="15">
      <c r="C4" s="2" t="s">
        <v>0</v>
      </c>
    </row>
    <row r="5" spans="2:8" s="1" customFormat="1" ht="15.75" thickBot="1">
      <c r="C5" s="3"/>
      <c r="D5" s="4"/>
    </row>
    <row r="6" spans="2:8" s="1" customFormat="1" ht="15">
      <c r="B6" s="5"/>
      <c r="C6" s="6"/>
      <c r="D6" s="7"/>
      <c r="E6" s="7"/>
      <c r="F6" s="7"/>
      <c r="G6" s="8"/>
    </row>
    <row r="7" spans="2:8" s="1" customFormat="1" ht="15">
      <c r="B7" s="9"/>
      <c r="C7" s="37" t="s">
        <v>27</v>
      </c>
      <c r="D7" s="44" t="s">
        <v>46</v>
      </c>
      <c r="E7" s="10"/>
      <c r="F7" s="46" t="s">
        <v>47</v>
      </c>
      <c r="G7" s="11"/>
    </row>
    <row r="8" spans="2:8" s="1" customFormat="1" ht="15">
      <c r="B8" s="9"/>
      <c r="C8" s="10" t="s">
        <v>24</v>
      </c>
      <c r="D8" s="113">
        <v>-30000</v>
      </c>
      <c r="E8" s="115"/>
      <c r="F8" s="115">
        <v>-12000</v>
      </c>
      <c r="G8" s="11"/>
    </row>
    <row r="9" spans="2:8" s="1" customFormat="1" ht="15">
      <c r="B9" s="9"/>
      <c r="C9" s="10" t="s">
        <v>15</v>
      </c>
      <c r="D9" s="116">
        <v>18000</v>
      </c>
      <c r="E9" s="115"/>
      <c r="F9" s="115">
        <v>7500</v>
      </c>
      <c r="G9" s="11"/>
      <c r="H9" s="23"/>
    </row>
    <row r="10" spans="2:8" s="1" customFormat="1" ht="15">
      <c r="B10" s="9"/>
      <c r="C10" s="10" t="s">
        <v>16</v>
      </c>
      <c r="D10" s="116">
        <v>18000</v>
      </c>
      <c r="E10" s="115"/>
      <c r="F10" s="115">
        <v>7500</v>
      </c>
      <c r="G10" s="11"/>
      <c r="H10" s="23"/>
    </row>
    <row r="11" spans="2:8" s="1" customFormat="1" ht="15">
      <c r="B11" s="9"/>
      <c r="C11" s="10" t="s">
        <v>17</v>
      </c>
      <c r="D11" s="116">
        <v>18000</v>
      </c>
      <c r="E11" s="115"/>
      <c r="F11" s="115">
        <v>7500</v>
      </c>
      <c r="G11" s="11"/>
      <c r="H11" s="23"/>
    </row>
    <row r="12" spans="2:8" s="1" customFormat="1" ht="15">
      <c r="B12" s="9"/>
      <c r="C12" s="10"/>
      <c r="D12" s="127"/>
      <c r="E12" s="126"/>
      <c r="F12" s="126"/>
      <c r="G12" s="11"/>
      <c r="H12" s="23"/>
    </row>
    <row r="13" spans="2:8" s="1" customFormat="1" ht="15">
      <c r="B13" s="9"/>
      <c r="C13" s="10" t="s">
        <v>36</v>
      </c>
      <c r="D13" s="128"/>
      <c r="E13" s="126"/>
      <c r="F13" s="129">
        <v>0.1</v>
      </c>
      <c r="G13" s="11"/>
      <c r="H13" s="23"/>
    </row>
    <row r="14" spans="2:8" s="1" customFormat="1" ht="15.75" thickBot="1">
      <c r="B14" s="12"/>
      <c r="C14" s="38"/>
      <c r="D14" s="45"/>
      <c r="E14" s="38"/>
      <c r="F14" s="38"/>
      <c r="G14" s="13"/>
      <c r="H14" s="23"/>
    </row>
    <row r="15" spans="2:8" ht="15">
      <c r="B15" s="25"/>
      <c r="C15" s="26"/>
      <c r="D15" s="26"/>
      <c r="E15" s="25"/>
    </row>
    <row r="16" spans="2:8" ht="15">
      <c r="B16" s="25"/>
      <c r="C16" s="27" t="s">
        <v>1</v>
      </c>
      <c r="D16" s="26"/>
      <c r="E16" s="25"/>
    </row>
    <row r="17" spans="2:7" ht="15.75" thickBot="1">
      <c r="B17" s="25"/>
      <c r="C17" s="26"/>
      <c r="D17" s="26"/>
      <c r="E17" s="25"/>
    </row>
    <row r="18" spans="2:7" ht="15">
      <c r="B18" s="14"/>
      <c r="C18" s="28"/>
      <c r="D18" s="28"/>
      <c r="E18" s="47"/>
      <c r="F18" s="48"/>
      <c r="G18" s="49"/>
    </row>
    <row r="19" spans="2:7" ht="15.75">
      <c r="B19" s="16"/>
      <c r="C19" s="18" t="s">
        <v>48</v>
      </c>
      <c r="D19" s="64"/>
      <c r="E19" s="18"/>
      <c r="F19" s="73">
        <f>NPV(F13,D9:D11)/-D8</f>
        <v>1.4921111945905332</v>
      </c>
      <c r="G19" s="51"/>
    </row>
    <row r="20" spans="2:7" ht="15.75">
      <c r="B20" s="16"/>
      <c r="C20" s="18" t="s">
        <v>49</v>
      </c>
      <c r="D20" s="64"/>
      <c r="E20" s="18"/>
      <c r="F20" s="73">
        <f>NPV(F13,F9:F11)/-F8</f>
        <v>1.5542824943651388</v>
      </c>
      <c r="G20" s="51"/>
    </row>
    <row r="21" spans="2:7" ht="15.75">
      <c r="B21" s="16"/>
      <c r="C21" s="18" t="s">
        <v>94</v>
      </c>
      <c r="D21" s="64"/>
      <c r="E21" s="18"/>
      <c r="F21" s="75" t="str">
        <f>IF(F19&gt;F20,"Project I","Project II")</f>
        <v>Project II</v>
      </c>
      <c r="G21" s="51"/>
    </row>
    <row r="22" spans="2:7" ht="15">
      <c r="B22" s="16"/>
      <c r="C22" s="18"/>
      <c r="D22" s="64"/>
      <c r="E22" s="18"/>
      <c r="F22" s="18"/>
      <c r="G22" s="51"/>
    </row>
    <row r="23" spans="2:7" ht="15">
      <c r="B23" s="16"/>
      <c r="C23" s="18"/>
      <c r="D23" s="64"/>
      <c r="E23" s="18"/>
      <c r="F23" s="18"/>
      <c r="G23" s="51"/>
    </row>
    <row r="24" spans="2:7" ht="15.75">
      <c r="B24" s="16"/>
      <c r="C24" s="18" t="s">
        <v>50</v>
      </c>
      <c r="D24" s="64"/>
      <c r="E24" s="18"/>
      <c r="F24" s="111">
        <f>D8+NPV(F13,D9:D11)</f>
        <v>14763.335837715997</v>
      </c>
      <c r="G24" s="51"/>
    </row>
    <row r="25" spans="2:7" ht="15.75">
      <c r="B25" s="16"/>
      <c r="C25" s="18" t="s">
        <v>51</v>
      </c>
      <c r="D25" s="64"/>
      <c r="E25" s="18"/>
      <c r="F25" s="111">
        <f>F8+NPV(F13,F9:F11)</f>
        <v>6651.3899323816659</v>
      </c>
      <c r="G25" s="51"/>
    </row>
    <row r="26" spans="2:7" ht="15.75">
      <c r="B26" s="16"/>
      <c r="C26" s="18" t="s">
        <v>95</v>
      </c>
      <c r="D26" s="64"/>
      <c r="E26" s="18"/>
      <c r="F26" s="75" t="str">
        <f>IF(F24&gt;F25,"Project I","Project II")</f>
        <v>Project I</v>
      </c>
      <c r="G26" s="51"/>
    </row>
    <row r="27" spans="2:7" ht="15">
      <c r="B27" s="16"/>
      <c r="C27" s="18"/>
      <c r="D27" s="64"/>
      <c r="E27" s="18"/>
      <c r="F27" s="18"/>
      <c r="G27" s="51"/>
    </row>
    <row r="28" spans="2:7" ht="15">
      <c r="B28" s="16"/>
      <c r="C28" s="18" t="s">
        <v>52</v>
      </c>
      <c r="D28" s="64"/>
      <c r="E28" s="18"/>
      <c r="F28" s="18"/>
      <c r="G28" s="51"/>
    </row>
    <row r="29" spans="2:7" ht="15">
      <c r="B29" s="16"/>
      <c r="C29" s="18" t="s">
        <v>53</v>
      </c>
      <c r="D29" s="64"/>
      <c r="E29" s="18"/>
      <c r="F29" s="18"/>
      <c r="G29" s="51"/>
    </row>
    <row r="30" spans="2:7" ht="15">
      <c r="B30" s="16"/>
      <c r="C30" s="18" t="s">
        <v>93</v>
      </c>
      <c r="D30" s="64"/>
      <c r="E30" s="18"/>
      <c r="F30" s="18"/>
      <c r="G30" s="51"/>
    </row>
    <row r="31" spans="2:7" s="1" customFormat="1" ht="15.75" customHeight="1" thickBot="1">
      <c r="B31" s="19"/>
      <c r="C31" s="20"/>
      <c r="D31" s="20"/>
      <c r="E31" s="20"/>
      <c r="F31" s="20"/>
      <c r="G31" s="21"/>
    </row>
    <row r="32" spans="2:7" ht="15.75" customHeight="1">
      <c r="B32" s="4"/>
      <c r="C32" s="4"/>
      <c r="D32" s="4"/>
      <c r="E32" s="4"/>
    </row>
    <row r="33" spans="2:5" ht="15.75" customHeight="1">
      <c r="B33" s="4"/>
      <c r="C33" s="4"/>
      <c r="D33" s="4"/>
      <c r="E33" s="4"/>
    </row>
    <row r="34" spans="2:5" ht="15.75" customHeight="1">
      <c r="B34" s="1"/>
      <c r="C34" s="1"/>
      <c r="D34" s="1"/>
      <c r="E34" s="1"/>
    </row>
    <row r="35" spans="2:5" ht="15.75" customHeight="1">
      <c r="B35" s="1"/>
      <c r="C35" s="1"/>
      <c r="D35" s="1"/>
      <c r="E35" s="1"/>
    </row>
    <row r="36" spans="2:5" ht="15.75" customHeight="1"/>
    <row r="37" spans="2:5" ht="15.75" customHeight="1"/>
    <row r="38" spans="2:5" ht="15.75" customHeight="1"/>
    <row r="39" spans="2:5" ht="15.75" customHeight="1"/>
    <row r="40" spans="2:5" ht="15.75" customHeight="1"/>
    <row r="41" spans="2:5" ht="15.75" customHeight="1"/>
    <row r="42" spans="2:5" ht="15.75" customHeight="1"/>
    <row r="43" spans="2:5" ht="15.75" customHeight="1"/>
    <row r="44" spans="2:5" ht="15.75" customHeight="1"/>
    <row r="45" spans="2:5" ht="15.75" customHeight="1"/>
    <row r="46" spans="2:5" ht="15.75" customHeight="1"/>
    <row r="47" spans="2:5" ht="15.75" customHeight="1"/>
    <row r="48" spans="2: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12111111211111111111"/>
  <dimension ref="B1:H33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4" width="18.140625" bestFit="1" customWidth="1"/>
    <col min="5" max="5" width="3.140625" customWidth="1"/>
    <col min="6" max="6" width="15.140625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">
      <c r="C2" s="1" t="s">
        <v>38</v>
      </c>
    </row>
    <row r="3" spans="2:8" s="1" customFormat="1" ht="15"/>
    <row r="4" spans="2:8" s="1" customFormat="1" ht="15">
      <c r="C4" s="2" t="s">
        <v>0</v>
      </c>
    </row>
    <row r="5" spans="2:8" s="1" customFormat="1" ht="15.75" thickBot="1">
      <c r="C5" s="3"/>
      <c r="D5" s="4"/>
    </row>
    <row r="6" spans="2:8" s="1" customFormat="1" ht="15">
      <c r="B6" s="5"/>
      <c r="C6" s="6"/>
      <c r="D6" s="7"/>
      <c r="E6" s="8"/>
      <c r="F6" s="25"/>
      <c r="G6" s="25"/>
    </row>
    <row r="7" spans="2:8" s="1" customFormat="1" ht="15">
      <c r="B7" s="9"/>
      <c r="C7" s="37" t="s">
        <v>27</v>
      </c>
      <c r="D7" s="44"/>
      <c r="E7" s="11"/>
      <c r="F7" s="56"/>
      <c r="G7" s="25"/>
    </row>
    <row r="8" spans="2:8" s="1" customFormat="1" ht="15">
      <c r="B8" s="9"/>
      <c r="C8" s="10" t="s">
        <v>24</v>
      </c>
      <c r="D8" s="121">
        <v>-85000000</v>
      </c>
      <c r="E8" s="11"/>
      <c r="F8" s="57"/>
      <c r="G8" s="25"/>
    </row>
    <row r="9" spans="2:8" s="1" customFormat="1" ht="15">
      <c r="B9" s="9"/>
      <c r="C9" s="10" t="s">
        <v>15</v>
      </c>
      <c r="D9" s="122">
        <v>125000000</v>
      </c>
      <c r="E9" s="11"/>
      <c r="F9" s="57"/>
      <c r="G9" s="25"/>
      <c r="H9" s="23"/>
    </row>
    <row r="10" spans="2:8" s="1" customFormat="1" ht="15">
      <c r="B10" s="9"/>
      <c r="C10" s="10" t="s">
        <v>16</v>
      </c>
      <c r="D10" s="122">
        <v>-15000000</v>
      </c>
      <c r="E10" s="11"/>
      <c r="F10" s="57"/>
      <c r="G10" s="25"/>
      <c r="H10" s="23"/>
    </row>
    <row r="11" spans="2:8" s="1" customFormat="1" ht="15">
      <c r="B11" s="9"/>
      <c r="C11" s="10"/>
      <c r="D11" s="95"/>
      <c r="E11" s="11"/>
      <c r="F11" s="25"/>
      <c r="G11" s="25"/>
      <c r="H11" s="23"/>
    </row>
    <row r="12" spans="2:8" s="1" customFormat="1" ht="15">
      <c r="B12" s="9"/>
      <c r="C12" s="10" t="s">
        <v>36</v>
      </c>
      <c r="D12" s="112">
        <v>0.1</v>
      </c>
      <c r="E12" s="11"/>
      <c r="F12" s="58"/>
      <c r="G12" s="25"/>
      <c r="H12" s="23"/>
    </row>
    <row r="13" spans="2:8" s="1" customFormat="1" ht="15.75" thickBot="1">
      <c r="B13" s="12"/>
      <c r="C13" s="38"/>
      <c r="D13" s="45"/>
      <c r="E13" s="13"/>
      <c r="F13" s="25"/>
      <c r="G13" s="25"/>
      <c r="H13" s="23"/>
    </row>
    <row r="14" spans="2:8" ht="15">
      <c r="B14" s="25"/>
      <c r="C14" s="26"/>
      <c r="D14" s="26"/>
      <c r="E14" s="25"/>
    </row>
    <row r="15" spans="2:8" ht="15">
      <c r="B15" s="25"/>
      <c r="C15" s="27" t="s">
        <v>1</v>
      </c>
      <c r="D15" s="26"/>
      <c r="E15" s="25"/>
    </row>
    <row r="16" spans="2:8" ht="15.75" thickBot="1">
      <c r="B16" s="25"/>
      <c r="C16" s="26"/>
      <c r="D16" s="26"/>
      <c r="E16" s="25"/>
    </row>
    <row r="17" spans="2:7" ht="15">
      <c r="B17" s="14"/>
      <c r="C17" s="28"/>
      <c r="D17" s="28"/>
      <c r="E17" s="15"/>
      <c r="F17" s="59"/>
      <c r="G17" s="59"/>
    </row>
    <row r="18" spans="2:7" ht="15.75">
      <c r="B18" s="16"/>
      <c r="C18" s="18" t="s">
        <v>40</v>
      </c>
      <c r="D18" s="71">
        <f>D8+(D9/(1+D12))+(D10/(POWER(1+D12,2)))</f>
        <v>16239669.421487594</v>
      </c>
      <c r="E18" s="17"/>
      <c r="F18" s="59"/>
      <c r="G18" s="59"/>
    </row>
    <row r="19" spans="2:7" ht="15.75">
      <c r="B19" s="16"/>
      <c r="C19" s="18" t="s">
        <v>92</v>
      </c>
      <c r="D19" s="76" t="str">
        <f>IF(D18&gt;0,"Accept","Reject")</f>
        <v>Accept</v>
      </c>
      <c r="E19" s="17"/>
      <c r="F19" s="59"/>
      <c r="G19" s="59"/>
    </row>
    <row r="20" spans="2:7" ht="15">
      <c r="B20" s="16"/>
      <c r="C20" s="18"/>
      <c r="D20" s="42"/>
      <c r="E20" s="17"/>
      <c r="F20" s="59"/>
      <c r="G20" s="59"/>
    </row>
    <row r="21" spans="2:7" ht="15.75">
      <c r="B21" s="16"/>
      <c r="C21" s="18" t="s">
        <v>28</v>
      </c>
      <c r="D21" s="70">
        <f>IRR(D8:D10,0.99)</f>
        <v>0.33877307437303505</v>
      </c>
      <c r="E21" s="17"/>
      <c r="F21" s="59"/>
      <c r="G21" s="59"/>
    </row>
    <row r="22" spans="2:7" ht="15.75">
      <c r="B22" s="16"/>
      <c r="C22" s="18"/>
      <c r="D22" s="70">
        <f>IRR(D8:D10,-0.99)</f>
        <v>-0.86818483907891741</v>
      </c>
      <c r="E22" s="17"/>
      <c r="F22" s="59"/>
      <c r="G22" s="59"/>
    </row>
    <row r="23" spans="2:7" ht="15">
      <c r="B23" s="16"/>
      <c r="C23" s="18" t="s">
        <v>41</v>
      </c>
      <c r="D23" s="42"/>
      <c r="E23" s="17"/>
      <c r="F23" s="25"/>
      <c r="G23" s="59"/>
    </row>
    <row r="24" spans="2:7" ht="15">
      <c r="B24" s="16"/>
      <c r="C24" s="18" t="s">
        <v>243</v>
      </c>
      <c r="D24" s="53"/>
      <c r="E24" s="17"/>
      <c r="F24" s="56"/>
      <c r="G24" s="59"/>
    </row>
    <row r="25" spans="2:7" ht="15">
      <c r="B25" s="16"/>
      <c r="C25" s="62" t="str">
        <f>"if the correct IRR = "&amp;ROUND(D21*100,2)&amp;"%, then we"</f>
        <v>if the correct IRR = 33.88%, then we</v>
      </c>
      <c r="D25" s="55"/>
      <c r="E25" s="61"/>
      <c r="F25" s="60"/>
      <c r="G25" s="59"/>
    </row>
    <row r="26" spans="2:7" ht="15">
      <c r="B26" s="16"/>
      <c r="C26" s="62" t="s">
        <v>42</v>
      </c>
      <c r="D26" s="63"/>
      <c r="E26" s="61"/>
      <c r="F26" s="60"/>
      <c r="G26" s="59"/>
    </row>
    <row r="27" spans="2:7" ht="15">
      <c r="B27" s="16"/>
      <c r="C27" s="62" t="str">
        <f>"correct IRR is "&amp;ROUND(D22*100,2)&amp;"%, we would reject"</f>
        <v>correct IRR is -86.82%, we would reject</v>
      </c>
      <c r="D27" s="63"/>
      <c r="E27" s="61"/>
      <c r="F27" s="60"/>
      <c r="G27" s="59"/>
    </row>
    <row r="28" spans="2:7" ht="15">
      <c r="B28" s="16"/>
      <c r="C28" s="62" t="s">
        <v>43</v>
      </c>
      <c r="D28" s="63"/>
      <c r="E28" s="61"/>
      <c r="F28" s="60"/>
      <c r="G28" s="59"/>
    </row>
    <row r="29" spans="2:7" s="1" customFormat="1" ht="15.75" thickBot="1">
      <c r="B29" s="19"/>
      <c r="C29" s="20"/>
      <c r="D29" s="20"/>
      <c r="E29" s="21"/>
      <c r="F29" s="25"/>
      <c r="G29" s="25"/>
    </row>
    <row r="30" spans="2:7" ht="15">
      <c r="B30" s="4"/>
      <c r="C30" s="4"/>
      <c r="D30" s="4"/>
      <c r="E30" s="4"/>
    </row>
    <row r="31" spans="2:7" ht="15">
      <c r="B31" s="4"/>
      <c r="C31" s="4"/>
      <c r="D31" s="4"/>
      <c r="E31" s="4"/>
    </row>
    <row r="32" spans="2:7" ht="15">
      <c r="B32" s="1"/>
      <c r="C32" s="1"/>
      <c r="D32" s="1"/>
      <c r="E32" s="1"/>
    </row>
    <row r="33" spans="2:5" ht="15">
      <c r="B33" s="1"/>
      <c r="C33" s="1"/>
      <c r="D33" s="1"/>
      <c r="E33" s="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2111111211111111111111"/>
  <dimension ref="B1:H753"/>
  <sheetViews>
    <sheetView workbookViewId="0"/>
  </sheetViews>
  <sheetFormatPr defaultRowHeight="12.75"/>
  <cols>
    <col min="2" max="2" width="3.140625" customWidth="1"/>
    <col min="3" max="3" width="26.140625" bestFit="1" customWidth="1"/>
    <col min="4" max="4" width="16.28515625" bestFit="1" customWidth="1"/>
    <col min="5" max="5" width="3.140625" customWidth="1"/>
    <col min="6" max="6" width="15.140625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39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7"/>
      <c r="F6" s="7"/>
      <c r="G6" s="8"/>
    </row>
    <row r="7" spans="2:8" s="1" customFormat="1" ht="15.75" customHeight="1">
      <c r="B7" s="9"/>
      <c r="C7" s="37" t="s">
        <v>27</v>
      </c>
      <c r="D7" s="44" t="s">
        <v>144</v>
      </c>
      <c r="E7" s="10"/>
      <c r="F7" s="46" t="s">
        <v>145</v>
      </c>
      <c r="G7" s="11"/>
    </row>
    <row r="8" spans="2:8" s="1" customFormat="1" ht="15.75" customHeight="1">
      <c r="B8" s="9"/>
      <c r="C8" s="10" t="s">
        <v>24</v>
      </c>
      <c r="D8" s="130">
        <v>-750</v>
      </c>
      <c r="E8" s="131"/>
      <c r="F8" s="131">
        <v>-1800</v>
      </c>
      <c r="G8" s="11"/>
    </row>
    <row r="9" spans="2:8" s="1" customFormat="1" ht="15.75" customHeight="1">
      <c r="B9" s="9"/>
      <c r="C9" s="10" t="s">
        <v>15</v>
      </c>
      <c r="D9" s="132">
        <v>600</v>
      </c>
      <c r="E9" s="131"/>
      <c r="F9" s="131">
        <v>1300</v>
      </c>
      <c r="G9" s="11"/>
      <c r="H9" s="23"/>
    </row>
    <row r="10" spans="2:8" s="1" customFormat="1" ht="15.75" customHeight="1">
      <c r="B10" s="9"/>
      <c r="C10" s="10" t="s">
        <v>16</v>
      </c>
      <c r="D10" s="132">
        <v>450</v>
      </c>
      <c r="E10" s="131"/>
      <c r="F10" s="131">
        <v>850</v>
      </c>
      <c r="G10" s="11"/>
      <c r="H10" s="23"/>
    </row>
    <row r="11" spans="2:8" s="1" customFormat="1" ht="15.75" customHeight="1">
      <c r="B11" s="9"/>
      <c r="C11" s="10" t="s">
        <v>17</v>
      </c>
      <c r="D11" s="132">
        <v>120</v>
      </c>
      <c r="E11" s="131"/>
      <c r="F11" s="131">
        <v>350</v>
      </c>
      <c r="G11" s="11"/>
      <c r="H11" s="23"/>
    </row>
    <row r="12" spans="2:8" s="1" customFormat="1" ht="15.75" customHeight="1">
      <c r="B12" s="9"/>
      <c r="C12" s="10"/>
      <c r="D12" s="95"/>
      <c r="E12" s="117"/>
      <c r="F12" s="117"/>
      <c r="G12" s="11"/>
      <c r="H12" s="23"/>
    </row>
    <row r="13" spans="2:8" s="1" customFormat="1" ht="15.75" customHeight="1">
      <c r="B13" s="9"/>
      <c r="C13" s="10" t="s">
        <v>36</v>
      </c>
      <c r="D13" s="112"/>
      <c r="E13" s="117"/>
      <c r="F13" s="118">
        <v>0.1</v>
      </c>
      <c r="G13" s="11"/>
      <c r="H13" s="23"/>
    </row>
    <row r="14" spans="2:8" s="1" customFormat="1" ht="15.75" customHeight="1" thickBot="1">
      <c r="B14" s="12"/>
      <c r="C14" s="38"/>
      <c r="D14" s="45"/>
      <c r="E14" s="38"/>
      <c r="F14" s="38"/>
      <c r="G14" s="13"/>
      <c r="H14" s="23"/>
    </row>
    <row r="15" spans="2:8" ht="15.75" customHeight="1">
      <c r="B15" s="25"/>
      <c r="C15" s="26"/>
      <c r="D15" s="26"/>
      <c r="E15" s="25"/>
    </row>
    <row r="16" spans="2:8" ht="15.75" customHeight="1">
      <c r="B16" s="25"/>
      <c r="C16" s="27" t="s">
        <v>1</v>
      </c>
      <c r="D16" s="26"/>
      <c r="E16" s="25"/>
    </row>
    <row r="17" spans="2:7" ht="15.75" customHeight="1" thickBot="1">
      <c r="B17" s="25"/>
      <c r="C17" s="26"/>
      <c r="D17" s="26"/>
      <c r="E17" s="25"/>
    </row>
    <row r="18" spans="2:7" ht="15.75" customHeight="1">
      <c r="B18" s="14"/>
      <c r="C18" s="28"/>
      <c r="D18" s="28"/>
      <c r="E18" s="47"/>
      <c r="F18" s="48"/>
      <c r="G18" s="49"/>
    </row>
    <row r="19" spans="2:7" ht="15.75" customHeight="1">
      <c r="B19" s="133" t="s">
        <v>98</v>
      </c>
      <c r="C19" s="18" t="s">
        <v>146</v>
      </c>
      <c r="D19" s="64"/>
      <c r="E19" s="18"/>
      <c r="F19" s="74">
        <f>IF(-D8&gt;SUM(D9:D11),"Never",IF(-D8&gt;SUM(D9:D11),(3+(-D8-D9-D10-D11)/#REF!),IF(-D8&gt;(D9+D10),(2+(-D8-D9-D10)/D11),IF(-D8&gt;D9,(1+(-D8-D9)/D10),IF(-D8&lt;D9,(-D8/D9))))))</f>
        <v>1.3333333333333333</v>
      </c>
      <c r="G19" s="51"/>
    </row>
    <row r="20" spans="2:7" ht="15.75" customHeight="1">
      <c r="B20" s="16"/>
      <c r="C20" s="18" t="s">
        <v>147</v>
      </c>
      <c r="D20" s="64"/>
      <c r="E20" s="18"/>
      <c r="F20" s="74">
        <f>IF(-F8&gt;SUM(F9:F11),"Never",IF(-F8&gt;SUM(F9:F11),(3+(-F8-F9-F10-F11)/#REF!),IF(-F8&gt;(F9+F10),(2+(-F8-F9-F10)/F11),IF(-F8&gt;F9,(1+(-F8-F9)/F10),IF(-F8&lt;F9,(-F8/F9))))))</f>
        <v>1.5882352941176472</v>
      </c>
      <c r="G20" s="51"/>
    </row>
    <row r="21" spans="2:7" ht="15.75" customHeight="1">
      <c r="B21" s="16"/>
      <c r="C21" s="18" t="s">
        <v>97</v>
      </c>
      <c r="D21" s="64"/>
      <c r="E21" s="18"/>
      <c r="F21" s="75" t="str">
        <f>IF(F19&lt;F20,"Board game","CD-ROM")</f>
        <v>Board game</v>
      </c>
      <c r="G21" s="51"/>
    </row>
    <row r="22" spans="2:7" ht="15.75" customHeight="1">
      <c r="B22" s="16"/>
      <c r="C22" s="18" t="s">
        <v>96</v>
      </c>
      <c r="D22" s="64"/>
      <c r="E22" s="18"/>
      <c r="F22" s="18"/>
      <c r="G22" s="51"/>
    </row>
    <row r="23" spans="2:7" ht="15.75" customHeight="1">
      <c r="B23" s="16"/>
      <c r="C23" s="18"/>
      <c r="D23" s="64"/>
      <c r="E23" s="18"/>
      <c r="F23" s="18"/>
      <c r="G23" s="51"/>
    </row>
    <row r="24" spans="2:7" ht="15.75" customHeight="1">
      <c r="B24" s="133" t="s">
        <v>99</v>
      </c>
      <c r="C24" s="18" t="s">
        <v>148</v>
      </c>
      <c r="D24" s="64"/>
      <c r="E24" s="18"/>
      <c r="F24" s="134">
        <f>D8+NPV(F13,D9:D11)</f>
        <v>257.51314800901548</v>
      </c>
      <c r="G24" s="51"/>
    </row>
    <row r="25" spans="2:7" ht="15.75" customHeight="1">
      <c r="B25" s="16"/>
      <c r="C25" s="18" t="s">
        <v>150</v>
      </c>
      <c r="D25" s="64"/>
      <c r="E25" s="18"/>
      <c r="F25" s="134">
        <f>F8+NPV(F13,F9:F11)</f>
        <v>347.25770097670875</v>
      </c>
      <c r="G25" s="51"/>
    </row>
    <row r="26" spans="2:7" ht="15.75" customHeight="1">
      <c r="B26" s="16"/>
      <c r="C26" s="18" t="s">
        <v>102</v>
      </c>
      <c r="D26" s="64"/>
      <c r="E26" s="18"/>
      <c r="F26" s="75" t="str">
        <f>IF(F24&gt;F25,"Board game","CD-ROM")</f>
        <v>CD-ROM</v>
      </c>
      <c r="G26" s="51"/>
    </row>
    <row r="27" spans="2:7" ht="15.75" customHeight="1">
      <c r="B27" s="16"/>
      <c r="C27" s="18" t="s">
        <v>101</v>
      </c>
      <c r="D27" s="64"/>
      <c r="E27" s="18"/>
      <c r="F27" s="54"/>
      <c r="G27" s="51"/>
    </row>
    <row r="28" spans="2:7" ht="15.75" customHeight="1">
      <c r="B28" s="16"/>
      <c r="C28" s="18"/>
      <c r="D28" s="64"/>
      <c r="E28" s="18"/>
      <c r="F28" s="54"/>
      <c r="G28" s="51"/>
    </row>
    <row r="29" spans="2:7" ht="15.75" customHeight="1">
      <c r="B29" s="133" t="s">
        <v>100</v>
      </c>
      <c r="C29" s="18" t="s">
        <v>149</v>
      </c>
      <c r="D29" s="64"/>
      <c r="E29" s="18"/>
      <c r="F29" s="77">
        <f>IRR(D8:D11,0.01)</f>
        <v>0.33786641124009248</v>
      </c>
      <c r="G29" s="51"/>
    </row>
    <row r="30" spans="2:7" ht="15.75" customHeight="1">
      <c r="B30" s="16"/>
      <c r="C30" s="18" t="s">
        <v>151</v>
      </c>
      <c r="D30" s="64"/>
      <c r="E30" s="18"/>
      <c r="F30" s="77">
        <f>IRR(F8:F11,0.01)</f>
        <v>0.23307132479905651</v>
      </c>
      <c r="G30" s="51"/>
    </row>
    <row r="31" spans="2:7" ht="15.75" customHeight="1">
      <c r="B31" s="16"/>
      <c r="C31" s="18" t="s">
        <v>105</v>
      </c>
      <c r="D31" s="64"/>
      <c r="E31" s="18"/>
      <c r="F31" s="75" t="str">
        <f>IF(F29&gt;F30,"Board game","CD-ROM")</f>
        <v>Board game</v>
      </c>
      <c r="G31" s="51"/>
    </row>
    <row r="32" spans="2:7" ht="15.75" customHeight="1">
      <c r="B32" s="16"/>
      <c r="C32" s="18" t="s">
        <v>104</v>
      </c>
      <c r="D32" s="64"/>
      <c r="E32" s="18"/>
      <c r="F32" s="18"/>
      <c r="G32" s="51"/>
    </row>
    <row r="33" spans="2:7" ht="15.75" customHeight="1">
      <c r="B33" s="16"/>
      <c r="C33" s="18"/>
      <c r="D33" s="64"/>
      <c r="E33" s="18"/>
      <c r="F33" s="18"/>
      <c r="G33" s="51"/>
    </row>
    <row r="34" spans="2:7" ht="15.75" customHeight="1">
      <c r="B34" s="133" t="s">
        <v>103</v>
      </c>
      <c r="C34" s="54" t="s">
        <v>2</v>
      </c>
      <c r="D34" s="64" t="s">
        <v>138</v>
      </c>
      <c r="E34" s="18"/>
      <c r="F34" s="154"/>
      <c r="G34" s="51"/>
    </row>
    <row r="35" spans="2:7" ht="15.75" customHeight="1">
      <c r="B35" s="16"/>
      <c r="C35" s="54">
        <v>0</v>
      </c>
      <c r="D35" s="102">
        <f>IF($F$8&lt;$D$8,F8-D8,D8-F8)</f>
        <v>-1050</v>
      </c>
      <c r="E35" s="18"/>
      <c r="F35" s="154"/>
      <c r="G35" s="51"/>
    </row>
    <row r="36" spans="2:7" ht="15.75" customHeight="1">
      <c r="B36" s="16"/>
      <c r="C36" s="54">
        <v>1</v>
      </c>
      <c r="D36" s="102">
        <f>IF($F$8&lt;$D$8,F9-D9,D9-F9)</f>
        <v>700</v>
      </c>
      <c r="E36" s="18"/>
      <c r="F36" s="105"/>
      <c r="G36" s="51"/>
    </row>
    <row r="37" spans="2:7" ht="15.75" customHeight="1">
      <c r="B37" s="16"/>
      <c r="C37" s="54">
        <v>2</v>
      </c>
      <c r="D37" s="102">
        <f>IF($F$8&lt;$D$8,F10-D10,D10-F10)</f>
        <v>400</v>
      </c>
      <c r="E37" s="18"/>
      <c r="F37" s="18"/>
      <c r="G37" s="51"/>
    </row>
    <row r="38" spans="2:7" ht="15.75" customHeight="1">
      <c r="B38" s="16"/>
      <c r="C38" s="54">
        <v>3</v>
      </c>
      <c r="D38" s="102">
        <f>IF($F$8&lt;$D$8,F11-D11,D11-F11)</f>
        <v>230</v>
      </c>
      <c r="E38" s="18"/>
      <c r="F38" s="18"/>
      <c r="G38" s="51"/>
    </row>
    <row r="39" spans="2:7" ht="15.75" customHeight="1">
      <c r="B39" s="133"/>
      <c r="C39" s="18"/>
      <c r="D39" s="64"/>
      <c r="E39" s="18"/>
      <c r="F39" s="18"/>
      <c r="G39" s="51"/>
    </row>
    <row r="40" spans="2:7" ht="15.75" customHeight="1">
      <c r="B40" s="16"/>
      <c r="C40" s="18" t="s">
        <v>139</v>
      </c>
      <c r="D40" s="40">
        <f>IRR(D35:D38)</f>
        <v>0.15863349645121655</v>
      </c>
      <c r="E40" s="18"/>
      <c r="F40" s="105"/>
      <c r="G40" s="51"/>
    </row>
    <row r="41" spans="2:7" ht="15.75" customHeight="1">
      <c r="B41" s="16"/>
      <c r="C41" s="18"/>
      <c r="D41" s="41"/>
      <c r="E41" s="18"/>
      <c r="F41" s="105"/>
      <c r="G41" s="51"/>
    </row>
    <row r="42" spans="2:7" ht="15.75" customHeight="1">
      <c r="B42" s="16"/>
      <c r="C42" s="142" t="str">
        <f>IF(D40&gt;F13,"Accept the larger project.","Accept the smaller project.")</f>
        <v>Accept the larger project.</v>
      </c>
      <c r="D42" s="41"/>
      <c r="E42" s="18"/>
      <c r="F42" s="105"/>
      <c r="G42" s="51"/>
    </row>
    <row r="43" spans="2:7" s="1" customFormat="1" ht="15.75" customHeight="1" thickBot="1">
      <c r="B43" s="19"/>
      <c r="C43" s="20"/>
      <c r="D43" s="20"/>
      <c r="E43" s="20"/>
      <c r="F43" s="20"/>
      <c r="G43" s="21"/>
    </row>
    <row r="44" spans="2:7" ht="15.75" customHeight="1">
      <c r="B44" s="4"/>
      <c r="C44" s="4"/>
      <c r="D44" s="4"/>
      <c r="E44" s="4"/>
    </row>
    <row r="45" spans="2:7" ht="15.75" customHeight="1">
      <c r="B45" s="4"/>
      <c r="C45" s="4"/>
      <c r="D45" s="4"/>
      <c r="E45" s="4"/>
    </row>
    <row r="46" spans="2:7" ht="15.75" customHeight="1">
      <c r="B46" s="1"/>
      <c r="C46" s="1"/>
      <c r="D46" s="1"/>
      <c r="E46" s="1"/>
    </row>
    <row r="47" spans="2:7" ht="15.75" customHeight="1">
      <c r="B47" s="1"/>
      <c r="C47" s="1"/>
      <c r="D47" s="1"/>
      <c r="E47" s="1"/>
    </row>
    <row r="48" spans="2: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B1:I739"/>
  <sheetViews>
    <sheetView zoomScaleNormal="100" workbookViewId="0"/>
  </sheetViews>
  <sheetFormatPr defaultRowHeight="12.75"/>
  <cols>
    <col min="2" max="2" width="3.140625" customWidth="1"/>
    <col min="3" max="3" width="26.140625" bestFit="1" customWidth="1"/>
    <col min="4" max="4" width="22.28515625" bestFit="1" customWidth="1"/>
    <col min="5" max="5" width="3.140625" customWidth="1"/>
    <col min="6" max="6" width="22.28515625" bestFit="1" customWidth="1"/>
    <col min="7" max="7" width="3.140625" customWidth="1"/>
    <col min="8" max="8" width="19" customWidth="1"/>
    <col min="9" max="9" width="3.140625" customWidth="1"/>
  </cols>
  <sheetData>
    <row r="1" spans="2:9" s="1" customFormat="1" ht="18">
      <c r="C1" s="140" t="s">
        <v>242</v>
      </c>
    </row>
    <row r="2" spans="2:9" s="1" customFormat="1" ht="15.75" customHeight="1">
      <c r="C2" s="1" t="s">
        <v>44</v>
      </c>
    </row>
    <row r="3" spans="2:9" s="1" customFormat="1" ht="15.75" customHeight="1"/>
    <row r="4" spans="2:9" s="1" customFormat="1" ht="15.75" customHeight="1">
      <c r="C4" s="2" t="s">
        <v>0</v>
      </c>
    </row>
    <row r="5" spans="2:9" s="1" customFormat="1" ht="15.75" customHeight="1" thickBot="1">
      <c r="C5" s="3"/>
      <c r="D5" s="4"/>
    </row>
    <row r="6" spans="2:9" s="1" customFormat="1" ht="15.75" customHeight="1">
      <c r="B6" s="5"/>
      <c r="C6" s="6"/>
      <c r="D6" s="7"/>
      <c r="E6" s="7"/>
      <c r="F6" s="7"/>
      <c r="G6" s="7"/>
      <c r="H6" s="7"/>
      <c r="I6" s="8"/>
    </row>
    <row r="7" spans="2:9" s="1" customFormat="1" ht="15.75" customHeight="1">
      <c r="B7" s="9"/>
      <c r="C7" s="37" t="s">
        <v>27</v>
      </c>
      <c r="D7" s="44" t="s">
        <v>157</v>
      </c>
      <c r="E7" s="10"/>
      <c r="F7" s="46" t="s">
        <v>158</v>
      </c>
      <c r="G7" s="10"/>
      <c r="H7" s="46" t="s">
        <v>159</v>
      </c>
      <c r="I7" s="11"/>
    </row>
    <row r="8" spans="2:9" s="1" customFormat="1" ht="15.75" customHeight="1">
      <c r="B8" s="9"/>
      <c r="C8" s="10" t="s">
        <v>24</v>
      </c>
      <c r="D8" s="130">
        <v>-8000000</v>
      </c>
      <c r="E8" s="131"/>
      <c r="F8" s="131">
        <v>-12000000</v>
      </c>
      <c r="G8" s="10"/>
      <c r="H8" s="114">
        <v>-20000000</v>
      </c>
      <c r="I8" s="11"/>
    </row>
    <row r="9" spans="2:9" s="1" customFormat="1" ht="15.75" customHeight="1">
      <c r="B9" s="9"/>
      <c r="C9" s="10" t="s">
        <v>15</v>
      </c>
      <c r="D9" s="132">
        <v>11000000</v>
      </c>
      <c r="E9" s="131"/>
      <c r="F9" s="131">
        <v>10000000</v>
      </c>
      <c r="G9" s="10"/>
      <c r="H9" s="114">
        <v>18000000</v>
      </c>
      <c r="I9" s="11"/>
    </row>
    <row r="10" spans="2:9" s="1" customFormat="1" ht="15.75" customHeight="1">
      <c r="B10" s="9"/>
      <c r="C10" s="10" t="s">
        <v>16</v>
      </c>
      <c r="D10" s="132">
        <v>7500000</v>
      </c>
      <c r="E10" s="131"/>
      <c r="F10" s="131">
        <v>25000000</v>
      </c>
      <c r="G10" s="10"/>
      <c r="H10" s="114">
        <v>32000000</v>
      </c>
      <c r="I10" s="11"/>
    </row>
    <row r="11" spans="2:9" s="1" customFormat="1" ht="15.75" customHeight="1">
      <c r="B11" s="9"/>
      <c r="C11" s="10" t="s">
        <v>17</v>
      </c>
      <c r="D11" s="132">
        <v>2500000</v>
      </c>
      <c r="E11" s="131"/>
      <c r="F11" s="131">
        <v>20000000</v>
      </c>
      <c r="G11" s="10"/>
      <c r="H11" s="114">
        <v>20000000</v>
      </c>
      <c r="I11" s="11"/>
    </row>
    <row r="12" spans="2:9" s="1" customFormat="1" ht="15.75" customHeight="1">
      <c r="B12" s="9"/>
      <c r="C12" s="10"/>
      <c r="D12" s="95"/>
      <c r="E12" s="117"/>
      <c r="F12" s="117"/>
      <c r="G12" s="10"/>
      <c r="H12" s="155"/>
      <c r="I12" s="11"/>
    </row>
    <row r="13" spans="2:9" s="1" customFormat="1" ht="15.75" customHeight="1">
      <c r="B13" s="9"/>
      <c r="C13" s="10" t="s">
        <v>36</v>
      </c>
      <c r="D13" s="118">
        <v>0.1</v>
      </c>
      <c r="E13" s="117"/>
      <c r="F13" s="162"/>
      <c r="G13" s="10"/>
      <c r="H13" s="155"/>
      <c r="I13" s="11"/>
    </row>
    <row r="14" spans="2:9" s="1" customFormat="1" ht="15.75" customHeight="1" thickBot="1">
      <c r="B14" s="12"/>
      <c r="C14" s="38"/>
      <c r="D14" s="45"/>
      <c r="E14" s="38"/>
      <c r="F14" s="38"/>
      <c r="G14" s="38"/>
      <c r="H14" s="156"/>
      <c r="I14" s="13"/>
    </row>
    <row r="15" spans="2:9" ht="15.75" customHeight="1">
      <c r="B15" s="25"/>
      <c r="C15" s="26"/>
      <c r="D15" s="26"/>
      <c r="E15" s="25"/>
    </row>
    <row r="16" spans="2:9" ht="15.75" customHeight="1">
      <c r="B16" s="25"/>
      <c r="C16" s="27" t="s">
        <v>1</v>
      </c>
      <c r="D16" s="26"/>
      <c r="E16" s="25"/>
    </row>
    <row r="17" spans="2:9" ht="15.75" customHeight="1" thickBot="1">
      <c r="B17" s="25"/>
      <c r="C17" s="26"/>
      <c r="D17" s="26"/>
      <c r="E17" s="25"/>
    </row>
    <row r="18" spans="2:9" ht="15.75" customHeight="1">
      <c r="B18" s="14"/>
      <c r="C18" s="28"/>
      <c r="D18" s="28"/>
      <c r="E18" s="47"/>
      <c r="F18" s="48"/>
      <c r="G18" s="48"/>
      <c r="H18" s="48"/>
      <c r="I18" s="49"/>
    </row>
    <row r="19" spans="2:9" ht="15.75" customHeight="1">
      <c r="B19" s="16"/>
      <c r="C19" s="147"/>
      <c r="D19" s="52" t="str">
        <f>D7</f>
        <v>CDMA</v>
      </c>
      <c r="E19" s="54"/>
      <c r="F19" s="52" t="str">
        <f>F7</f>
        <v>G4</v>
      </c>
      <c r="G19" s="54"/>
      <c r="H19" s="52" t="str">
        <f>H7</f>
        <v>Wi-Fi</v>
      </c>
      <c r="I19" s="51"/>
    </row>
    <row r="20" spans="2:9" ht="15.75" customHeight="1">
      <c r="B20" s="133" t="s">
        <v>98</v>
      </c>
      <c r="C20" s="18" t="s">
        <v>118</v>
      </c>
      <c r="D20" s="74">
        <f>NPV(D13,D9:D11)/-D8</f>
        <v>2.2595792637114949</v>
      </c>
      <c r="E20" s="18"/>
      <c r="F20" s="74">
        <f>NPV(D13,F9:F11)/-F8</f>
        <v>3.7315301778111687</v>
      </c>
      <c r="G20" s="50"/>
      <c r="H20" s="74">
        <f>NPV(D13,H9:H11)/-H8</f>
        <v>2.8918106686701726</v>
      </c>
      <c r="I20" s="51"/>
    </row>
    <row r="21" spans="2:9" ht="15.75" customHeight="1">
      <c r="B21" s="133"/>
      <c r="C21" s="18" t="s">
        <v>160</v>
      </c>
      <c r="D21" s="157">
        <f>MAX(D20,F20,H20)</f>
        <v>3.7315301778111687</v>
      </c>
      <c r="E21" s="18"/>
      <c r="F21" s="158"/>
      <c r="G21" s="50"/>
      <c r="H21" s="158"/>
      <c r="I21" s="51"/>
    </row>
    <row r="22" spans="2:9" ht="15.75" customHeight="1">
      <c r="B22" s="133"/>
      <c r="C22" s="18" t="s">
        <v>161</v>
      </c>
      <c r="D22" s="158"/>
      <c r="E22" s="18"/>
      <c r="F22" s="159" t="str">
        <f>IF(D20=D21,"CDMA",IF(D21=F20,"G4","Wi-Fi"))</f>
        <v>G4</v>
      </c>
      <c r="G22" s="50"/>
      <c r="H22" s="158"/>
      <c r="I22" s="51"/>
    </row>
    <row r="23" spans="2:9" ht="15.75" customHeight="1">
      <c r="B23" s="133"/>
      <c r="C23" s="18" t="s">
        <v>162</v>
      </c>
      <c r="D23" s="158"/>
      <c r="E23" s="18"/>
      <c r="F23" s="158"/>
      <c r="G23" s="50"/>
      <c r="H23" s="158"/>
      <c r="I23" s="51"/>
    </row>
    <row r="24" spans="2:9" ht="15.75" customHeight="1">
      <c r="B24" s="16"/>
      <c r="C24" s="18"/>
      <c r="D24" s="64"/>
      <c r="E24" s="18"/>
      <c r="F24" s="18"/>
      <c r="G24" s="50"/>
      <c r="H24" s="50"/>
      <c r="I24" s="51"/>
    </row>
    <row r="25" spans="2:9" ht="15.75" customHeight="1">
      <c r="B25" s="133" t="s">
        <v>99</v>
      </c>
      <c r="C25" s="18" t="s">
        <v>37</v>
      </c>
      <c r="D25" s="111">
        <f>D8+NPV(D13,D9:D11)</f>
        <v>10076634.109691959</v>
      </c>
      <c r="E25" s="18"/>
      <c r="F25" s="111">
        <f>F8+NPV(D13,F9:F11)</f>
        <v>32778362.133734025</v>
      </c>
      <c r="G25" s="50"/>
      <c r="H25" s="111">
        <f>H8+NPV(D13,H9:H11)</f>
        <v>37836213.373403452</v>
      </c>
      <c r="I25" s="51"/>
    </row>
    <row r="26" spans="2:9" ht="15.75" customHeight="1">
      <c r="B26" s="16"/>
      <c r="C26" s="18" t="s">
        <v>156</v>
      </c>
      <c r="D26" s="160">
        <f>MAX(D25,F25,H25)</f>
        <v>37836213.373403452</v>
      </c>
      <c r="E26" s="18"/>
      <c r="F26" s="161"/>
      <c r="G26" s="50"/>
      <c r="H26" s="50"/>
      <c r="I26" s="51"/>
    </row>
    <row r="27" spans="2:9" ht="15.75" customHeight="1">
      <c r="B27" s="16"/>
      <c r="C27" s="18" t="s">
        <v>102</v>
      </c>
      <c r="D27" s="64"/>
      <c r="E27" s="18"/>
      <c r="F27" s="159" t="str">
        <f>IF(D25=D26,"Project CDMA",IF(D26=F25,"G4","Wi-Fi"))</f>
        <v>Wi-Fi</v>
      </c>
      <c r="G27" s="50"/>
      <c r="H27" s="50"/>
      <c r="I27" s="51"/>
    </row>
    <row r="28" spans="2:9" ht="15.75" customHeight="1">
      <c r="B28" s="16"/>
      <c r="C28" s="18" t="s">
        <v>101</v>
      </c>
      <c r="D28" s="64"/>
      <c r="E28" s="18"/>
      <c r="F28" s="54"/>
      <c r="G28" s="50"/>
      <c r="H28" s="50"/>
      <c r="I28" s="51"/>
    </row>
    <row r="29" spans="2:9" s="1" customFormat="1" ht="15.75" customHeight="1" thickBot="1">
      <c r="B29" s="19"/>
      <c r="C29" s="20"/>
      <c r="D29" s="20"/>
      <c r="E29" s="20"/>
      <c r="F29" s="20"/>
      <c r="G29" s="20"/>
      <c r="H29" s="20"/>
      <c r="I29" s="21"/>
    </row>
    <row r="30" spans="2:9" ht="15.75" customHeight="1">
      <c r="B30" s="4"/>
      <c r="C30" s="4"/>
      <c r="D30" s="4"/>
      <c r="E30" s="4"/>
    </row>
    <row r="31" spans="2:9" ht="15.75" customHeight="1">
      <c r="B31" s="4"/>
      <c r="C31" s="4"/>
      <c r="D31" s="189"/>
      <c r="E31" s="4"/>
    </row>
    <row r="32" spans="2:9" ht="15.75" customHeight="1">
      <c r="B32" s="1"/>
      <c r="C32" s="1"/>
      <c r="D32" s="197"/>
      <c r="E32" s="1"/>
      <c r="F32" s="241"/>
    </row>
    <row r="33" spans="2:5" ht="15.75" customHeight="1">
      <c r="B33" s="1"/>
      <c r="C33" s="1"/>
      <c r="D33" s="1"/>
      <c r="E33" s="1"/>
    </row>
    <row r="34" spans="2:5" ht="15.75" customHeight="1"/>
    <row r="35" spans="2:5" ht="15.75" customHeight="1"/>
    <row r="36" spans="2:5" ht="15.75" customHeight="1"/>
    <row r="37" spans="2:5" ht="15.75" customHeight="1"/>
    <row r="38" spans="2:5" ht="15.75" customHeight="1"/>
    <row r="39" spans="2:5" ht="15.75" customHeight="1"/>
    <row r="40" spans="2:5" ht="15.75" customHeight="1"/>
    <row r="41" spans="2:5" ht="15.75" customHeight="1"/>
    <row r="42" spans="2:5" ht="15.75" customHeight="1"/>
    <row r="43" spans="2:5" ht="15.75" customHeight="1"/>
    <row r="44" spans="2:5" ht="15.75" customHeight="1"/>
    <row r="45" spans="2:5" ht="15.75" customHeight="1"/>
    <row r="46" spans="2:5" ht="15.75" customHeight="1"/>
    <row r="47" spans="2:5" ht="15.75" customHeight="1"/>
    <row r="48" spans="2: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</sheetData>
  <phoneticPr fontId="0" type="noConversion"/>
  <pageMargins left="0.75" right="0.75" top="1" bottom="1" header="0.5" footer="0.5"/>
  <pageSetup scale="81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B1:G744"/>
  <sheetViews>
    <sheetView workbookViewId="0"/>
  </sheetViews>
  <sheetFormatPr defaultRowHeight="12.75"/>
  <cols>
    <col min="2" max="2" width="3.140625" customWidth="1"/>
    <col min="3" max="3" width="26.140625" bestFit="1" customWidth="1"/>
    <col min="4" max="4" width="16.28515625" bestFit="1" customWidth="1"/>
    <col min="5" max="5" width="3.140625" customWidth="1"/>
    <col min="6" max="6" width="15.140625" customWidth="1"/>
    <col min="7" max="7" width="3.140625" customWidth="1"/>
  </cols>
  <sheetData>
    <row r="1" spans="2:7" s="1" customFormat="1" ht="18">
      <c r="C1" s="140" t="s">
        <v>242</v>
      </c>
    </row>
    <row r="2" spans="2:7" s="1" customFormat="1" ht="15.75" customHeight="1">
      <c r="C2" s="1" t="s">
        <v>45</v>
      </c>
    </row>
    <row r="3" spans="2:7" s="1" customFormat="1" ht="15.75" customHeight="1"/>
    <row r="4" spans="2:7" s="1" customFormat="1" ht="15.75" customHeight="1">
      <c r="C4" s="2" t="s">
        <v>0</v>
      </c>
    </row>
    <row r="5" spans="2:7" s="1" customFormat="1" ht="15.75" customHeight="1" thickBot="1">
      <c r="C5" s="3"/>
      <c r="D5" s="4"/>
    </row>
    <row r="6" spans="2:7" s="1" customFormat="1" ht="15.75" customHeight="1">
      <c r="B6" s="5"/>
      <c r="C6" s="6"/>
      <c r="D6" s="7"/>
      <c r="E6" s="7"/>
      <c r="F6" s="7"/>
      <c r="G6" s="8"/>
    </row>
    <row r="7" spans="2:7" s="1" customFormat="1" ht="15.75" customHeight="1">
      <c r="B7" s="9"/>
      <c r="C7" s="37" t="s">
        <v>27</v>
      </c>
      <c r="D7" s="44" t="s">
        <v>163</v>
      </c>
      <c r="E7" s="10"/>
      <c r="F7" s="46" t="s">
        <v>164</v>
      </c>
      <c r="G7" s="11"/>
    </row>
    <row r="8" spans="2:7" s="1" customFormat="1" ht="15.75" customHeight="1">
      <c r="B8" s="9"/>
      <c r="C8" s="10" t="s">
        <v>24</v>
      </c>
      <c r="D8" s="130">
        <v>-450000</v>
      </c>
      <c r="E8" s="131"/>
      <c r="F8" s="131">
        <v>-800000</v>
      </c>
      <c r="G8" s="11"/>
    </row>
    <row r="9" spans="2:7" s="1" customFormat="1" ht="15.75" customHeight="1">
      <c r="B9" s="9"/>
      <c r="C9" s="10" t="s">
        <v>15</v>
      </c>
      <c r="D9" s="132">
        <v>320000</v>
      </c>
      <c r="E9" s="131"/>
      <c r="F9" s="131">
        <v>350000</v>
      </c>
      <c r="G9" s="11"/>
    </row>
    <row r="10" spans="2:7" s="1" customFormat="1" ht="15.75" customHeight="1">
      <c r="B10" s="9"/>
      <c r="C10" s="10" t="s">
        <v>16</v>
      </c>
      <c r="D10" s="132">
        <v>180000</v>
      </c>
      <c r="E10" s="131"/>
      <c r="F10" s="131">
        <v>420000</v>
      </c>
      <c r="G10" s="11"/>
    </row>
    <row r="11" spans="2:7" s="1" customFormat="1" ht="15.75" customHeight="1">
      <c r="B11" s="9"/>
      <c r="C11" s="10" t="s">
        <v>17</v>
      </c>
      <c r="D11" s="132">
        <v>150000</v>
      </c>
      <c r="E11" s="131"/>
      <c r="F11" s="131">
        <v>290000</v>
      </c>
      <c r="G11" s="11"/>
    </row>
    <row r="12" spans="2:7" s="1" customFormat="1" ht="15.75" customHeight="1">
      <c r="B12" s="9"/>
      <c r="C12" s="10"/>
      <c r="D12" s="95"/>
      <c r="E12" s="117"/>
      <c r="F12" s="114"/>
      <c r="G12" s="11"/>
    </row>
    <row r="13" spans="2:7" s="1" customFormat="1" ht="15.75" customHeight="1">
      <c r="B13" s="9"/>
      <c r="C13" s="10" t="s">
        <v>36</v>
      </c>
      <c r="D13" s="112"/>
      <c r="E13" s="117"/>
      <c r="F13" s="118">
        <v>0.1</v>
      </c>
      <c r="G13" s="11"/>
    </row>
    <row r="14" spans="2:7" s="1" customFormat="1" ht="15.75" customHeight="1" thickBot="1">
      <c r="B14" s="12"/>
      <c r="C14" s="38"/>
      <c r="D14" s="45"/>
      <c r="E14" s="38"/>
      <c r="F14" s="38"/>
      <c r="G14" s="13"/>
    </row>
    <row r="15" spans="2:7" ht="15.75" customHeight="1">
      <c r="B15" s="25"/>
      <c r="C15" s="26"/>
      <c r="D15" s="26"/>
      <c r="E15" s="25"/>
    </row>
    <row r="16" spans="2:7" ht="15.75" customHeight="1">
      <c r="B16" s="25"/>
      <c r="C16" s="27" t="s">
        <v>1</v>
      </c>
      <c r="D16" s="26"/>
      <c r="E16" s="25"/>
    </row>
    <row r="17" spans="2:7" ht="15.75" customHeight="1" thickBot="1">
      <c r="B17" s="25"/>
      <c r="C17" s="26"/>
      <c r="D17" s="26"/>
      <c r="E17" s="25"/>
    </row>
    <row r="18" spans="2:7" ht="15.75" customHeight="1">
      <c r="B18" s="14"/>
      <c r="C18" s="28"/>
      <c r="D18" s="28"/>
      <c r="E18" s="47"/>
      <c r="F18" s="48"/>
      <c r="G18" s="49"/>
    </row>
    <row r="19" spans="2:7" ht="15.75" customHeight="1">
      <c r="B19" s="16"/>
      <c r="C19" s="147"/>
      <c r="D19" s="54" t="s">
        <v>163</v>
      </c>
      <c r="E19" s="54"/>
      <c r="F19" s="54" t="s">
        <v>164</v>
      </c>
      <c r="G19" s="51"/>
    </row>
    <row r="20" spans="2:7" ht="15.75" customHeight="1">
      <c r="B20" s="133" t="s">
        <v>98</v>
      </c>
      <c r="C20" s="18" t="s">
        <v>153</v>
      </c>
      <c r="D20" s="74">
        <f>IF(-D8&gt;SUM(D9:D11),"Never",IF(-D8&gt;(D9+D10),(2+(-D8-D9-D10)/D11),IF(-D8&gt;D9,(1+(-D8-D9)/D10),IF(-D8&lt;=D9,(-D8/D9)))))</f>
        <v>1.7222222222222223</v>
      </c>
      <c r="E20" s="18"/>
      <c r="F20" s="74">
        <f>IF(-F8&gt;SUM(F9:F11),"Never",IF(-F8&gt;(F9+F10),(2+(-F8-F9-F10)/F11),IF(-F8&gt;F9,(1+(-F8-F9)/F10),IF(-F8&lt;=F9,(-F8/F9)))))</f>
        <v>2.103448275862069</v>
      </c>
      <c r="G20" s="51"/>
    </row>
    <row r="21" spans="2:7" ht="15.75" customHeight="1">
      <c r="B21" s="133"/>
      <c r="C21" s="18"/>
      <c r="D21" s="157"/>
      <c r="E21" s="18"/>
      <c r="F21" s="158"/>
      <c r="G21" s="51"/>
    </row>
    <row r="22" spans="2:7" ht="15.75" customHeight="1">
      <c r="B22" s="133"/>
      <c r="C22" s="18" t="s">
        <v>154</v>
      </c>
      <c r="D22" s="158"/>
      <c r="E22" s="18"/>
      <c r="F22" s="159" t="str">
        <f>IF(D20&lt;F20,"AZM","AZF")</f>
        <v>AZM</v>
      </c>
      <c r="G22" s="51"/>
    </row>
    <row r="23" spans="2:7" ht="15.75" customHeight="1">
      <c r="B23" s="133"/>
      <c r="C23" s="18" t="s">
        <v>155</v>
      </c>
      <c r="D23" s="158"/>
      <c r="E23" s="18"/>
      <c r="F23" s="158"/>
      <c r="G23" s="51"/>
    </row>
    <row r="24" spans="2:7" ht="15.75" customHeight="1">
      <c r="B24" s="16"/>
      <c r="C24" s="18"/>
      <c r="D24" s="64"/>
      <c r="E24" s="18"/>
      <c r="F24" s="18"/>
      <c r="G24" s="51"/>
    </row>
    <row r="25" spans="2:7" ht="15.75" customHeight="1">
      <c r="B25" s="133" t="s">
        <v>99</v>
      </c>
      <c r="C25" s="18" t="s">
        <v>78</v>
      </c>
      <c r="D25" s="111">
        <f>D8+NPV(F13,D9:D11)</f>
        <v>102366.64162283996</v>
      </c>
      <c r="E25" s="18"/>
      <c r="F25" s="111">
        <f>F8+NPV(F13,F9:F11)</f>
        <v>83170.5484598045</v>
      </c>
      <c r="G25" s="51"/>
    </row>
    <row r="26" spans="2:7" ht="15.75" customHeight="1">
      <c r="B26" s="16"/>
      <c r="C26" s="18"/>
      <c r="D26" s="160"/>
      <c r="E26" s="18"/>
      <c r="F26" s="161"/>
      <c r="G26" s="51"/>
    </row>
    <row r="27" spans="2:7" ht="15.75" customHeight="1">
      <c r="B27" s="16"/>
      <c r="C27" s="18" t="s">
        <v>102</v>
      </c>
      <c r="D27" s="64"/>
      <c r="E27" s="18"/>
      <c r="F27" s="159" t="str">
        <f>IF(D25&gt;F25,"AZM","AZF")</f>
        <v>AZM</v>
      </c>
      <c r="G27" s="51"/>
    </row>
    <row r="28" spans="2:7" ht="15.75" customHeight="1">
      <c r="B28" s="16"/>
      <c r="C28" s="18" t="s">
        <v>101</v>
      </c>
      <c r="D28" s="64"/>
      <c r="E28" s="18"/>
      <c r="F28" s="54"/>
      <c r="G28" s="51"/>
    </row>
    <row r="29" spans="2:7" ht="15.75" customHeight="1">
      <c r="B29" s="16"/>
      <c r="C29" s="18"/>
      <c r="D29" s="64"/>
      <c r="E29" s="18"/>
      <c r="F29" s="54"/>
      <c r="G29" s="51"/>
    </row>
    <row r="30" spans="2:7" ht="15.75" customHeight="1">
      <c r="B30" s="133" t="s">
        <v>100</v>
      </c>
      <c r="C30" s="18" t="s">
        <v>28</v>
      </c>
      <c r="D30" s="70">
        <f>IRR(D8:D11)</f>
        <v>0.2465266372965555</v>
      </c>
      <c r="E30" s="18"/>
      <c r="F30" s="70">
        <f>IRR(F8:F11)</f>
        <v>0.1597211484469655</v>
      </c>
      <c r="G30" s="51"/>
    </row>
    <row r="31" spans="2:7" ht="15.75" customHeight="1">
      <c r="B31" s="133"/>
      <c r="C31" s="18"/>
      <c r="D31" s="160"/>
      <c r="E31" s="18"/>
      <c r="F31" s="161"/>
      <c r="G31" s="51"/>
    </row>
    <row r="32" spans="2:7" ht="15.75" customHeight="1">
      <c r="B32" s="133"/>
      <c r="C32" s="18" t="s">
        <v>165</v>
      </c>
      <c r="D32" s="64"/>
      <c r="E32" s="18"/>
      <c r="F32" s="159" t="str">
        <f>IF(D30&gt;F30,"AZM","AZF")</f>
        <v>AZM</v>
      </c>
      <c r="G32" s="51"/>
    </row>
    <row r="33" spans="2:7" ht="15.75" customHeight="1">
      <c r="B33" s="16"/>
      <c r="C33" s="18" t="s">
        <v>101</v>
      </c>
      <c r="D33" s="64"/>
      <c r="E33" s="18"/>
      <c r="F33" s="54"/>
      <c r="G33" s="51"/>
    </row>
    <row r="34" spans="2:7" s="1" customFormat="1" ht="15.75" customHeight="1" thickBot="1">
      <c r="B34" s="19"/>
      <c r="C34" s="20"/>
      <c r="D34" s="20"/>
      <c r="E34" s="20"/>
      <c r="F34" s="20"/>
      <c r="G34" s="21"/>
    </row>
    <row r="35" spans="2:7" ht="15.75" customHeight="1">
      <c r="B35" s="4"/>
      <c r="C35" s="4"/>
      <c r="D35" s="4"/>
      <c r="E35" s="4"/>
    </row>
    <row r="36" spans="2:7" ht="15.75" customHeight="1">
      <c r="B36" s="4"/>
      <c r="C36" s="4"/>
      <c r="D36" s="4"/>
      <c r="E36" s="4"/>
    </row>
    <row r="37" spans="2:7" ht="15.75" customHeight="1">
      <c r="B37" s="1"/>
      <c r="C37" s="1"/>
      <c r="D37" s="1"/>
      <c r="E37" s="1"/>
    </row>
    <row r="38" spans="2:7" ht="15.75" customHeight="1">
      <c r="B38" s="1"/>
      <c r="C38" s="1"/>
      <c r="D38" s="1"/>
      <c r="E38" s="1"/>
    </row>
    <row r="39" spans="2:7" ht="15.75" customHeight="1"/>
    <row r="40" spans="2:7" ht="15.75" customHeight="1"/>
    <row r="41" spans="2:7" ht="15.75" customHeight="1"/>
    <row r="42" spans="2:7" ht="15.75" customHeight="1"/>
    <row r="43" spans="2:7" ht="15.75" customHeight="1"/>
    <row r="44" spans="2:7" ht="15.75" customHeight="1"/>
    <row r="45" spans="2:7" ht="15.75" customHeight="1"/>
    <row r="46" spans="2:7" ht="15.75" customHeight="1"/>
    <row r="47" spans="2:7" ht="15.75" customHeight="1"/>
    <row r="48" spans="2: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B1:I737"/>
  <sheetViews>
    <sheetView zoomScaleNormal="100" workbookViewId="0"/>
  </sheetViews>
  <sheetFormatPr defaultRowHeight="12.75"/>
  <cols>
    <col min="2" max="2" width="3.140625" customWidth="1"/>
    <col min="3" max="3" width="26.140625" bestFit="1" customWidth="1"/>
    <col min="4" max="4" width="18.85546875" bestFit="1" customWidth="1"/>
    <col min="5" max="5" width="3.140625" customWidth="1"/>
    <col min="6" max="6" width="18.85546875" bestFit="1" customWidth="1"/>
    <col min="7" max="7" width="3.140625" customWidth="1"/>
    <col min="8" max="8" width="19" customWidth="1"/>
    <col min="9" max="9" width="3.140625" customWidth="1"/>
  </cols>
  <sheetData>
    <row r="1" spans="2:9" s="1" customFormat="1" ht="18">
      <c r="C1" s="140" t="s">
        <v>242</v>
      </c>
    </row>
    <row r="2" spans="2:9" s="1" customFormat="1" ht="15.75" customHeight="1">
      <c r="C2" s="1" t="s">
        <v>54</v>
      </c>
    </row>
    <row r="3" spans="2:9" s="1" customFormat="1" ht="15.75" customHeight="1"/>
    <row r="4" spans="2:9" s="1" customFormat="1" ht="15.75" customHeight="1">
      <c r="C4" s="2" t="s">
        <v>0</v>
      </c>
    </row>
    <row r="5" spans="2:9" s="1" customFormat="1" ht="15.75" customHeight="1" thickBot="1">
      <c r="C5" s="3"/>
      <c r="D5" s="4"/>
    </row>
    <row r="6" spans="2:9" s="1" customFormat="1" ht="15.75" customHeight="1">
      <c r="B6" s="5"/>
      <c r="C6" s="6"/>
      <c r="D6" s="7"/>
      <c r="E6" s="7"/>
      <c r="F6" s="7"/>
      <c r="G6" s="7"/>
      <c r="H6" s="7"/>
      <c r="I6" s="8"/>
    </row>
    <row r="7" spans="2:9" s="1" customFormat="1" ht="15.75" customHeight="1">
      <c r="B7" s="9"/>
      <c r="C7" s="37" t="s">
        <v>27</v>
      </c>
      <c r="D7" s="44" t="s">
        <v>88</v>
      </c>
      <c r="E7" s="10"/>
      <c r="F7" s="46" t="s">
        <v>89</v>
      </c>
      <c r="G7" s="10"/>
      <c r="H7" s="46" t="s">
        <v>166</v>
      </c>
      <c r="I7" s="11"/>
    </row>
    <row r="8" spans="2:9" s="1" customFormat="1" ht="15.75" customHeight="1">
      <c r="B8" s="9"/>
      <c r="C8" s="10" t="s">
        <v>24</v>
      </c>
      <c r="D8" s="130">
        <v>-150000</v>
      </c>
      <c r="E8" s="131"/>
      <c r="F8" s="131">
        <v>-300000</v>
      </c>
      <c r="G8" s="10"/>
      <c r="H8" s="114">
        <v>-150000</v>
      </c>
      <c r="I8" s="11"/>
    </row>
    <row r="9" spans="2:9" s="1" customFormat="1" ht="15.75" customHeight="1">
      <c r="B9" s="9"/>
      <c r="C9" s="10" t="s">
        <v>15</v>
      </c>
      <c r="D9" s="132">
        <v>110000</v>
      </c>
      <c r="E9" s="131"/>
      <c r="F9" s="131">
        <v>200000</v>
      </c>
      <c r="G9" s="10"/>
      <c r="H9" s="114">
        <v>120000</v>
      </c>
      <c r="I9" s="11"/>
    </row>
    <row r="10" spans="2:9" s="1" customFormat="1" ht="15.75" customHeight="1">
      <c r="B10" s="9"/>
      <c r="C10" s="10" t="s">
        <v>16</v>
      </c>
      <c r="D10" s="132">
        <v>110000</v>
      </c>
      <c r="E10" s="131"/>
      <c r="F10" s="131">
        <v>200000</v>
      </c>
      <c r="G10" s="10"/>
      <c r="H10" s="114">
        <v>90000</v>
      </c>
      <c r="I10" s="11"/>
    </row>
    <row r="11" spans="2:9" s="1" customFormat="1" ht="15.75" customHeight="1">
      <c r="B11" s="9"/>
      <c r="C11" s="10"/>
      <c r="D11" s="95"/>
      <c r="E11" s="117"/>
      <c r="F11" s="117"/>
      <c r="G11" s="10"/>
      <c r="H11" s="155"/>
      <c r="I11" s="11"/>
    </row>
    <row r="12" spans="2:9" s="1" customFormat="1" ht="15.75" customHeight="1">
      <c r="B12" s="9"/>
      <c r="C12" s="10" t="s">
        <v>36</v>
      </c>
      <c r="D12" s="118">
        <v>0.12</v>
      </c>
      <c r="E12" s="117"/>
      <c r="F12" s="162"/>
      <c r="G12" s="10"/>
      <c r="H12" s="155"/>
      <c r="I12" s="11"/>
    </row>
    <row r="13" spans="2:9" s="1" customFormat="1" ht="15.75" customHeight="1" thickBot="1">
      <c r="B13" s="12"/>
      <c r="C13" s="38"/>
      <c r="D13" s="45"/>
      <c r="E13" s="38"/>
      <c r="F13" s="38"/>
      <c r="G13" s="38"/>
      <c r="H13" s="156"/>
      <c r="I13" s="13"/>
    </row>
    <row r="14" spans="2:9" ht="15.75" customHeight="1">
      <c r="B14" s="25"/>
      <c r="C14" s="26"/>
      <c r="D14" s="26"/>
      <c r="E14" s="25"/>
    </row>
    <row r="15" spans="2:9" ht="15.75" customHeight="1">
      <c r="B15" s="25"/>
      <c r="C15" s="27" t="s">
        <v>1</v>
      </c>
      <c r="D15" s="26"/>
      <c r="E15" s="25"/>
    </row>
    <row r="16" spans="2:9" ht="15.75" customHeight="1" thickBot="1">
      <c r="B16" s="25"/>
      <c r="C16" s="26"/>
      <c r="D16" s="26"/>
      <c r="E16" s="25"/>
    </row>
    <row r="17" spans="2:9" ht="15.75" customHeight="1">
      <c r="B17" s="14"/>
      <c r="C17" s="28"/>
      <c r="D17" s="28"/>
      <c r="E17" s="47"/>
      <c r="F17" s="48"/>
      <c r="G17" s="48"/>
      <c r="H17" s="48"/>
      <c r="I17" s="49"/>
    </row>
    <row r="18" spans="2:9" ht="15.75" customHeight="1">
      <c r="B18" s="16"/>
      <c r="C18" s="147"/>
      <c r="D18" s="52" t="str">
        <f>D7</f>
        <v>Project A</v>
      </c>
      <c r="E18" s="54"/>
      <c r="F18" s="54" t="str">
        <f>F7</f>
        <v>Project B</v>
      </c>
      <c r="G18" s="54"/>
      <c r="H18" s="54" t="str">
        <f>H7</f>
        <v>Project C</v>
      </c>
      <c r="I18" s="51"/>
    </row>
    <row r="19" spans="2:9" ht="15.75" customHeight="1">
      <c r="B19" s="133" t="s">
        <v>98</v>
      </c>
      <c r="C19" s="18" t="s">
        <v>118</v>
      </c>
      <c r="D19" s="74">
        <f>NPV(D12,D9:D10)/-D8</f>
        <v>1.2393707482993195</v>
      </c>
      <c r="E19" s="18"/>
      <c r="F19" s="74">
        <f>NPV(D12,F9:F10)/-F8</f>
        <v>1.1267006802721087</v>
      </c>
      <c r="G19" s="50"/>
      <c r="H19" s="74">
        <f>NPV(D12,H9:H10)/-H8</f>
        <v>1.1926020408163263</v>
      </c>
      <c r="I19" s="51"/>
    </row>
    <row r="20" spans="2:9" ht="15.75" customHeight="1">
      <c r="B20" s="16"/>
      <c r="C20" s="18"/>
      <c r="D20" s="64"/>
      <c r="E20" s="18"/>
      <c r="F20" s="18"/>
      <c r="G20" s="50"/>
      <c r="H20" s="50"/>
      <c r="I20" s="51"/>
    </row>
    <row r="21" spans="2:9" ht="15.75" customHeight="1">
      <c r="B21" s="133" t="s">
        <v>99</v>
      </c>
      <c r="C21" s="18" t="s">
        <v>78</v>
      </c>
      <c r="D21" s="111">
        <f>D8+NPV(D12,D9:D10)</f>
        <v>35905.612244897929</v>
      </c>
      <c r="E21" s="18"/>
      <c r="F21" s="111">
        <f>F8+NPV(D12,F9:F10)</f>
        <v>38010.204081632604</v>
      </c>
      <c r="G21" s="50"/>
      <c r="H21" s="111">
        <f>H8+NPV(D12,H9:H10)</f>
        <v>28890.306122448936</v>
      </c>
      <c r="I21" s="51"/>
    </row>
    <row r="22" spans="2:9" ht="15.75" customHeight="1">
      <c r="B22" s="133"/>
      <c r="C22" s="18"/>
      <c r="D22" s="151"/>
      <c r="E22" s="18"/>
      <c r="F22" s="151"/>
      <c r="G22" s="50"/>
      <c r="H22" s="151"/>
      <c r="I22" s="51"/>
    </row>
    <row r="23" spans="2:9" ht="15.75" customHeight="1">
      <c r="B23" s="133" t="s">
        <v>100</v>
      </c>
      <c r="C23" s="18" t="s">
        <v>167</v>
      </c>
      <c r="D23" s="151"/>
      <c r="E23" s="18"/>
      <c r="F23" s="151"/>
      <c r="G23" s="50"/>
      <c r="H23" s="151"/>
      <c r="I23" s="51"/>
    </row>
    <row r="24" spans="2:9" ht="15.75" customHeight="1">
      <c r="B24" s="133"/>
      <c r="C24" s="18" t="s">
        <v>88</v>
      </c>
      <c r="D24" s="163" t="str">
        <f>IF(D19&gt;1,"Accept","Reject")</f>
        <v>Accept</v>
      </c>
      <c r="E24" s="18"/>
      <c r="F24" s="151"/>
      <c r="G24" s="50"/>
      <c r="H24" s="151"/>
      <c r="I24" s="51"/>
    </row>
    <row r="25" spans="2:9" ht="15.75" customHeight="1">
      <c r="B25" s="133"/>
      <c r="C25" s="18" t="s">
        <v>89</v>
      </c>
      <c r="D25" s="163" t="str">
        <f>IF(F19&gt;1,"Accept","Reject")</f>
        <v>Accept</v>
      </c>
      <c r="E25" s="18"/>
      <c r="F25" s="151"/>
      <c r="G25" s="50"/>
      <c r="H25" s="151"/>
      <c r="I25" s="51"/>
    </row>
    <row r="26" spans="2:9" ht="15.75" customHeight="1">
      <c r="B26" s="133"/>
      <c r="C26" s="18" t="s">
        <v>166</v>
      </c>
      <c r="D26" s="163" t="str">
        <f>IF(H19&gt;1,"Accept","Reject")</f>
        <v>Accept</v>
      </c>
      <c r="E26" s="18"/>
      <c r="F26" s="151"/>
      <c r="G26" s="50"/>
      <c r="H26" s="151"/>
      <c r="I26" s="51"/>
    </row>
    <row r="27" spans="2:9" s="1" customFormat="1" ht="15.75" customHeight="1" thickBot="1">
      <c r="B27" s="19"/>
      <c r="C27" s="20"/>
      <c r="D27" s="20"/>
      <c r="E27" s="20"/>
      <c r="F27" s="20"/>
      <c r="G27" s="20"/>
      <c r="H27" s="20"/>
      <c r="I27" s="21"/>
    </row>
    <row r="28" spans="2:9" ht="15.75" customHeight="1">
      <c r="B28" s="4"/>
      <c r="C28" s="4"/>
      <c r="D28" s="4"/>
      <c r="E28" s="4"/>
    </row>
    <row r="29" spans="2:9" ht="15.75" customHeight="1">
      <c r="B29" s="4"/>
      <c r="C29" s="4"/>
      <c r="D29" s="4"/>
      <c r="E29" s="4"/>
    </row>
    <row r="30" spans="2:9" ht="15.75" customHeight="1">
      <c r="B30" s="1"/>
      <c r="C30" s="1"/>
      <c r="D30" s="1"/>
      <c r="E30" s="1"/>
    </row>
    <row r="31" spans="2:9" ht="15.75" customHeight="1">
      <c r="B31" s="1"/>
      <c r="C31" s="1"/>
      <c r="D31" s="1"/>
      <c r="E31" s="1"/>
    </row>
    <row r="32" spans="2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</sheetData>
  <phoneticPr fontId="0" type="noConversion"/>
  <pageMargins left="0.75" right="0.75" top="1" bottom="1" header="0.5" footer="0.5"/>
  <pageSetup scale="87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B1:H753"/>
  <sheetViews>
    <sheetView workbookViewId="0"/>
  </sheetViews>
  <sheetFormatPr defaultRowHeight="12.75"/>
  <cols>
    <col min="2" max="2" width="3.140625" customWidth="1"/>
    <col min="3" max="3" width="26.140625" bestFit="1" customWidth="1"/>
    <col min="4" max="4" width="16.28515625" bestFit="1" customWidth="1"/>
    <col min="5" max="5" width="3.140625" customWidth="1"/>
    <col min="6" max="6" width="18.28515625" bestFit="1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55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7"/>
      <c r="F6" s="7"/>
      <c r="G6" s="8"/>
    </row>
    <row r="7" spans="2:8" s="1" customFormat="1" ht="15.75" customHeight="1">
      <c r="B7" s="9"/>
      <c r="C7" s="37" t="s">
        <v>27</v>
      </c>
      <c r="D7" s="44" t="s">
        <v>168</v>
      </c>
      <c r="E7" s="10"/>
      <c r="F7" s="46" t="s">
        <v>169</v>
      </c>
      <c r="G7" s="11"/>
    </row>
    <row r="8" spans="2:8" s="1" customFormat="1" ht="15.75" customHeight="1">
      <c r="B8" s="9"/>
      <c r="C8" s="10" t="s">
        <v>24</v>
      </c>
      <c r="D8" s="130">
        <v>-1700000</v>
      </c>
      <c r="E8" s="131"/>
      <c r="F8" s="131">
        <v>-750000</v>
      </c>
      <c r="G8" s="11"/>
    </row>
    <row r="9" spans="2:8" s="1" customFormat="1" ht="15.75" customHeight="1">
      <c r="B9" s="9"/>
      <c r="C9" s="10" t="s">
        <v>15</v>
      </c>
      <c r="D9" s="132">
        <v>1100000</v>
      </c>
      <c r="E9" s="131"/>
      <c r="F9" s="131">
        <v>375000</v>
      </c>
      <c r="G9" s="11"/>
      <c r="H9" s="23"/>
    </row>
    <row r="10" spans="2:8" s="1" customFormat="1" ht="15.75" customHeight="1">
      <c r="B10" s="9"/>
      <c r="C10" s="10" t="s">
        <v>16</v>
      </c>
      <c r="D10" s="132">
        <v>900000</v>
      </c>
      <c r="E10" s="131"/>
      <c r="F10" s="131">
        <v>600000</v>
      </c>
      <c r="G10" s="11"/>
      <c r="H10" s="23"/>
    </row>
    <row r="11" spans="2:8" s="1" customFormat="1" ht="15.75" customHeight="1">
      <c r="B11" s="9"/>
      <c r="C11" s="10" t="s">
        <v>17</v>
      </c>
      <c r="D11" s="132">
        <v>750000</v>
      </c>
      <c r="E11" s="131"/>
      <c r="F11" s="131">
        <v>390000</v>
      </c>
      <c r="G11" s="11"/>
      <c r="H11" s="23"/>
    </row>
    <row r="12" spans="2:8" s="1" customFormat="1" ht="15.75" customHeight="1">
      <c r="B12" s="9"/>
      <c r="C12" s="10"/>
      <c r="D12" s="95"/>
      <c r="E12" s="117"/>
      <c r="F12" s="117"/>
      <c r="G12" s="11"/>
      <c r="H12" s="23"/>
    </row>
    <row r="13" spans="2:8" s="1" customFormat="1" ht="15.75" customHeight="1">
      <c r="B13" s="9"/>
      <c r="C13" s="10" t="s">
        <v>36</v>
      </c>
      <c r="D13" s="112"/>
      <c r="E13" s="117"/>
      <c r="F13" s="118">
        <v>0.1</v>
      </c>
      <c r="G13" s="11"/>
      <c r="H13" s="23"/>
    </row>
    <row r="14" spans="2:8" s="1" customFormat="1" ht="15.75" customHeight="1" thickBot="1">
      <c r="B14" s="12"/>
      <c r="C14" s="38"/>
      <c r="D14" s="45"/>
      <c r="E14" s="38"/>
      <c r="F14" s="38"/>
      <c r="G14" s="13"/>
      <c r="H14" s="23"/>
    </row>
    <row r="15" spans="2:8" ht="15.75" customHeight="1">
      <c r="B15" s="25"/>
      <c r="C15" s="26"/>
      <c r="D15" s="26"/>
      <c r="E15" s="25"/>
    </row>
    <row r="16" spans="2:8" ht="15.75" customHeight="1">
      <c r="B16" s="25"/>
      <c r="C16" s="27" t="s">
        <v>1</v>
      </c>
      <c r="D16" s="26"/>
      <c r="E16" s="25"/>
    </row>
    <row r="17" spans="2:7" ht="15.75" customHeight="1" thickBot="1">
      <c r="B17" s="25"/>
      <c r="C17" s="26"/>
      <c r="D17" s="26"/>
      <c r="E17" s="25"/>
    </row>
    <row r="18" spans="2:7" ht="15.75" customHeight="1">
      <c r="B18" s="14"/>
      <c r="C18" s="28"/>
      <c r="D18" s="28"/>
      <c r="E18" s="47"/>
      <c r="F18" s="48"/>
      <c r="G18" s="49"/>
    </row>
    <row r="19" spans="2:7" ht="15.75" customHeight="1">
      <c r="B19" s="133" t="s">
        <v>98</v>
      </c>
      <c r="C19" s="18" t="s">
        <v>170</v>
      </c>
      <c r="D19" s="64"/>
      <c r="E19" s="18"/>
      <c r="F19" s="74">
        <f>IF(-D8&gt;SUM(D9:D11),"Never",IF(-D8&gt;(D9+D10),(2+(-D8-D9-D10)/D11),IF(-D8&gt;D9,(1+(-D8-D9)/D10),IF(-D8&lt;=D9,(-D8/D9)))))</f>
        <v>1.6666666666666665</v>
      </c>
      <c r="G19" s="51"/>
    </row>
    <row r="20" spans="2:7" ht="15.75" customHeight="1">
      <c r="B20" s="16"/>
      <c r="C20" s="18" t="s">
        <v>173</v>
      </c>
      <c r="D20" s="64"/>
      <c r="E20" s="18"/>
      <c r="F20" s="74">
        <f>IF(-F8&gt;SUM(F9:F11),"Never",IF(-F8&gt;(F9+F10),(2+(-F8-F9-F10)/F11),IF(-F8&gt;F9,(1+(-F8-F9)/F10),IF(-F8&lt;=F9,(-F8/F9)))))</f>
        <v>1.625</v>
      </c>
      <c r="G20" s="51"/>
    </row>
    <row r="21" spans="2:7" ht="15.75" customHeight="1">
      <c r="B21" s="16"/>
      <c r="C21" s="18" t="s">
        <v>97</v>
      </c>
      <c r="D21" s="64"/>
      <c r="E21" s="18"/>
      <c r="F21" s="75" t="str">
        <f>IF(F19&lt;F20,"Dry Prepeg","Solvent Prepeg")</f>
        <v>Solvent Prepeg</v>
      </c>
      <c r="G21" s="51"/>
    </row>
    <row r="22" spans="2:7" ht="15.75" customHeight="1">
      <c r="B22" s="16"/>
      <c r="C22" s="18" t="s">
        <v>96</v>
      </c>
      <c r="D22" s="64"/>
      <c r="E22" s="18"/>
      <c r="F22" s="18"/>
      <c r="G22" s="51"/>
    </row>
    <row r="23" spans="2:7" ht="15.75" customHeight="1">
      <c r="B23" s="16"/>
      <c r="C23" s="18"/>
      <c r="D23" s="64"/>
      <c r="E23" s="18"/>
      <c r="F23" s="18"/>
      <c r="G23" s="51"/>
    </row>
    <row r="24" spans="2:7" ht="15.75" customHeight="1">
      <c r="B24" s="133" t="s">
        <v>99</v>
      </c>
      <c r="C24" s="18" t="s">
        <v>171</v>
      </c>
      <c r="D24" s="64"/>
      <c r="E24" s="18"/>
      <c r="F24" s="134">
        <f>D8+NPV(F13,D9:D11)</f>
        <v>607287.75356874475</v>
      </c>
      <c r="G24" s="51"/>
    </row>
    <row r="25" spans="2:7" ht="15.75" customHeight="1">
      <c r="B25" s="16"/>
      <c r="C25" s="18" t="s">
        <v>174</v>
      </c>
      <c r="D25" s="64"/>
      <c r="E25" s="18"/>
      <c r="F25" s="134">
        <f>F8+NPV(F13,F9:F11)</f>
        <v>379789.63185574743</v>
      </c>
      <c r="G25" s="51"/>
    </row>
    <row r="26" spans="2:7" ht="15.75" customHeight="1">
      <c r="B26" s="16"/>
      <c r="C26" s="18" t="s">
        <v>102</v>
      </c>
      <c r="D26" s="64"/>
      <c r="E26" s="18"/>
      <c r="F26" s="75" t="str">
        <f>IF(F24&gt;F25,"Dry Prepeg","Solvent Prepeg")</f>
        <v>Dry Prepeg</v>
      </c>
      <c r="G26" s="51"/>
    </row>
    <row r="27" spans="2:7" ht="15.75" customHeight="1">
      <c r="B27" s="16"/>
      <c r="C27" s="18" t="s">
        <v>101</v>
      </c>
      <c r="D27" s="64"/>
      <c r="E27" s="18"/>
      <c r="F27" s="54"/>
      <c r="G27" s="51"/>
    </row>
    <row r="28" spans="2:7" ht="15.75" customHeight="1">
      <c r="B28" s="16"/>
      <c r="C28" s="18"/>
      <c r="D28" s="64"/>
      <c r="E28" s="18"/>
      <c r="F28" s="54"/>
      <c r="G28" s="51"/>
    </row>
    <row r="29" spans="2:7" ht="15.75" customHeight="1">
      <c r="B29" s="133" t="s">
        <v>100</v>
      </c>
      <c r="C29" s="18" t="s">
        <v>172</v>
      </c>
      <c r="D29" s="64"/>
      <c r="E29" s="18"/>
      <c r="F29" s="77">
        <f>IRR(D8:D11,0.01)</f>
        <v>0.30898383312853794</v>
      </c>
      <c r="G29" s="51"/>
    </row>
    <row r="30" spans="2:7" ht="15.75" customHeight="1">
      <c r="B30" s="16"/>
      <c r="C30" s="18" t="s">
        <v>175</v>
      </c>
      <c r="D30" s="64"/>
      <c r="E30" s="18"/>
      <c r="F30" s="77">
        <f>IRR(F8:F11,0.01)</f>
        <v>0.36509062041708124</v>
      </c>
      <c r="G30" s="51"/>
    </row>
    <row r="31" spans="2:7" ht="15.75" customHeight="1">
      <c r="B31" s="16"/>
      <c r="C31" s="18" t="s">
        <v>105</v>
      </c>
      <c r="D31" s="64"/>
      <c r="E31" s="18"/>
      <c r="F31" s="75" t="str">
        <f>IF(F29&gt;F30,"Dry Prepeg","Solvent Prepeg")</f>
        <v>Solvent Prepeg</v>
      </c>
      <c r="G31" s="51"/>
    </row>
    <row r="32" spans="2:7" ht="15.75" customHeight="1">
      <c r="B32" s="16"/>
      <c r="C32" s="18" t="s">
        <v>104</v>
      </c>
      <c r="D32" s="64"/>
      <c r="E32" s="18"/>
      <c r="F32" s="18"/>
      <c r="G32" s="51"/>
    </row>
    <row r="33" spans="2:7" ht="15.75" customHeight="1">
      <c r="B33" s="16"/>
      <c r="C33" s="18"/>
      <c r="D33" s="64"/>
      <c r="E33" s="18"/>
      <c r="F33" s="18"/>
      <c r="G33" s="51"/>
    </row>
    <row r="34" spans="2:7" ht="15.75" customHeight="1">
      <c r="B34" s="133" t="s">
        <v>103</v>
      </c>
      <c r="C34" s="54" t="s">
        <v>2</v>
      </c>
      <c r="D34" s="64" t="s">
        <v>138</v>
      </c>
      <c r="E34" s="18"/>
      <c r="F34" s="154"/>
      <c r="G34" s="51"/>
    </row>
    <row r="35" spans="2:7" ht="15.75" customHeight="1">
      <c r="B35" s="16"/>
      <c r="C35" s="54">
        <v>0</v>
      </c>
      <c r="D35" s="190">
        <f>IF(F8&lt;D8,F8-D8,D8-F8)</f>
        <v>-950000</v>
      </c>
      <c r="E35" s="18"/>
      <c r="F35" s="154"/>
      <c r="G35" s="51"/>
    </row>
    <row r="36" spans="2:7" ht="15.75" customHeight="1">
      <c r="B36" s="16"/>
      <c r="C36" s="54">
        <v>1</v>
      </c>
      <c r="D36" s="190">
        <f>IF($F$8&lt;$D$8,F9-D9,D9-F9)</f>
        <v>725000</v>
      </c>
      <c r="E36" s="18"/>
      <c r="F36" s="105"/>
      <c r="G36" s="51"/>
    </row>
    <row r="37" spans="2:7" ht="15.75" customHeight="1">
      <c r="B37" s="16"/>
      <c r="C37" s="54">
        <v>2</v>
      </c>
      <c r="D37" s="190">
        <f>IF($F$8&lt;$D$8,F10-D10,D10-F10)</f>
        <v>300000</v>
      </c>
      <c r="E37" s="18"/>
      <c r="F37" s="18"/>
      <c r="G37" s="51"/>
    </row>
    <row r="38" spans="2:7" ht="15.75" customHeight="1">
      <c r="B38" s="16"/>
      <c r="C38" s="54">
        <v>3</v>
      </c>
      <c r="D38" s="190">
        <f>IF($F$8&lt;$D$8,F11-D11,D11-F11)</f>
        <v>360000</v>
      </c>
      <c r="E38" s="18"/>
      <c r="F38" s="18"/>
      <c r="G38" s="51"/>
    </row>
    <row r="39" spans="2:7" ht="15.75" customHeight="1">
      <c r="B39" s="133"/>
      <c r="C39" s="18"/>
      <c r="D39" s="64"/>
      <c r="E39" s="18"/>
      <c r="F39" s="18"/>
      <c r="G39" s="51"/>
    </row>
    <row r="40" spans="2:7" ht="15.75" customHeight="1">
      <c r="B40" s="16"/>
      <c r="C40" s="18" t="s">
        <v>139</v>
      </c>
      <c r="D40" s="40">
        <f>IRR(D35:D38)</f>
        <v>0.25524034903884119</v>
      </c>
      <c r="E40" s="18"/>
      <c r="F40" s="105"/>
      <c r="G40" s="51"/>
    </row>
    <row r="41" spans="2:7" ht="15.75" customHeight="1">
      <c r="B41" s="16"/>
      <c r="C41" s="18"/>
      <c r="D41" s="41"/>
      <c r="E41" s="18"/>
      <c r="F41" s="105"/>
      <c r="G41" s="51"/>
    </row>
    <row r="42" spans="2:7" ht="15.75" customHeight="1">
      <c r="B42" s="16"/>
      <c r="C42" s="142" t="str">
        <f>IF(D40&gt;F13,"Accept the larger project.","Accept the smaller project.")</f>
        <v>Accept the larger project.</v>
      </c>
      <c r="D42" s="41"/>
      <c r="E42" s="18"/>
      <c r="F42" s="105"/>
      <c r="G42" s="51"/>
    </row>
    <row r="43" spans="2:7" s="1" customFormat="1" ht="15.75" customHeight="1" thickBot="1">
      <c r="B43" s="19"/>
      <c r="C43" s="20"/>
      <c r="D43" s="20"/>
      <c r="E43" s="20"/>
      <c r="F43" s="20"/>
      <c r="G43" s="21"/>
    </row>
    <row r="44" spans="2:7" ht="15.75" customHeight="1">
      <c r="B44" s="4"/>
      <c r="C44" s="4"/>
      <c r="D44" s="4"/>
      <c r="E44" s="4"/>
    </row>
    <row r="45" spans="2:7" ht="15.75" customHeight="1">
      <c r="B45" s="4"/>
      <c r="C45" s="4"/>
      <c r="D45" s="4"/>
      <c r="E45" s="4"/>
    </row>
    <row r="46" spans="2:7" ht="15.75" customHeight="1">
      <c r="B46" s="1"/>
      <c r="C46" s="1"/>
      <c r="D46" s="1"/>
      <c r="E46" s="1"/>
    </row>
    <row r="47" spans="2:7" ht="15.75" customHeight="1">
      <c r="B47" s="1"/>
      <c r="C47" s="1"/>
      <c r="D47" s="1"/>
      <c r="E47" s="1"/>
    </row>
    <row r="48" spans="2: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21111111">
    <pageSetUpPr fitToPage="1"/>
  </sheetPr>
  <dimension ref="B1:I49"/>
  <sheetViews>
    <sheetView workbookViewId="0"/>
  </sheetViews>
  <sheetFormatPr defaultRowHeight="12.75"/>
  <cols>
    <col min="2" max="2" width="3.140625" customWidth="1"/>
    <col min="3" max="3" width="15" customWidth="1"/>
    <col min="4" max="4" width="17.5703125" customWidth="1"/>
    <col min="5" max="5" width="18.7109375" customWidth="1"/>
    <col min="6" max="6" width="3.140625" customWidth="1"/>
    <col min="7" max="7" width="10" customWidth="1"/>
    <col min="8" max="8" width="17.5703125" bestFit="1" customWidth="1"/>
  </cols>
  <sheetData>
    <row r="1" spans="2:9" s="1" customFormat="1" ht="18">
      <c r="C1" s="140" t="s">
        <v>242</v>
      </c>
    </row>
    <row r="2" spans="2:9" s="1" customFormat="1" ht="15.75" customHeight="1">
      <c r="C2" s="1" t="s">
        <v>4</v>
      </c>
    </row>
    <row r="3" spans="2:9" s="1" customFormat="1" ht="15.75" customHeight="1"/>
    <row r="4" spans="2:9" s="1" customFormat="1" ht="15.75" customHeight="1">
      <c r="C4" s="2" t="s">
        <v>0</v>
      </c>
    </row>
    <row r="5" spans="2:9" s="1" customFormat="1" ht="15.75" customHeight="1" thickBot="1">
      <c r="C5" s="3"/>
      <c r="D5" s="4"/>
      <c r="E5" s="4"/>
    </row>
    <row r="6" spans="2:9" s="1" customFormat="1" ht="15.75" customHeight="1">
      <c r="B6" s="5"/>
      <c r="C6" s="6"/>
      <c r="D6" s="7"/>
      <c r="E6" s="7"/>
      <c r="F6" s="8"/>
    </row>
    <row r="7" spans="2:9" s="1" customFormat="1" ht="15.75" customHeight="1">
      <c r="B7" s="9"/>
      <c r="C7" s="46" t="s">
        <v>2</v>
      </c>
      <c r="D7" s="32" t="s">
        <v>6</v>
      </c>
      <c r="E7" s="30" t="s">
        <v>7</v>
      </c>
      <c r="F7" s="11"/>
    </row>
    <row r="8" spans="2:9" s="1" customFormat="1" ht="15.75" customHeight="1">
      <c r="B8" s="9"/>
      <c r="C8" s="46">
        <v>0</v>
      </c>
      <c r="D8" s="92">
        <v>-15000</v>
      </c>
      <c r="E8" s="92">
        <v>-18000</v>
      </c>
      <c r="F8" s="11"/>
    </row>
    <row r="9" spans="2:9" s="1" customFormat="1" ht="15.75" customHeight="1">
      <c r="B9" s="9"/>
      <c r="C9" s="46">
        <v>1</v>
      </c>
      <c r="D9" s="93">
        <v>9500</v>
      </c>
      <c r="E9" s="93">
        <v>10500</v>
      </c>
      <c r="F9" s="11"/>
    </row>
    <row r="10" spans="2:9" s="1" customFormat="1" ht="15.75" customHeight="1">
      <c r="B10" s="9"/>
      <c r="C10" s="46">
        <v>2</v>
      </c>
      <c r="D10" s="93">
        <v>6000</v>
      </c>
      <c r="E10" s="93">
        <v>7000</v>
      </c>
      <c r="F10" s="11"/>
    </row>
    <row r="11" spans="2:9" s="1" customFormat="1" ht="15.75" customHeight="1">
      <c r="B11" s="9"/>
      <c r="C11" s="46">
        <v>3</v>
      </c>
      <c r="D11" s="93">
        <v>2400</v>
      </c>
      <c r="E11" s="93">
        <v>6000</v>
      </c>
      <c r="F11" s="11"/>
      <c r="I11" s="23"/>
    </row>
    <row r="12" spans="2:9" s="1" customFormat="1" ht="15.75" customHeight="1">
      <c r="B12" s="9"/>
      <c r="C12" s="46"/>
      <c r="D12" s="93"/>
      <c r="E12" s="93"/>
      <c r="F12" s="11"/>
      <c r="I12" s="23"/>
    </row>
    <row r="13" spans="2:9" s="1" customFormat="1" ht="15.75" customHeight="1">
      <c r="B13" s="9"/>
      <c r="C13" s="103" t="s">
        <v>87</v>
      </c>
      <c r="D13" s="93"/>
      <c r="E13" s="93">
        <v>2</v>
      </c>
      <c r="F13" s="11"/>
      <c r="I13" s="23"/>
    </row>
    <row r="14" spans="2:9" s="1" customFormat="1" ht="15.75" customHeight="1">
      <c r="B14" s="9"/>
      <c r="C14" s="103" t="s">
        <v>19</v>
      </c>
      <c r="D14" s="93"/>
      <c r="E14" s="99">
        <v>0.15</v>
      </c>
      <c r="F14" s="11"/>
      <c r="I14" s="23"/>
    </row>
    <row r="15" spans="2:9" ht="15.75" customHeight="1" thickBot="1">
      <c r="B15" s="12"/>
      <c r="C15" s="24"/>
      <c r="D15" s="24"/>
      <c r="E15" s="24"/>
      <c r="F15" s="13"/>
    </row>
    <row r="16" spans="2:9" ht="15.75" customHeight="1">
      <c r="B16" s="25"/>
      <c r="C16" s="26"/>
      <c r="D16" s="26"/>
      <c r="E16" s="26"/>
      <c r="F16" s="25"/>
    </row>
    <row r="17" spans="2:6" ht="15.75" customHeight="1">
      <c r="B17" s="25"/>
      <c r="C17" s="27" t="s">
        <v>1</v>
      </c>
      <c r="D17" s="26"/>
      <c r="E17" s="26"/>
      <c r="F17" s="25"/>
    </row>
    <row r="18" spans="2:6" ht="15.75" customHeight="1" thickBot="1">
      <c r="B18" s="25"/>
      <c r="C18" s="26"/>
      <c r="D18" s="26"/>
      <c r="E18" s="26"/>
      <c r="F18" s="25"/>
    </row>
    <row r="19" spans="2:6" ht="15.75" customHeight="1">
      <c r="B19" s="14"/>
      <c r="C19" s="47"/>
      <c r="D19" s="47"/>
      <c r="E19" s="47"/>
      <c r="F19" s="49"/>
    </row>
    <row r="20" spans="2:6" ht="15.75" customHeight="1">
      <c r="B20" s="16" t="s">
        <v>112</v>
      </c>
      <c r="C20" s="18" t="s">
        <v>85</v>
      </c>
      <c r="D20" s="31"/>
      <c r="E20" s="78">
        <f>IF(-D8&gt;SUM(D9:D11),"Never",IF(-D8&gt;D9+D10,(2+(-D8-D9-D10)/D11),IF(-D8&gt;D9,(1+(-D8-D9)/D10),IF(-D8&lt;D9,D8/D9))))</f>
        <v>1.9166666666666665</v>
      </c>
      <c r="F20" s="51"/>
    </row>
    <row r="21" spans="2:6" ht="15.75" customHeight="1">
      <c r="B21" s="16"/>
      <c r="C21" s="18" t="s">
        <v>88</v>
      </c>
      <c r="D21" s="31"/>
      <c r="E21" s="104" t="str">
        <f>IF(E20&lt;=E13,"Accept","Reject")</f>
        <v>Accept</v>
      </c>
      <c r="F21" s="51"/>
    </row>
    <row r="22" spans="2:6" ht="15.75" customHeight="1">
      <c r="B22" s="16"/>
      <c r="C22" s="18"/>
      <c r="D22" s="31"/>
      <c r="E22" s="31"/>
      <c r="F22" s="51"/>
    </row>
    <row r="23" spans="2:6" ht="15.75" customHeight="1">
      <c r="B23" s="16"/>
      <c r="C23" s="18" t="s">
        <v>86</v>
      </c>
      <c r="D23" s="31"/>
      <c r="E23" s="78">
        <f>IF(-E8&gt;SUM(E9:E11),"Never",IF(-E8&gt;E9+E10,(2+(-E8-E9-E10)/E11),IF(-E8&gt;E9,(1+(-E8-E9)/E10),IF(-E8&lt;E9,E8/E9))))</f>
        <v>2.0833333333333335</v>
      </c>
      <c r="F23" s="51"/>
    </row>
    <row r="24" spans="2:6" ht="15.75" customHeight="1">
      <c r="B24" s="16"/>
      <c r="C24" s="18" t="s">
        <v>89</v>
      </c>
      <c r="D24" s="31"/>
      <c r="E24" s="104" t="str">
        <f>IF(E23&lt;=E13,"Accept","Reject")</f>
        <v>Reject</v>
      </c>
      <c r="F24" s="51"/>
    </row>
    <row r="25" spans="2:6" ht="15.75" customHeight="1">
      <c r="B25" s="16"/>
      <c r="C25" s="18"/>
      <c r="D25" s="31"/>
      <c r="E25" s="141"/>
      <c r="F25" s="51"/>
    </row>
    <row r="26" spans="2:6" ht="15.75" customHeight="1">
      <c r="B26" s="16" t="s">
        <v>113</v>
      </c>
      <c r="C26" s="18" t="s">
        <v>114</v>
      </c>
      <c r="D26" s="31"/>
      <c r="E26" s="134">
        <f>NPV(E14,D9:D11)+D8</f>
        <v>-624.22947316511636</v>
      </c>
      <c r="F26" s="51"/>
    </row>
    <row r="27" spans="2:6" ht="15.75" customHeight="1">
      <c r="B27" s="16"/>
      <c r="C27" s="18" t="s">
        <v>88</v>
      </c>
      <c r="D27" s="31"/>
      <c r="E27" s="104" t="str">
        <f>IF(E26&gt;=0,"Accept","Reject")</f>
        <v>Reject</v>
      </c>
      <c r="F27" s="51"/>
    </row>
    <row r="28" spans="2:6" ht="15.75" customHeight="1">
      <c r="B28" s="16"/>
      <c r="C28" s="18"/>
      <c r="D28" s="31"/>
      <c r="E28" s="141"/>
      <c r="F28" s="51"/>
    </row>
    <row r="29" spans="2:6" ht="15.75" customHeight="1">
      <c r="B29" s="16"/>
      <c r="C29" s="18" t="s">
        <v>115</v>
      </c>
      <c r="D29" s="31"/>
      <c r="E29" s="134">
        <f>NPV(E14,E9:E11)+E8</f>
        <v>368.53784827813433</v>
      </c>
      <c r="F29" s="51"/>
    </row>
    <row r="30" spans="2:6" ht="15.75" customHeight="1">
      <c r="B30" s="16"/>
      <c r="C30" s="18" t="s">
        <v>89</v>
      </c>
      <c r="D30" s="31"/>
      <c r="E30" s="104" t="str">
        <f>IF(E29&gt;=0,"Accept","Reject")</f>
        <v>Accept</v>
      </c>
      <c r="F30" s="51"/>
    </row>
    <row r="31" spans="2:6" ht="15.75" customHeight="1">
      <c r="B31" s="16"/>
      <c r="C31" s="18"/>
      <c r="D31" s="31"/>
      <c r="E31" s="141"/>
      <c r="F31" s="51"/>
    </row>
    <row r="32" spans="2:6" ht="15.75" customHeight="1">
      <c r="B32" s="16"/>
      <c r="C32" s="142" t="str">
        <f>IF(E29&gt;E26,"Accept Project B because it has a greater NPV.","Accept Project A because it has a greater NPV.")</f>
        <v>Accept Project B because it has a greater NPV.</v>
      </c>
      <c r="D32" s="31"/>
      <c r="E32" s="141"/>
      <c r="F32" s="51"/>
    </row>
    <row r="33" spans="2:6" ht="15.75" customHeight="1" thickBot="1">
      <c r="B33" s="19"/>
      <c r="C33" s="20"/>
      <c r="D33" s="20"/>
      <c r="E33" s="20"/>
      <c r="F33" s="68"/>
    </row>
    <row r="34" spans="2:6" ht="15.75" customHeight="1">
      <c r="B34" s="4"/>
      <c r="C34" s="4"/>
      <c r="D34" s="4"/>
      <c r="E34" s="4"/>
      <c r="F34" s="4"/>
    </row>
    <row r="35" spans="2:6" ht="15.75" customHeight="1">
      <c r="B35" s="4"/>
      <c r="C35" s="4"/>
      <c r="D35" s="4"/>
      <c r="E35" s="4"/>
      <c r="F35" s="4"/>
    </row>
    <row r="36" spans="2:6" ht="15.75" customHeight="1">
      <c r="B36" s="1"/>
      <c r="C36" s="1"/>
      <c r="D36" s="1"/>
      <c r="E36" s="1"/>
      <c r="F36" s="1"/>
    </row>
    <row r="37" spans="2:6" ht="15.75" customHeight="1">
      <c r="B37" s="1"/>
      <c r="C37" s="1"/>
      <c r="D37" s="1"/>
      <c r="E37" s="1"/>
      <c r="F37" s="1"/>
    </row>
    <row r="38" spans="2:6" ht="15.75" customHeight="1"/>
    <row r="39" spans="2:6" ht="15.75" customHeight="1"/>
    <row r="40" spans="2:6" ht="15.75" customHeight="1"/>
    <row r="41" spans="2:6" ht="15.75" customHeight="1"/>
    <row r="42" spans="2:6" ht="15.75" customHeight="1"/>
    <row r="43" spans="2:6" ht="15.75" customHeight="1"/>
    <row r="44" spans="2:6" ht="15.75" customHeight="1"/>
    <row r="45" spans="2:6" ht="15.75" customHeight="1"/>
    <row r="46" spans="2:6" ht="15.75" customHeight="1"/>
    <row r="47" spans="2:6" ht="15.75" customHeight="1"/>
    <row r="48" spans="2:6" ht="15.75" customHeight="1"/>
    <row r="49" ht="15.75" customHeight="1"/>
  </sheetData>
  <phoneticPr fontId="0" type="noConversion"/>
  <pageMargins left="0.75" right="0.75" top="1" bottom="1" header="0.5" footer="0.5"/>
  <pageSetup scale="87" orientation="landscape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1:H748"/>
  <sheetViews>
    <sheetView zoomScaleNormal="100" workbookViewId="0"/>
  </sheetViews>
  <sheetFormatPr defaultRowHeight="12.75"/>
  <cols>
    <col min="2" max="2" width="3.140625" customWidth="1"/>
    <col min="3" max="3" width="26.140625" bestFit="1" customWidth="1"/>
    <col min="4" max="4" width="16.28515625" bestFit="1" customWidth="1"/>
    <col min="5" max="5" width="18.28515625" bestFit="1" customWidth="1"/>
    <col min="6" max="6" width="3.140625" customWidth="1"/>
    <col min="8" max="8" width="12.85546875" bestFit="1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56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7"/>
      <c r="F6" s="8"/>
    </row>
    <row r="7" spans="2:8" s="1" customFormat="1" ht="15.75" customHeight="1">
      <c r="B7" s="9"/>
      <c r="C7" s="37" t="s">
        <v>27</v>
      </c>
      <c r="D7" s="44" t="s">
        <v>176</v>
      </c>
      <c r="E7" s="46" t="s">
        <v>177</v>
      </c>
      <c r="F7" s="11"/>
    </row>
    <row r="8" spans="2:8" s="1" customFormat="1" ht="15.75" customHeight="1">
      <c r="B8" s="9"/>
      <c r="C8" s="10" t="s">
        <v>24</v>
      </c>
      <c r="D8" s="130">
        <v>-550000</v>
      </c>
      <c r="E8" s="131">
        <v>-350000</v>
      </c>
      <c r="F8" s="11"/>
    </row>
    <row r="9" spans="2:8" s="1" customFormat="1" ht="15.75" customHeight="1">
      <c r="B9" s="9"/>
      <c r="C9" s="10" t="s">
        <v>15</v>
      </c>
      <c r="D9" s="132">
        <v>185000</v>
      </c>
      <c r="E9" s="131">
        <v>100000</v>
      </c>
      <c r="F9" s="11"/>
      <c r="G9" s="23"/>
    </row>
    <row r="10" spans="2:8" s="1" customFormat="1" ht="15.75" customHeight="1">
      <c r="B10" s="9"/>
      <c r="C10" s="10" t="s">
        <v>16</v>
      </c>
      <c r="D10" s="132">
        <v>185000</v>
      </c>
      <c r="E10" s="131">
        <v>110000</v>
      </c>
      <c r="F10" s="11"/>
      <c r="G10" s="23"/>
      <c r="H10" s="239"/>
    </row>
    <row r="11" spans="2:8" s="1" customFormat="1" ht="15.75" customHeight="1">
      <c r="B11" s="9"/>
      <c r="C11" s="10" t="s">
        <v>17</v>
      </c>
      <c r="D11" s="132">
        <v>185000</v>
      </c>
      <c r="E11" s="131">
        <v>121000</v>
      </c>
      <c r="F11" s="11"/>
      <c r="G11" s="23"/>
    </row>
    <row r="12" spans="2:8" s="1" customFormat="1" ht="15.75" customHeight="1">
      <c r="B12" s="9"/>
      <c r="C12" s="10" t="s">
        <v>18</v>
      </c>
      <c r="D12" s="132">
        <v>185000</v>
      </c>
      <c r="E12" s="131">
        <v>133100</v>
      </c>
      <c r="F12" s="11"/>
      <c r="G12" s="23"/>
    </row>
    <row r="13" spans="2:8" s="1" customFormat="1" ht="15.75" customHeight="1">
      <c r="B13" s="9"/>
      <c r="C13" s="10" t="s">
        <v>152</v>
      </c>
      <c r="D13" s="132">
        <v>185000</v>
      </c>
      <c r="E13" s="131">
        <v>146410</v>
      </c>
      <c r="F13" s="11"/>
      <c r="G13" s="23"/>
    </row>
    <row r="14" spans="2:8" s="1" customFormat="1" ht="15.75" customHeight="1">
      <c r="B14" s="9"/>
      <c r="C14" s="10"/>
      <c r="D14" s="95"/>
      <c r="E14" s="117"/>
      <c r="F14" s="11"/>
      <c r="G14" s="23"/>
    </row>
    <row r="15" spans="2:8" s="1" customFormat="1" ht="15.75" customHeight="1">
      <c r="B15" s="9"/>
      <c r="C15" s="10" t="s">
        <v>36</v>
      </c>
      <c r="D15" s="112"/>
      <c r="E15" s="118">
        <v>0.15</v>
      </c>
      <c r="F15" s="11"/>
      <c r="G15" s="23"/>
    </row>
    <row r="16" spans="2:8" s="1" customFormat="1" ht="15.75" customHeight="1" thickBot="1">
      <c r="B16" s="12"/>
      <c r="C16" s="38"/>
      <c r="D16" s="45"/>
      <c r="E16" s="38"/>
      <c r="F16" s="13"/>
      <c r="G16" s="23"/>
    </row>
    <row r="17" spans="2:6" ht="15.75" customHeight="1">
      <c r="B17" s="25"/>
      <c r="C17" s="26"/>
      <c r="D17" s="26"/>
    </row>
    <row r="18" spans="2:6" ht="15.75" customHeight="1">
      <c r="B18" s="25"/>
      <c r="C18" s="27" t="s">
        <v>1</v>
      </c>
      <c r="D18" s="26"/>
    </row>
    <row r="19" spans="2:6" ht="15.75" customHeight="1" thickBot="1">
      <c r="B19" s="25"/>
      <c r="C19" s="26"/>
      <c r="D19" s="26"/>
    </row>
    <row r="20" spans="2:6" ht="15.75" customHeight="1">
      <c r="B20" s="14"/>
      <c r="C20" s="28"/>
      <c r="D20" s="28"/>
      <c r="E20" s="48"/>
      <c r="F20" s="49"/>
    </row>
    <row r="21" spans="2:6" ht="15.75" customHeight="1">
      <c r="B21" s="16" t="s">
        <v>98</v>
      </c>
      <c r="C21" s="18" t="s">
        <v>252</v>
      </c>
      <c r="D21" s="64"/>
      <c r="E21" s="243">
        <f>IF(-D8&gt;SUM(D9:D13),"Never",IF(-D8&gt;(D9+D10+D11+D12),(4+(-D8-D9-D10-D11-D12)/D13),IF(-D8&gt;(D9+D10+D11),(3+(-D8-D9-D10-D11)/D12),IF(-D8&gt;D9+D10,(2+(-D8-D9-D10)/D11),IF(-D8&gt;D9,(1+(-D8-D9)/D10),IF(-D8&lt;=D9,(-D8/D9)))))))</f>
        <v>2.9729729729729728</v>
      </c>
      <c r="F21" s="51"/>
    </row>
    <row r="22" spans="2:6" ht="15.75" customHeight="1">
      <c r="B22" s="16"/>
      <c r="C22" s="18" t="s">
        <v>253</v>
      </c>
      <c r="D22" s="64"/>
      <c r="E22" s="242">
        <f>IF(-E8&gt;SUM(E9:E13),"Never",IF(-E8&gt;(E9+E10+E11+E12),(4+(-E8-E9-E10-E11-E12)/E13),IF(-E8&gt;(E9+E10+E11),(3+(-E8-E9-E10-E11)/E12),IF(-E8&gt;E9+E10,(2+(-E8-E9-E10)/E11),IF(-E8&gt;E9,(1+(-E8-E9)/E10),IF(-E8&lt;=E9,(-E8/E9)))))))</f>
        <v>3.1427498121712998</v>
      </c>
      <c r="F22" s="51"/>
    </row>
    <row r="23" spans="2:6" ht="15.75" customHeight="1">
      <c r="B23" s="16"/>
      <c r="C23" s="18" t="s">
        <v>254</v>
      </c>
      <c r="D23" s="64"/>
      <c r="E23" s="75" t="str">
        <f>IF(E21&gt;E22,"NX-20","NP-30")</f>
        <v>NP-30</v>
      </c>
      <c r="F23" s="51"/>
    </row>
    <row r="24" spans="2:6" ht="15.75" customHeight="1">
      <c r="B24" s="16"/>
      <c r="C24" s="147"/>
      <c r="D24" s="147"/>
      <c r="E24" s="50"/>
      <c r="F24" s="51"/>
    </row>
    <row r="25" spans="2:6" ht="15.75" customHeight="1">
      <c r="B25" s="133" t="s">
        <v>99</v>
      </c>
      <c r="C25" s="18" t="s">
        <v>179</v>
      </c>
      <c r="D25" s="64"/>
      <c r="E25" s="77">
        <f>IRR(D8:D13,0.01)</f>
        <v>0.20269361865042151</v>
      </c>
      <c r="F25" s="51"/>
    </row>
    <row r="26" spans="2:6" ht="15.75" customHeight="1">
      <c r="B26" s="16"/>
      <c r="C26" s="18" t="s">
        <v>181</v>
      </c>
      <c r="D26" s="64"/>
      <c r="E26" s="77">
        <f>IRR(E8:E13,0.01)</f>
        <v>0.20335731374674379</v>
      </c>
      <c r="F26" s="51"/>
    </row>
    <row r="27" spans="2:6" ht="15.75" customHeight="1">
      <c r="B27" s="16"/>
      <c r="C27" s="18" t="s">
        <v>105</v>
      </c>
      <c r="D27" s="64"/>
      <c r="E27" s="75" t="str">
        <f>IF(E25&gt;E26,"NP-30","NX-20")</f>
        <v>NX-20</v>
      </c>
      <c r="F27" s="51"/>
    </row>
    <row r="28" spans="2:6" ht="15.75" customHeight="1">
      <c r="B28" s="16"/>
      <c r="C28" s="147"/>
      <c r="D28" s="147"/>
      <c r="E28" s="50"/>
      <c r="F28" s="51"/>
    </row>
    <row r="29" spans="2:6" ht="15.75" customHeight="1">
      <c r="B29" s="133" t="s">
        <v>100</v>
      </c>
      <c r="C29" s="18" t="s">
        <v>182</v>
      </c>
      <c r="D29" s="64"/>
      <c r="E29" s="164">
        <f>NPV(E15,D9:D13)/-D8</f>
        <v>1.1275430784220173</v>
      </c>
      <c r="F29" s="51"/>
    </row>
    <row r="30" spans="2:6" ht="15.75" customHeight="1">
      <c r="B30" s="16"/>
      <c r="C30" s="18" t="s">
        <v>183</v>
      </c>
      <c r="D30" s="64"/>
      <c r="E30" s="164">
        <f>NPV(E15,E9:E13)/-E8</f>
        <v>1.138810834484294</v>
      </c>
      <c r="F30" s="51"/>
    </row>
    <row r="31" spans="2:6" ht="15.75" customHeight="1">
      <c r="B31" s="16"/>
      <c r="C31" s="18" t="s">
        <v>184</v>
      </c>
      <c r="D31" s="64"/>
      <c r="E31" s="75" t="str">
        <f>IF(E29&gt;E30,"NP-30","NX-20")</f>
        <v>NX-20</v>
      </c>
      <c r="F31" s="51"/>
    </row>
    <row r="32" spans="2:6" ht="15.75" customHeight="1">
      <c r="B32" s="16"/>
      <c r="C32" s="18" t="s">
        <v>185</v>
      </c>
      <c r="D32" s="64"/>
      <c r="E32" s="18"/>
      <c r="F32" s="51"/>
    </row>
    <row r="33" spans="2:6" ht="15.75" customHeight="1">
      <c r="B33" s="16"/>
      <c r="C33" s="147"/>
      <c r="D33" s="147"/>
      <c r="E33" s="50"/>
      <c r="F33" s="51"/>
    </row>
    <row r="34" spans="2:6" ht="15.75" customHeight="1">
      <c r="B34" s="133" t="s">
        <v>103</v>
      </c>
      <c r="C34" s="18" t="s">
        <v>178</v>
      </c>
      <c r="D34" s="64"/>
      <c r="E34" s="134">
        <f>D8+NPV(E15,D9:D13)</f>
        <v>70148.693132109474</v>
      </c>
      <c r="F34" s="51"/>
    </row>
    <row r="35" spans="2:6" ht="15.75" customHeight="1">
      <c r="B35" s="16"/>
      <c r="C35" s="18" t="s">
        <v>180</v>
      </c>
      <c r="D35" s="64"/>
      <c r="E35" s="134">
        <f>E8+NPV(E15,E9:E13)</f>
        <v>48583.792069502932</v>
      </c>
      <c r="F35" s="51"/>
    </row>
    <row r="36" spans="2:6" ht="15.75" customHeight="1">
      <c r="B36" s="16"/>
      <c r="C36" s="18" t="s">
        <v>102</v>
      </c>
      <c r="D36" s="64"/>
      <c r="E36" s="75" t="str">
        <f>IF(E34&gt;E35,"NP-30","NX-20")</f>
        <v>NP-30</v>
      </c>
      <c r="F36" s="51"/>
    </row>
    <row r="37" spans="2:6" ht="15.75" customHeight="1">
      <c r="B37" s="16"/>
      <c r="C37" s="18" t="s">
        <v>101</v>
      </c>
      <c r="D37" s="64"/>
      <c r="E37" s="54"/>
      <c r="F37" s="51"/>
    </row>
    <row r="38" spans="2:6" s="1" customFormat="1" ht="15.75" customHeight="1" thickBot="1">
      <c r="B38" s="19"/>
      <c r="C38" s="20"/>
      <c r="D38" s="20"/>
      <c r="E38" s="20"/>
      <c r="F38" s="21"/>
    </row>
    <row r="39" spans="2:6" ht="15.75" customHeight="1">
      <c r="B39" s="4"/>
      <c r="C39" s="4"/>
      <c r="D39" s="4"/>
    </row>
    <row r="40" spans="2:6" ht="15.75" customHeight="1">
      <c r="B40" s="4"/>
      <c r="C40" s="4"/>
      <c r="D40" s="4"/>
    </row>
    <row r="41" spans="2:6" ht="15.75" customHeight="1">
      <c r="B41" s="1"/>
      <c r="C41" s="1"/>
      <c r="D41" s="1"/>
    </row>
    <row r="42" spans="2:6" ht="15.75" customHeight="1">
      <c r="B42" s="1"/>
      <c r="C42" s="1"/>
      <c r="D42" s="1"/>
    </row>
    <row r="43" spans="2:6" ht="15.75" customHeight="1"/>
    <row r="44" spans="2:6" ht="15.75" customHeight="1"/>
    <row r="45" spans="2:6" ht="15.75" customHeight="1"/>
    <row r="46" spans="2:6" ht="15.75" customHeight="1"/>
    <row r="47" spans="2:6" ht="15.75" customHeight="1"/>
    <row r="48" spans="2: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</sheetData>
  <phoneticPr fontId="0" type="noConversion"/>
  <pageMargins left="0.75" right="0.75" top="1" bottom="1" header="0.5" footer="0.5"/>
  <pageSetup scale="90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B1:I734"/>
  <sheetViews>
    <sheetView zoomScaleNormal="100" workbookViewId="0"/>
  </sheetViews>
  <sheetFormatPr defaultRowHeight="12.75"/>
  <cols>
    <col min="2" max="2" width="3.140625" customWidth="1"/>
    <col min="3" max="3" width="26.140625" bestFit="1" customWidth="1"/>
    <col min="4" max="4" width="16.28515625" bestFit="1" customWidth="1"/>
    <col min="5" max="5" width="3.140625" customWidth="1"/>
    <col min="9" max="9" width="14.28515625" bestFit="1" customWidth="1"/>
    <col min="10" max="10" width="9.7109375" bestFit="1" customWidth="1"/>
  </cols>
  <sheetData>
    <row r="1" spans="2:9" s="1" customFormat="1" ht="18">
      <c r="C1" s="140" t="s">
        <v>242</v>
      </c>
    </row>
    <row r="2" spans="2:9" s="1" customFormat="1" ht="15.75" customHeight="1">
      <c r="C2" s="1" t="s">
        <v>57</v>
      </c>
    </row>
    <row r="3" spans="2:9" s="1" customFormat="1" ht="15.75" customHeight="1"/>
    <row r="4" spans="2:9" s="1" customFormat="1" ht="15.75" customHeight="1">
      <c r="C4" s="2" t="s">
        <v>0</v>
      </c>
    </row>
    <row r="5" spans="2:9" s="1" customFormat="1" ht="15.75" customHeight="1" thickBot="1">
      <c r="C5" s="3"/>
      <c r="D5" s="4"/>
    </row>
    <row r="6" spans="2:9" s="1" customFormat="1" ht="15.75" customHeight="1">
      <c r="B6" s="5"/>
      <c r="C6" s="6"/>
      <c r="D6" s="7"/>
      <c r="E6" s="8"/>
    </row>
    <row r="7" spans="2:9" s="1" customFormat="1" ht="15.75" customHeight="1">
      <c r="B7" s="9"/>
      <c r="C7" s="37" t="s">
        <v>27</v>
      </c>
      <c r="D7" s="44"/>
      <c r="E7" s="11"/>
    </row>
    <row r="8" spans="2:9" s="1" customFormat="1" ht="15.75" customHeight="1">
      <c r="B8" s="9"/>
      <c r="C8" s="10" t="s">
        <v>24</v>
      </c>
      <c r="D8" s="130">
        <v>-75000</v>
      </c>
      <c r="E8" s="11"/>
    </row>
    <row r="9" spans="2:9" s="1" customFormat="1" ht="15.75" customHeight="1">
      <c r="B9" s="9"/>
      <c r="C9" s="10" t="s">
        <v>15</v>
      </c>
      <c r="D9" s="132">
        <v>155000</v>
      </c>
      <c r="E9" s="11"/>
      <c r="I9" s="250"/>
    </row>
    <row r="10" spans="2:9" s="1" customFormat="1" ht="15.75" customHeight="1">
      <c r="B10" s="9"/>
      <c r="C10" s="10" t="s">
        <v>16</v>
      </c>
      <c r="D10" s="132">
        <v>-65000</v>
      </c>
      <c r="E10" s="11"/>
      <c r="I10" s="250"/>
    </row>
    <row r="11" spans="2:9" s="1" customFormat="1" ht="15.75" customHeight="1">
      <c r="B11" s="9"/>
      <c r="C11" s="10"/>
      <c r="D11" s="95"/>
      <c r="E11" s="11"/>
    </row>
    <row r="12" spans="2:9" s="1" customFormat="1" ht="15.75" customHeight="1">
      <c r="B12" s="9"/>
      <c r="C12" s="10" t="s">
        <v>255</v>
      </c>
      <c r="D12" s="247">
        <v>-0.16129032355745598</v>
      </c>
      <c r="E12" s="11"/>
    </row>
    <row r="13" spans="2:9" s="1" customFormat="1" ht="15.75" customHeight="1" thickBot="1">
      <c r="B13" s="12"/>
      <c r="C13" s="38"/>
      <c r="D13" s="45"/>
      <c r="E13" s="13"/>
      <c r="I13" s="240"/>
    </row>
    <row r="14" spans="2:9" ht="15.75" customHeight="1">
      <c r="B14" s="25"/>
      <c r="C14" s="26"/>
      <c r="D14" s="26"/>
      <c r="I14" s="240"/>
    </row>
    <row r="15" spans="2:9" ht="15.75" customHeight="1">
      <c r="B15" s="25"/>
      <c r="C15" s="27" t="s">
        <v>1</v>
      </c>
      <c r="D15" s="26"/>
      <c r="I15" s="240"/>
    </row>
    <row r="16" spans="2:9" ht="15.75" customHeight="1" thickBot="1">
      <c r="B16" s="25"/>
      <c r="C16" s="26"/>
      <c r="D16" s="26"/>
      <c r="I16" s="240"/>
    </row>
    <row r="17" spans="2:9" ht="15.75" customHeight="1">
      <c r="B17" s="14"/>
      <c r="C17" s="28"/>
      <c r="D17" s="28"/>
      <c r="E17" s="49"/>
      <c r="I17" s="240"/>
    </row>
    <row r="18" spans="2:9" ht="15.75" customHeight="1">
      <c r="B18" s="16"/>
      <c r="C18" s="18" t="s">
        <v>28</v>
      </c>
      <c r="D18" s="244">
        <f>IRR(D8:D10)</f>
        <v>0.48178746823579083</v>
      </c>
      <c r="E18" s="51"/>
      <c r="I18" s="240"/>
    </row>
    <row r="19" spans="2:9" ht="15.75" customHeight="1">
      <c r="B19" s="133"/>
      <c r="C19" s="18" t="s">
        <v>28</v>
      </c>
      <c r="D19" s="245">
        <f>IRR(D8:D10,-0.99)</f>
        <v>-0.41512080156931447</v>
      </c>
      <c r="E19" s="51"/>
      <c r="I19" s="240"/>
    </row>
    <row r="20" spans="2:9" ht="15.75" customHeight="1">
      <c r="B20" s="133"/>
      <c r="C20" s="18"/>
      <c r="D20" s="237"/>
      <c r="E20" s="51"/>
      <c r="I20" s="240"/>
    </row>
    <row r="21" spans="2:9" ht="15.75" customHeight="1">
      <c r="B21" s="133"/>
      <c r="C21" s="18" t="s">
        <v>40</v>
      </c>
      <c r="D21" s="246">
        <f>NPV(D12,D9:D10)+D8</f>
        <v>17403.846153846156</v>
      </c>
      <c r="E21" s="51"/>
      <c r="I21" s="240"/>
    </row>
    <row r="22" spans="2:9" ht="15.75" customHeight="1">
      <c r="B22" s="133"/>
      <c r="C22" s="18"/>
      <c r="D22" s="246"/>
      <c r="E22" s="51"/>
      <c r="I22" s="240"/>
    </row>
    <row r="23" spans="2:9" ht="15.75" customHeight="1">
      <c r="B23" s="133"/>
      <c r="C23" s="18" t="s">
        <v>261</v>
      </c>
      <c r="D23" s="246">
        <f>((D9*2)*(1+D12)^-3)+((D10*6)*(1+D12)^-4)</f>
        <v>-262722.17980584968</v>
      </c>
      <c r="E23" s="51"/>
      <c r="I23" s="240"/>
    </row>
    <row r="24" spans="2:9" s="1" customFormat="1" ht="15.75" customHeight="1" thickBot="1">
      <c r="B24" s="19"/>
      <c r="C24" s="20"/>
      <c r="D24" s="20"/>
      <c r="E24" s="21"/>
      <c r="H24"/>
      <c r="I24" s="240"/>
    </row>
    <row r="25" spans="2:9" ht="15.75" customHeight="1">
      <c r="B25" s="4"/>
      <c r="C25" s="4"/>
      <c r="D25" s="4"/>
      <c r="I25" s="240"/>
    </row>
    <row r="26" spans="2:9" ht="15.75" customHeight="1">
      <c r="B26" s="4"/>
      <c r="C26" s="4"/>
      <c r="D26" s="4"/>
      <c r="I26" s="240"/>
    </row>
    <row r="27" spans="2:9" ht="15.75" customHeight="1">
      <c r="B27" s="1"/>
      <c r="C27" s="1"/>
      <c r="D27" s="1"/>
      <c r="I27" s="240"/>
    </row>
    <row r="28" spans="2:9" ht="15.75" customHeight="1">
      <c r="B28" s="1"/>
      <c r="C28" s="1"/>
      <c r="D28" s="1"/>
      <c r="I28" s="240"/>
    </row>
    <row r="29" spans="2:9" ht="15.75" customHeight="1">
      <c r="I29" s="240"/>
    </row>
    <row r="30" spans="2:9" ht="15.75" customHeight="1">
      <c r="I30" s="240"/>
    </row>
    <row r="31" spans="2:9" ht="15.75" customHeight="1">
      <c r="I31" s="240"/>
    </row>
    <row r="32" spans="2:9" ht="15.75" customHeight="1">
      <c r="I32" s="240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</sheetData>
  <phoneticPr fontId="0" type="noConversion"/>
  <pageMargins left="0.75" right="0.75" top="1" bottom="1" header="0.5" footer="0.5"/>
  <pageSetup scale="87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2.75"/>
  <cols>
    <col min="1" max="1" width="2.28515625" customWidth="1"/>
    <col min="2" max="2" width="6.28515625" bestFit="1" customWidth="1"/>
    <col min="3" max="3" width="10.85546875" bestFit="1" customWidth="1"/>
    <col min="4" max="4" width="14.28515625" bestFit="1" customWidth="1"/>
    <col min="5" max="5" width="11.42578125" bestFit="1" customWidth="1"/>
  </cols>
  <sheetData>
    <row r="1" spans="1:5">
      <c r="A1" s="179" t="s">
        <v>247</v>
      </c>
    </row>
    <row r="2" spans="1:5">
      <c r="A2" s="179" t="s">
        <v>256</v>
      </c>
    </row>
    <row r="3" spans="1:5">
      <c r="A3" s="179" t="s">
        <v>257</v>
      </c>
    </row>
    <row r="6" spans="1:5" ht="13.5" thickBot="1">
      <c r="A6" t="s">
        <v>258</v>
      </c>
    </row>
    <row r="7" spans="1:5" ht="13.5" thickBot="1">
      <c r="B7" s="248" t="s">
        <v>203</v>
      </c>
      <c r="C7" s="248" t="s">
        <v>204</v>
      </c>
      <c r="D7" s="248" t="s">
        <v>205</v>
      </c>
      <c r="E7" s="248" t="s">
        <v>206</v>
      </c>
    </row>
    <row r="8" spans="1:5" ht="13.5" thickBot="1">
      <c r="B8" s="180" t="s">
        <v>259</v>
      </c>
      <c r="C8" s="180" t="s">
        <v>40</v>
      </c>
      <c r="D8" s="249">
        <v>12190.08</v>
      </c>
      <c r="E8" s="249">
        <v>17403.8462</v>
      </c>
    </row>
    <row r="11" spans="1:5" ht="13.5" thickBot="1">
      <c r="A11" t="s">
        <v>207</v>
      </c>
    </row>
    <row r="12" spans="1:5" ht="13.5" thickBot="1">
      <c r="B12" s="248" t="s">
        <v>203</v>
      </c>
      <c r="C12" s="248" t="s">
        <v>204</v>
      </c>
      <c r="D12" s="248" t="s">
        <v>205</v>
      </c>
      <c r="E12" s="248" t="s">
        <v>206</v>
      </c>
    </row>
    <row r="13" spans="1:5" ht="13.5" thickBot="1">
      <c r="B13" s="180" t="s">
        <v>260</v>
      </c>
      <c r="C13" s="180" t="s">
        <v>255</v>
      </c>
      <c r="D13" s="183">
        <v>0.1</v>
      </c>
      <c r="E13" s="183">
        <v>-0.16129032355745598</v>
      </c>
    </row>
    <row r="16" spans="1:5">
      <c r="A16" t="s">
        <v>208</v>
      </c>
    </row>
    <row r="17" spans="2:2">
      <c r="B17" t="s">
        <v>209</v>
      </c>
    </row>
  </sheetData>
  <phoneticPr fontId="3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1211111121111112"/>
  <dimension ref="B1:H43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4" width="16.28515625" bestFit="1" customWidth="1"/>
    <col min="5" max="5" width="3.140625" customWidth="1"/>
    <col min="6" max="6" width="16.28515625" bestFit="1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64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8"/>
    </row>
    <row r="7" spans="2:8" s="1" customFormat="1" ht="15.75" customHeight="1">
      <c r="B7" s="9"/>
      <c r="C7" s="10" t="s">
        <v>66</v>
      </c>
      <c r="D7" s="95">
        <v>6</v>
      </c>
      <c r="E7" s="11"/>
      <c r="H7" s="23"/>
    </row>
    <row r="8" spans="2:8" s="1" customFormat="1" ht="15.75" customHeight="1">
      <c r="B8" s="9"/>
      <c r="C8" s="10" t="s">
        <v>65</v>
      </c>
      <c r="D8" s="92">
        <v>434000</v>
      </c>
      <c r="E8" s="11"/>
    </row>
    <row r="9" spans="2:8" s="1" customFormat="1" ht="15.75" customHeight="1">
      <c r="B9" s="9"/>
      <c r="C9" s="10" t="s">
        <v>26</v>
      </c>
      <c r="D9" s="109">
        <v>0.12</v>
      </c>
      <c r="E9" s="11"/>
    </row>
    <row r="10" spans="2:8" ht="15.75" customHeight="1" thickBot="1">
      <c r="B10" s="12"/>
      <c r="C10" s="38"/>
      <c r="D10" s="24" t="s">
        <v>11</v>
      </c>
      <c r="E10" s="13"/>
    </row>
    <row r="11" spans="2:8" ht="15.75" customHeight="1">
      <c r="B11" s="25"/>
      <c r="C11" s="26"/>
      <c r="D11" s="26"/>
      <c r="E11" s="25"/>
    </row>
    <row r="12" spans="2:8" ht="15.75" customHeight="1">
      <c r="B12" s="25"/>
      <c r="C12" s="27" t="s">
        <v>1</v>
      </c>
      <c r="D12" s="26"/>
      <c r="E12" s="25"/>
    </row>
    <row r="13" spans="2:8" ht="15.75" customHeight="1" thickBot="1">
      <c r="B13" s="25"/>
      <c r="C13" s="26"/>
      <c r="D13" s="26"/>
      <c r="E13" s="25"/>
    </row>
    <row r="14" spans="2:8" ht="15.75" customHeight="1">
      <c r="B14" s="14"/>
      <c r="C14" s="28"/>
      <c r="D14" s="28"/>
      <c r="E14" s="47"/>
      <c r="F14" s="48"/>
      <c r="G14" s="49"/>
    </row>
    <row r="15" spans="2:8" ht="15.75" customHeight="1">
      <c r="B15" s="16"/>
      <c r="C15" s="18" t="s">
        <v>67</v>
      </c>
      <c r="D15" s="42"/>
      <c r="E15" s="18"/>
      <c r="F15" s="50"/>
      <c r="G15" s="51"/>
    </row>
    <row r="16" spans="2:8" ht="15.75" customHeight="1">
      <c r="B16" s="16"/>
      <c r="C16" s="18" t="s">
        <v>68</v>
      </c>
      <c r="D16" s="42"/>
      <c r="E16" s="18"/>
      <c r="F16" s="50"/>
      <c r="G16" s="51"/>
    </row>
    <row r="17" spans="2:7" ht="15.75" customHeight="1">
      <c r="B17" s="16"/>
      <c r="C17" s="18" t="s">
        <v>69</v>
      </c>
      <c r="D17" s="111">
        <f>-D8+(D8/(POWER(1+D9,D7)))</f>
        <v>-214122.09340904283</v>
      </c>
      <c r="E17" s="18"/>
      <c r="F17" s="101"/>
      <c r="G17" s="51"/>
    </row>
    <row r="18" spans="2:7" ht="15.75" customHeight="1">
      <c r="B18" s="16"/>
      <c r="C18" s="18" t="s">
        <v>70</v>
      </c>
      <c r="D18" s="39"/>
      <c r="E18" s="18"/>
      <c r="F18" s="50"/>
      <c r="G18" s="51"/>
    </row>
    <row r="19" spans="2:7" ht="15.75" customHeight="1">
      <c r="B19" s="16"/>
      <c r="C19" s="18" t="s">
        <v>71</v>
      </c>
      <c r="D19" s="42"/>
      <c r="E19" s="18"/>
      <c r="F19" s="50"/>
      <c r="G19" s="51"/>
    </row>
    <row r="20" spans="2:7" ht="15.75" customHeight="1" thickBot="1">
      <c r="B20" s="19"/>
      <c r="C20" s="20"/>
      <c r="D20" s="20"/>
      <c r="E20" s="20"/>
      <c r="F20" s="67"/>
      <c r="G20" s="68"/>
    </row>
    <row r="21" spans="2:7" ht="15.75" customHeight="1">
      <c r="B21" s="4"/>
      <c r="C21" s="4"/>
      <c r="D21" s="4"/>
      <c r="E21" s="4"/>
    </row>
    <row r="22" spans="2:7" ht="15.75" customHeight="1">
      <c r="B22" s="4"/>
      <c r="C22" s="4"/>
      <c r="D22" s="4"/>
      <c r="E22" s="4"/>
    </row>
    <row r="23" spans="2:7" ht="15.75" customHeight="1">
      <c r="B23" s="1"/>
      <c r="C23" s="1"/>
      <c r="D23" s="1"/>
      <c r="E23" s="1"/>
    </row>
    <row r="24" spans="2:7" ht="15.75" customHeight="1">
      <c r="B24" s="1"/>
      <c r="C24" s="1"/>
      <c r="D24" s="1"/>
      <c r="E24" s="1"/>
    </row>
    <row r="25" spans="2:7" ht="15.75" customHeight="1"/>
    <row r="26" spans="2:7" ht="15.75" customHeight="1"/>
    <row r="27" spans="2:7" ht="15.75" customHeight="1"/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112111111211111121"/>
  <dimension ref="B1:H43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4" width="15.140625" customWidth="1"/>
    <col min="5" max="5" width="3.140625" customWidth="1"/>
    <col min="6" max="6" width="11.42578125" customWidth="1"/>
    <col min="7" max="7" width="3.140625" customWidth="1"/>
    <col min="8" max="8" width="11.7109375" bestFit="1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72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8"/>
    </row>
    <row r="7" spans="2:8" s="1" customFormat="1" ht="15.75" customHeight="1">
      <c r="B7" s="9"/>
      <c r="C7" s="37" t="s">
        <v>27</v>
      </c>
      <c r="D7" s="43"/>
      <c r="E7" s="11"/>
    </row>
    <row r="8" spans="2:8" s="1" customFormat="1" ht="15.75" customHeight="1">
      <c r="B8" s="9"/>
      <c r="C8" s="10" t="s">
        <v>24</v>
      </c>
      <c r="D8" s="92">
        <v>-1008</v>
      </c>
      <c r="E8" s="11"/>
    </row>
    <row r="9" spans="2:8" s="1" customFormat="1" ht="15.75" customHeight="1">
      <c r="B9" s="9"/>
      <c r="C9" s="10" t="s">
        <v>15</v>
      </c>
      <c r="D9" s="92">
        <v>5724</v>
      </c>
      <c r="E9" s="11"/>
      <c r="H9" s="250"/>
    </row>
    <row r="10" spans="2:8" s="1" customFormat="1" ht="15.75" customHeight="1">
      <c r="B10" s="9"/>
      <c r="C10" s="10" t="s">
        <v>16</v>
      </c>
      <c r="D10" s="92">
        <v>-12140</v>
      </c>
      <c r="E10" s="11"/>
      <c r="H10" s="250"/>
    </row>
    <row r="11" spans="2:8" s="1" customFormat="1" ht="15.75" customHeight="1">
      <c r="B11" s="9"/>
      <c r="C11" s="10" t="s">
        <v>17</v>
      </c>
      <c r="D11" s="92">
        <v>11400</v>
      </c>
      <c r="E11" s="11"/>
      <c r="H11" s="250"/>
    </row>
    <row r="12" spans="2:8" s="1" customFormat="1" ht="15.75" customHeight="1">
      <c r="B12" s="9"/>
      <c r="C12" s="10" t="s">
        <v>18</v>
      </c>
      <c r="D12" s="100">
        <v>-4000</v>
      </c>
      <c r="E12" s="11"/>
      <c r="H12" s="250"/>
    </row>
    <row r="13" spans="2:8" ht="15.75" customHeight="1" thickBot="1">
      <c r="B13" s="12"/>
      <c r="C13" s="38"/>
      <c r="D13" s="24" t="s">
        <v>11</v>
      </c>
      <c r="E13" s="13"/>
    </row>
    <row r="14" spans="2:8" ht="15.75" customHeight="1">
      <c r="B14" s="25"/>
      <c r="C14" s="26"/>
      <c r="D14" s="26"/>
      <c r="E14" s="25"/>
    </row>
    <row r="15" spans="2:8" ht="15.75" customHeight="1">
      <c r="B15" s="25"/>
      <c r="C15" s="27" t="s">
        <v>1</v>
      </c>
      <c r="D15" s="26"/>
      <c r="E15" s="25"/>
    </row>
    <row r="16" spans="2:8" ht="15.75" customHeight="1" thickBot="1">
      <c r="B16" s="25"/>
      <c r="C16" s="26"/>
      <c r="D16" s="26"/>
      <c r="E16" s="25"/>
    </row>
    <row r="17" spans="2:7" ht="15.75" customHeight="1">
      <c r="B17" s="14"/>
      <c r="C17" s="28"/>
      <c r="D17" s="28"/>
      <c r="E17" s="47"/>
      <c r="F17" s="48"/>
      <c r="G17" s="49"/>
    </row>
    <row r="18" spans="2:7" ht="15.75" customHeight="1">
      <c r="B18" s="16"/>
      <c r="C18" s="18" t="s">
        <v>246</v>
      </c>
      <c r="D18" s="42"/>
      <c r="E18" s="18"/>
      <c r="F18" s="50"/>
      <c r="G18" s="51"/>
    </row>
    <row r="19" spans="2:7" ht="15.75" customHeight="1">
      <c r="B19" s="16"/>
      <c r="C19" s="18"/>
      <c r="D19" s="70">
        <f>IRR(D8:D12,0.24)</f>
        <v>0.24999999999993164</v>
      </c>
      <c r="E19" s="18"/>
      <c r="F19" s="50"/>
      <c r="G19" s="51"/>
    </row>
    <row r="20" spans="2:7" ht="15.75" customHeight="1">
      <c r="B20" s="16"/>
      <c r="C20" s="18"/>
      <c r="D20" s="70">
        <f>IRR(D8:D12,0.3)</f>
        <v>0.33333333333395992</v>
      </c>
      <c r="E20" s="18"/>
      <c r="F20" s="50"/>
      <c r="G20" s="51"/>
    </row>
    <row r="21" spans="2:7" ht="15.75" customHeight="1">
      <c r="B21" s="16"/>
      <c r="C21" s="18"/>
      <c r="D21" s="70">
        <f>IRR(D8:D12,0.4)</f>
        <v>0.42857142857183583</v>
      </c>
      <c r="E21" s="18"/>
      <c r="F21" s="50"/>
      <c r="G21" s="51"/>
    </row>
    <row r="22" spans="2:7" ht="15.75" customHeight="1">
      <c r="B22" s="16"/>
      <c r="C22" s="18"/>
      <c r="D22" s="70">
        <f>IRR(D8:D12,0.6)</f>
        <v>0.66666666666664487</v>
      </c>
      <c r="E22" s="18"/>
      <c r="F22" s="50"/>
      <c r="G22" s="51"/>
    </row>
    <row r="23" spans="2:7" ht="15.75" customHeight="1" thickBot="1">
      <c r="B23" s="19"/>
      <c r="C23" s="20"/>
      <c r="D23" s="20"/>
      <c r="E23" s="20"/>
      <c r="F23" s="67"/>
      <c r="G23" s="68"/>
    </row>
    <row r="24" spans="2:7" ht="15.75" customHeight="1">
      <c r="B24" s="4"/>
      <c r="C24" s="4"/>
      <c r="D24" s="4"/>
      <c r="E24" s="4"/>
    </row>
    <row r="25" spans="2:7" ht="15.75" customHeight="1">
      <c r="B25" s="4"/>
      <c r="C25" s="4"/>
      <c r="D25" s="4"/>
      <c r="E25" s="4"/>
    </row>
    <row r="26" spans="2:7" ht="15.75" customHeight="1">
      <c r="B26" s="1"/>
      <c r="C26" s="1"/>
      <c r="D26" s="1"/>
      <c r="E26" s="1"/>
    </row>
    <row r="27" spans="2:7" ht="15.75" customHeight="1">
      <c r="B27" s="1"/>
      <c r="C27" s="1"/>
      <c r="D27" s="1"/>
      <c r="E27" s="1"/>
    </row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1121111112111111211"/>
  <dimension ref="B1:G56"/>
  <sheetViews>
    <sheetView workbookViewId="0"/>
  </sheetViews>
  <sheetFormatPr defaultRowHeight="12.75"/>
  <cols>
    <col min="2" max="2" width="3.140625" customWidth="1"/>
    <col min="3" max="3" width="26.140625" customWidth="1"/>
    <col min="4" max="4" width="16.7109375" bestFit="1" customWidth="1"/>
    <col min="5" max="5" width="3.140625" customWidth="1"/>
    <col min="6" max="6" width="11.42578125" customWidth="1"/>
    <col min="7" max="7" width="3.140625" customWidth="1"/>
  </cols>
  <sheetData>
    <row r="1" spans="2:7" s="1" customFormat="1" ht="18">
      <c r="C1" s="140" t="s">
        <v>242</v>
      </c>
    </row>
    <row r="2" spans="2:7" s="1" customFormat="1" ht="15.75" customHeight="1">
      <c r="C2" s="1" t="s">
        <v>73</v>
      </c>
    </row>
    <row r="3" spans="2:7" s="1" customFormat="1" ht="15.75" customHeight="1"/>
    <row r="4" spans="2:7" s="1" customFormat="1" ht="15.75" customHeight="1">
      <c r="C4" s="2" t="s">
        <v>0</v>
      </c>
    </row>
    <row r="5" spans="2:7" s="1" customFormat="1" ht="15.75" customHeight="1" thickBot="1">
      <c r="C5" s="3"/>
      <c r="D5" s="4"/>
    </row>
    <row r="6" spans="2:7" s="1" customFormat="1" ht="15.75" customHeight="1">
      <c r="B6" s="5"/>
      <c r="C6" s="6"/>
      <c r="D6" s="7"/>
      <c r="E6" s="8"/>
    </row>
    <row r="7" spans="2:7" s="1" customFormat="1" ht="15.75" customHeight="1">
      <c r="B7" s="9"/>
      <c r="C7" s="10" t="s">
        <v>75</v>
      </c>
      <c r="D7" s="92">
        <v>290000</v>
      </c>
      <c r="E7" s="11"/>
    </row>
    <row r="8" spans="2:7" s="1" customFormat="1" ht="15.75" customHeight="1">
      <c r="B8" s="9"/>
      <c r="C8" s="10" t="s">
        <v>76</v>
      </c>
      <c r="D8" s="109">
        <v>0.05</v>
      </c>
      <c r="E8" s="11"/>
    </row>
    <row r="9" spans="2:7" s="1" customFormat="1" ht="15.75" customHeight="1">
      <c r="B9" s="9"/>
      <c r="C9" s="10" t="s">
        <v>74</v>
      </c>
      <c r="D9" s="92">
        <v>3900000</v>
      </c>
      <c r="E9" s="11"/>
    </row>
    <row r="10" spans="2:7" s="1" customFormat="1" ht="15.75" customHeight="1">
      <c r="B10" s="9"/>
      <c r="C10" s="10" t="s">
        <v>36</v>
      </c>
      <c r="D10" s="109">
        <v>0.11</v>
      </c>
      <c r="E10" s="11"/>
    </row>
    <row r="11" spans="2:7" ht="15.75" customHeight="1" thickBot="1">
      <c r="B11" s="12"/>
      <c r="C11" s="38"/>
      <c r="D11" s="24" t="s">
        <v>11</v>
      </c>
      <c r="E11" s="13"/>
    </row>
    <row r="12" spans="2:7" ht="15.75" customHeight="1">
      <c r="B12" s="25"/>
      <c r="C12" s="26"/>
      <c r="D12" s="26"/>
      <c r="E12" s="25"/>
    </row>
    <row r="13" spans="2:7" ht="15.75" customHeight="1">
      <c r="B13" s="25"/>
      <c r="C13" s="27" t="s">
        <v>1</v>
      </c>
      <c r="D13" s="26"/>
      <c r="E13" s="25"/>
    </row>
    <row r="14" spans="2:7" ht="15.75" customHeight="1" thickBot="1">
      <c r="B14" s="25"/>
      <c r="C14" s="26"/>
      <c r="D14" s="26"/>
      <c r="E14" s="25"/>
    </row>
    <row r="15" spans="2:7" ht="15.75" customHeight="1">
      <c r="B15" s="14"/>
      <c r="C15" s="28"/>
      <c r="D15" s="28"/>
      <c r="E15" s="15"/>
      <c r="F15" s="59"/>
      <c r="G15" s="59"/>
    </row>
    <row r="16" spans="2:7" ht="15.75" customHeight="1">
      <c r="B16" s="16"/>
      <c r="C16" s="18" t="s">
        <v>77</v>
      </c>
      <c r="D16" s="138">
        <f>D7/(D10-D8)</f>
        <v>4833333.333333334</v>
      </c>
      <c r="E16" s="17"/>
      <c r="F16" s="59"/>
      <c r="G16" s="59"/>
    </row>
    <row r="17" spans="2:7" ht="15.75" customHeight="1">
      <c r="B17" s="16"/>
      <c r="C17" s="18"/>
      <c r="D17" s="139"/>
      <c r="E17" s="17"/>
      <c r="F17" s="59"/>
      <c r="G17" s="59"/>
    </row>
    <row r="18" spans="2:7" ht="15.75" customHeight="1">
      <c r="B18" s="16"/>
      <c r="C18" s="18" t="s">
        <v>78</v>
      </c>
      <c r="D18" s="111">
        <f>-D9+D16</f>
        <v>933333.33333333395</v>
      </c>
      <c r="E18" s="17"/>
      <c r="F18" s="59"/>
      <c r="G18" s="59"/>
    </row>
    <row r="19" spans="2:7" ht="15.75" customHeight="1">
      <c r="B19" s="16"/>
      <c r="C19" s="18"/>
      <c r="D19" s="72"/>
      <c r="E19" s="17"/>
      <c r="F19" s="59"/>
      <c r="G19" s="59"/>
    </row>
    <row r="20" spans="2:7" ht="15.75" customHeight="1">
      <c r="B20" s="16"/>
      <c r="C20" s="18" t="s">
        <v>92</v>
      </c>
      <c r="D20" s="76" t="str">
        <f>IF(D18&gt;0,"Accept","Reject")</f>
        <v>Accept</v>
      </c>
      <c r="E20" s="17"/>
      <c r="F20" s="69"/>
      <c r="G20" s="59"/>
    </row>
    <row r="21" spans="2:7" ht="15.75" customHeight="1">
      <c r="B21" s="16"/>
      <c r="C21" s="18"/>
      <c r="D21" s="39"/>
      <c r="E21" s="17"/>
      <c r="F21" s="59"/>
      <c r="G21" s="59"/>
    </row>
    <row r="22" spans="2:7" ht="15.75" customHeight="1">
      <c r="B22" s="16"/>
      <c r="C22" s="18" t="s">
        <v>106</v>
      </c>
      <c r="D22" s="70">
        <f>D10-(D7/D9)</f>
        <v>3.5641025641025642E-2</v>
      </c>
      <c r="E22" s="17"/>
      <c r="F22" s="59"/>
      <c r="G22" s="59"/>
    </row>
    <row r="23" spans="2:7" ht="15.75" customHeight="1" thickBot="1">
      <c r="B23" s="19"/>
      <c r="C23" s="20"/>
      <c r="D23" s="20"/>
      <c r="E23" s="21"/>
      <c r="F23" s="59"/>
      <c r="G23" s="59"/>
    </row>
    <row r="24" spans="2:7" ht="15.75" customHeight="1">
      <c r="B24" s="4"/>
      <c r="C24" s="4"/>
      <c r="D24" s="4"/>
      <c r="E24" s="4"/>
    </row>
    <row r="25" spans="2:7" ht="15.75" customHeight="1">
      <c r="B25" s="4"/>
      <c r="C25" s="4"/>
      <c r="D25" s="4"/>
      <c r="E25" s="4"/>
    </row>
    <row r="26" spans="2:7" ht="15.75" customHeight="1">
      <c r="B26" s="1"/>
      <c r="C26" s="1"/>
      <c r="D26" s="1"/>
      <c r="E26" s="1"/>
    </row>
    <row r="27" spans="2:7" ht="15.75" customHeight="1">
      <c r="B27" s="1"/>
      <c r="C27" s="1"/>
      <c r="D27" s="1"/>
      <c r="E27" s="1"/>
    </row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B1:H38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4" width="18.140625" bestFit="1" customWidth="1"/>
    <col min="5" max="5" width="3.140625" customWidth="1"/>
    <col min="6" max="6" width="15.140625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">
      <c r="C2" s="1" t="s">
        <v>126</v>
      </c>
    </row>
    <row r="3" spans="2:8" s="1" customFormat="1" ht="15"/>
    <row r="4" spans="2:8" s="1" customFormat="1" ht="15">
      <c r="C4" s="2" t="s">
        <v>0</v>
      </c>
    </row>
    <row r="5" spans="2:8" s="1" customFormat="1" ht="15.75" thickBot="1">
      <c r="C5" s="3"/>
      <c r="D5" s="4"/>
    </row>
    <row r="6" spans="2:8" s="1" customFormat="1" ht="15">
      <c r="B6" s="5"/>
      <c r="C6" s="6"/>
      <c r="D6" s="7"/>
      <c r="E6" s="8"/>
      <c r="F6" s="25"/>
      <c r="G6" s="25"/>
    </row>
    <row r="7" spans="2:8" s="1" customFormat="1" ht="15">
      <c r="B7" s="9"/>
      <c r="C7" s="10" t="s">
        <v>74</v>
      </c>
      <c r="D7" s="121">
        <v>2400000</v>
      </c>
      <c r="E7" s="11"/>
      <c r="F7" s="57"/>
      <c r="G7" s="25"/>
    </row>
    <row r="8" spans="2:8" s="1" customFormat="1" ht="15">
      <c r="B8" s="9"/>
      <c r="C8" s="10" t="s">
        <v>187</v>
      </c>
      <c r="D8" s="122">
        <v>345000</v>
      </c>
      <c r="E8" s="11"/>
      <c r="F8" s="57"/>
      <c r="G8" s="25"/>
      <c r="H8" s="23"/>
    </row>
    <row r="9" spans="2:8" s="1" customFormat="1" ht="15">
      <c r="B9" s="9"/>
      <c r="C9" s="10" t="s">
        <v>188</v>
      </c>
      <c r="D9" s="99">
        <v>0.08</v>
      </c>
      <c r="E9" s="11"/>
      <c r="F9" s="25"/>
      <c r="G9" s="25"/>
      <c r="H9" s="23"/>
    </row>
    <row r="10" spans="2:8" s="1" customFormat="1" ht="15">
      <c r="B10" s="9"/>
      <c r="C10" s="10" t="s">
        <v>189</v>
      </c>
      <c r="D10" s="143">
        <v>400000</v>
      </c>
      <c r="E10" s="11"/>
      <c r="F10" s="25"/>
      <c r="G10" s="25"/>
      <c r="H10" s="23"/>
    </row>
    <row r="11" spans="2:8" s="1" customFormat="1" ht="15">
      <c r="B11" s="9"/>
      <c r="C11" s="10" t="s">
        <v>36</v>
      </c>
      <c r="D11" s="112">
        <v>0.1</v>
      </c>
      <c r="E11" s="11"/>
      <c r="F11" s="58"/>
      <c r="G11" s="25"/>
      <c r="H11" s="23"/>
    </row>
    <row r="12" spans="2:8" s="1" customFormat="1" ht="15.75" thickBot="1">
      <c r="B12" s="12"/>
      <c r="C12" s="38"/>
      <c r="D12" s="45"/>
      <c r="E12" s="13"/>
      <c r="F12" s="25"/>
      <c r="G12" s="25"/>
      <c r="H12" s="23"/>
    </row>
    <row r="13" spans="2:8" ht="15">
      <c r="B13" s="25"/>
      <c r="C13" s="26"/>
      <c r="D13" s="26"/>
      <c r="E13" s="25"/>
    </row>
    <row r="14" spans="2:8" ht="15">
      <c r="B14" s="25"/>
      <c r="C14" s="27" t="s">
        <v>1</v>
      </c>
      <c r="D14" s="26"/>
      <c r="E14" s="25"/>
    </row>
    <row r="15" spans="2:8" ht="15.75" thickBot="1">
      <c r="B15" s="25"/>
      <c r="C15" s="26"/>
      <c r="D15" s="26"/>
      <c r="E15" s="25"/>
    </row>
    <row r="16" spans="2:8" ht="15">
      <c r="B16" s="14"/>
      <c r="C16" s="28"/>
      <c r="D16" s="28"/>
      <c r="E16" s="15"/>
      <c r="F16" s="59"/>
      <c r="G16" s="59"/>
    </row>
    <row r="17" spans="2:7" ht="15">
      <c r="B17" s="16"/>
      <c r="C17" s="54" t="s">
        <v>2</v>
      </c>
      <c r="D17" s="53" t="s">
        <v>3</v>
      </c>
      <c r="E17" s="17"/>
      <c r="F17" s="59"/>
      <c r="G17" s="59"/>
    </row>
    <row r="18" spans="2:7" ht="15">
      <c r="B18" s="16"/>
      <c r="C18" s="167">
        <v>0</v>
      </c>
      <c r="D18" s="168">
        <f>-D7</f>
        <v>-2400000</v>
      </c>
      <c r="E18" s="17"/>
      <c r="F18" s="59"/>
      <c r="G18" s="59"/>
    </row>
    <row r="19" spans="2:7" ht="15">
      <c r="B19" s="16"/>
      <c r="C19" s="167">
        <v>1</v>
      </c>
      <c r="D19" s="94">
        <f>D8</f>
        <v>345000</v>
      </c>
      <c r="E19" s="17"/>
      <c r="F19" s="59"/>
      <c r="G19" s="59"/>
    </row>
    <row r="20" spans="2:7" ht="15">
      <c r="B20" s="16"/>
      <c r="C20" s="167">
        <v>2</v>
      </c>
      <c r="D20" s="94">
        <f>D19*(1+$D$9)</f>
        <v>372600</v>
      </c>
      <c r="E20" s="17"/>
      <c r="F20" s="59"/>
      <c r="G20" s="59"/>
    </row>
    <row r="21" spans="2:7" ht="15">
      <c r="B21" s="16"/>
      <c r="C21" s="167">
        <v>3</v>
      </c>
      <c r="D21" s="94">
        <f t="shared" ref="D21:D28" si="0">D20*(1+$D$9)</f>
        <v>402408</v>
      </c>
      <c r="E21" s="17"/>
      <c r="F21" s="59"/>
      <c r="G21" s="59"/>
    </row>
    <row r="22" spans="2:7" ht="15">
      <c r="B22" s="16"/>
      <c r="C22" s="167">
        <v>4</v>
      </c>
      <c r="D22" s="94">
        <f t="shared" si="0"/>
        <v>434600.64</v>
      </c>
      <c r="E22" s="17"/>
      <c r="F22" s="25"/>
      <c r="G22" s="59"/>
    </row>
    <row r="23" spans="2:7" ht="15">
      <c r="B23" s="16"/>
      <c r="C23" s="167">
        <v>5</v>
      </c>
      <c r="D23" s="94">
        <f t="shared" si="0"/>
        <v>469368.69120000006</v>
      </c>
      <c r="E23" s="17"/>
      <c r="F23" s="56"/>
      <c r="G23" s="59"/>
    </row>
    <row r="24" spans="2:7" ht="15">
      <c r="B24" s="16"/>
      <c r="C24" s="167">
        <v>6</v>
      </c>
      <c r="D24" s="94">
        <f t="shared" si="0"/>
        <v>506918.1864960001</v>
      </c>
      <c r="E24" s="61"/>
      <c r="F24" s="60"/>
      <c r="G24" s="59"/>
    </row>
    <row r="25" spans="2:7" ht="15">
      <c r="B25" s="16"/>
      <c r="C25" s="167">
        <v>7</v>
      </c>
      <c r="D25" s="94">
        <f t="shared" si="0"/>
        <v>547471.64141568018</v>
      </c>
      <c r="E25" s="61"/>
      <c r="F25" s="60"/>
      <c r="G25" s="59"/>
    </row>
    <row r="26" spans="2:7" ht="15">
      <c r="B26" s="16"/>
      <c r="C26" s="167">
        <v>8</v>
      </c>
      <c r="D26" s="94">
        <f t="shared" si="0"/>
        <v>591269.37272893463</v>
      </c>
      <c r="E26" s="61"/>
      <c r="F26" s="60"/>
      <c r="G26" s="59"/>
    </row>
    <row r="27" spans="2:7" ht="15">
      <c r="B27" s="16"/>
      <c r="C27" s="167">
        <v>9</v>
      </c>
      <c r="D27" s="94">
        <f t="shared" si="0"/>
        <v>638570.92254724947</v>
      </c>
      <c r="E27" s="61"/>
      <c r="F27" s="60"/>
      <c r="G27" s="59"/>
    </row>
    <row r="28" spans="2:7" ht="15">
      <c r="B28" s="16"/>
      <c r="C28" s="167">
        <v>10</v>
      </c>
      <c r="D28" s="94">
        <f t="shared" si="0"/>
        <v>689656.59635102947</v>
      </c>
      <c r="E28" s="61"/>
      <c r="F28" s="60"/>
      <c r="G28" s="59"/>
    </row>
    <row r="29" spans="2:7" ht="15">
      <c r="B29" s="16"/>
      <c r="C29" s="167">
        <v>11</v>
      </c>
      <c r="D29" s="94">
        <f>D28*(1+$D$9)-D10</f>
        <v>344829.12405911193</v>
      </c>
      <c r="E29" s="61"/>
      <c r="F29" s="60"/>
      <c r="G29" s="59"/>
    </row>
    <row r="30" spans="2:7" ht="15">
      <c r="B30" s="16"/>
      <c r="C30" s="167"/>
      <c r="D30" s="165"/>
      <c r="E30" s="61"/>
      <c r="F30" s="60"/>
      <c r="G30" s="59"/>
    </row>
    <row r="31" spans="2:7" ht="15.75">
      <c r="B31" s="133" t="s">
        <v>98</v>
      </c>
      <c r="C31" s="169" t="s">
        <v>28</v>
      </c>
      <c r="D31" s="110">
        <f>IRR(D18:D29)</f>
        <v>0.14744977403153539</v>
      </c>
      <c r="E31" s="61"/>
      <c r="F31" s="60"/>
      <c r="G31" s="59"/>
    </row>
    <row r="32" spans="2:7" ht="15">
      <c r="B32" s="133"/>
      <c r="C32" s="169"/>
      <c r="D32" s="165"/>
      <c r="E32" s="61"/>
      <c r="F32" s="60"/>
      <c r="G32" s="59"/>
    </row>
    <row r="33" spans="2:7" ht="15.75">
      <c r="B33" s="133" t="s">
        <v>99</v>
      </c>
      <c r="C33" s="62" t="s">
        <v>92</v>
      </c>
      <c r="D33" s="134" t="str">
        <f>IF(D31&gt;D11,"Accept","Reject")</f>
        <v>Accept</v>
      </c>
      <c r="E33" s="61"/>
      <c r="F33" s="60"/>
      <c r="G33" s="59"/>
    </row>
    <row r="34" spans="2:7" s="1" customFormat="1" ht="15.75" thickBot="1">
      <c r="B34" s="19"/>
      <c r="C34" s="20"/>
      <c r="D34" s="20"/>
      <c r="E34" s="21"/>
      <c r="F34" s="25"/>
      <c r="G34" s="25"/>
    </row>
    <row r="35" spans="2:7" ht="15">
      <c r="B35" s="4"/>
      <c r="C35" s="4"/>
      <c r="D35" s="4"/>
      <c r="E35" s="4"/>
    </row>
    <row r="36" spans="2:7" ht="15">
      <c r="B36" s="4"/>
      <c r="C36" s="4"/>
      <c r="D36" s="4"/>
      <c r="E36" s="4"/>
    </row>
    <row r="37" spans="2:7" ht="15">
      <c r="B37" s="1"/>
      <c r="C37" s="1"/>
      <c r="D37" s="1"/>
      <c r="E37" s="1"/>
    </row>
    <row r="38" spans="2:7" ht="15">
      <c r="B38" s="1"/>
      <c r="C38" s="1"/>
      <c r="D38" s="1"/>
      <c r="E38" s="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B1:H54"/>
  <sheetViews>
    <sheetView workbookViewId="0"/>
  </sheetViews>
  <sheetFormatPr defaultRowHeight="12.75"/>
  <cols>
    <col min="1" max="1" width="9.140625" style="220"/>
    <col min="2" max="2" width="3.140625" style="220" customWidth="1"/>
    <col min="3" max="3" width="26.140625" style="220" bestFit="1" customWidth="1"/>
    <col min="4" max="4" width="16.28515625" style="220" bestFit="1" customWidth="1"/>
    <col min="5" max="5" width="3.140625" style="220" customWidth="1"/>
    <col min="6" max="6" width="15.140625" style="220" customWidth="1"/>
    <col min="7" max="7" width="3.140625" style="220" customWidth="1"/>
    <col min="8" max="16384" width="9.140625" style="220"/>
  </cols>
  <sheetData>
    <row r="1" spans="2:8" s="198" customFormat="1" ht="18">
      <c r="C1" s="199" t="s">
        <v>242</v>
      </c>
    </row>
    <row r="2" spans="2:8" s="198" customFormat="1" ht="15.75" customHeight="1">
      <c r="C2" s="198" t="s">
        <v>127</v>
      </c>
    </row>
    <row r="3" spans="2:8" s="198" customFormat="1" ht="15.75" customHeight="1"/>
    <row r="4" spans="2:8" s="198" customFormat="1" ht="15.75" customHeight="1">
      <c r="C4" s="200" t="s">
        <v>0</v>
      </c>
    </row>
    <row r="5" spans="2:8" s="198" customFormat="1" ht="15.75" customHeight="1" thickBot="1">
      <c r="C5" s="201"/>
      <c r="D5" s="202"/>
    </row>
    <row r="6" spans="2:8" s="198" customFormat="1" ht="15.75" customHeight="1">
      <c r="B6" s="203"/>
      <c r="C6" s="204"/>
      <c r="D6" s="205"/>
      <c r="E6" s="206"/>
      <c r="F6" s="207"/>
      <c r="G6" s="207"/>
    </row>
    <row r="7" spans="2:8" s="198" customFormat="1" ht="15.75" customHeight="1">
      <c r="B7" s="208"/>
      <c r="C7" s="209" t="s">
        <v>27</v>
      </c>
      <c r="D7" s="44"/>
      <c r="E7" s="210"/>
      <c r="F7" s="211"/>
      <c r="G7" s="207"/>
    </row>
    <row r="8" spans="2:8" s="198" customFormat="1" ht="15.75" customHeight="1">
      <c r="B8" s="208"/>
      <c r="C8" s="212" t="s">
        <v>24</v>
      </c>
      <c r="D8" s="113">
        <v>-950000</v>
      </c>
      <c r="E8" s="210"/>
      <c r="F8" s="213"/>
      <c r="G8" s="207"/>
    </row>
    <row r="9" spans="2:8" s="198" customFormat="1" ht="15.75" customHeight="1">
      <c r="B9" s="208"/>
      <c r="C9" s="212" t="s">
        <v>15</v>
      </c>
      <c r="D9" s="116">
        <v>285000</v>
      </c>
      <c r="E9" s="210"/>
      <c r="F9" s="213"/>
      <c r="G9" s="207"/>
      <c r="H9" s="214"/>
    </row>
    <row r="10" spans="2:8" s="198" customFormat="1" ht="15.75" customHeight="1">
      <c r="B10" s="208"/>
      <c r="C10" s="212" t="s">
        <v>16</v>
      </c>
      <c r="D10" s="116">
        <v>345000</v>
      </c>
      <c r="E10" s="210"/>
      <c r="F10" s="213"/>
      <c r="G10" s="207"/>
      <c r="H10" s="214"/>
    </row>
    <row r="11" spans="2:8" s="198" customFormat="1" ht="15.75" customHeight="1">
      <c r="B11" s="208"/>
      <c r="C11" s="212" t="s">
        <v>17</v>
      </c>
      <c r="D11" s="116">
        <v>415000</v>
      </c>
      <c r="E11" s="210"/>
      <c r="F11" s="213"/>
      <c r="G11" s="207"/>
      <c r="H11" s="214"/>
    </row>
    <row r="12" spans="2:8" s="198" customFormat="1" ht="15.75" customHeight="1">
      <c r="B12" s="208"/>
      <c r="C12" s="212" t="s">
        <v>18</v>
      </c>
      <c r="D12" s="116">
        <v>255000</v>
      </c>
      <c r="E12" s="210"/>
      <c r="F12" s="213"/>
      <c r="G12" s="207"/>
      <c r="H12" s="214"/>
    </row>
    <row r="13" spans="2:8" s="198" customFormat="1" ht="15.75" customHeight="1">
      <c r="B13" s="208"/>
      <c r="C13" s="212"/>
      <c r="D13" s="95"/>
      <c r="E13" s="210"/>
      <c r="F13" s="207"/>
      <c r="G13" s="207"/>
      <c r="H13" s="214"/>
    </row>
    <row r="14" spans="2:8" s="198" customFormat="1" ht="15.75" customHeight="1">
      <c r="B14" s="208"/>
      <c r="C14" s="212" t="s">
        <v>244</v>
      </c>
      <c r="D14" s="112">
        <v>0.04</v>
      </c>
      <c r="E14" s="210"/>
      <c r="F14" s="215"/>
      <c r="G14" s="207"/>
      <c r="H14" s="214"/>
    </row>
    <row r="15" spans="2:8" s="198" customFormat="1" ht="15.75" customHeight="1">
      <c r="B15" s="208"/>
      <c r="C15" s="212" t="s">
        <v>36</v>
      </c>
      <c r="D15" s="112">
        <v>0.11</v>
      </c>
      <c r="E15" s="210"/>
      <c r="F15" s="215"/>
      <c r="G15" s="207"/>
      <c r="H15" s="214"/>
    </row>
    <row r="16" spans="2:8" s="198" customFormat="1" ht="15.75" customHeight="1" thickBot="1">
      <c r="B16" s="216"/>
      <c r="C16" s="217"/>
      <c r="D16" s="45"/>
      <c r="E16" s="218"/>
      <c r="F16" s="207"/>
      <c r="G16" s="207"/>
      <c r="H16" s="214"/>
    </row>
    <row r="17" spans="2:7" ht="15.75" customHeight="1">
      <c r="B17" s="207"/>
      <c r="C17" s="219"/>
      <c r="D17" s="219"/>
      <c r="E17" s="207"/>
    </row>
    <row r="18" spans="2:7" ht="15.75" customHeight="1">
      <c r="B18" s="207"/>
      <c r="C18" s="221" t="s">
        <v>1</v>
      </c>
      <c r="D18" s="219"/>
      <c r="E18" s="207"/>
    </row>
    <row r="19" spans="2:7" ht="15.75" customHeight="1" thickBot="1">
      <c r="B19" s="207"/>
      <c r="C19" s="219"/>
      <c r="D19" s="219"/>
      <c r="E19" s="207"/>
    </row>
    <row r="20" spans="2:7" ht="15.75" customHeight="1">
      <c r="B20" s="222"/>
      <c r="C20" s="223"/>
      <c r="D20" s="223"/>
      <c r="E20" s="224"/>
      <c r="F20" s="225"/>
      <c r="G20" s="225"/>
    </row>
    <row r="21" spans="2:7" ht="15.75" customHeight="1">
      <c r="B21" s="226"/>
      <c r="C21" s="227" t="s">
        <v>2</v>
      </c>
      <c r="D21" s="228" t="s">
        <v>245</v>
      </c>
      <c r="E21" s="229"/>
      <c r="F21" s="225"/>
      <c r="G21" s="225"/>
    </row>
    <row r="22" spans="2:7" ht="15.75" customHeight="1">
      <c r="B22" s="226"/>
      <c r="C22" s="230">
        <v>0</v>
      </c>
      <c r="D22" s="231">
        <f>D8</f>
        <v>-950000</v>
      </c>
      <c r="E22" s="229"/>
      <c r="F22" s="225"/>
      <c r="G22" s="225"/>
    </row>
    <row r="23" spans="2:7" ht="15.75" customHeight="1">
      <c r="B23" s="226"/>
      <c r="C23" s="230">
        <v>1</v>
      </c>
      <c r="D23" s="231">
        <v>0</v>
      </c>
      <c r="E23" s="229"/>
      <c r="F23" s="225"/>
      <c r="G23" s="225"/>
    </row>
    <row r="24" spans="2:7" ht="15.75" customHeight="1">
      <c r="B24" s="226"/>
      <c r="C24" s="230">
        <v>2</v>
      </c>
      <c r="D24" s="231">
        <f>D9*(1+$D$14)</f>
        <v>296400</v>
      </c>
      <c r="E24" s="229"/>
      <c r="F24" s="225"/>
      <c r="G24" s="225"/>
    </row>
    <row r="25" spans="2:7" ht="15.75" customHeight="1">
      <c r="B25" s="226"/>
      <c r="C25" s="230">
        <v>3</v>
      </c>
      <c r="D25" s="231">
        <f>D10*(1+$D$14)</f>
        <v>358800</v>
      </c>
      <c r="E25" s="229"/>
      <c r="F25" s="225"/>
      <c r="G25" s="225"/>
    </row>
    <row r="26" spans="2:7" ht="15.75" customHeight="1">
      <c r="B26" s="226"/>
      <c r="C26" s="230">
        <v>4</v>
      </c>
      <c r="D26" s="231">
        <f>D11*(1+$D$14)</f>
        <v>431600</v>
      </c>
      <c r="E26" s="229"/>
      <c r="F26" s="225"/>
      <c r="G26" s="225"/>
    </row>
    <row r="27" spans="2:7" ht="15.75" customHeight="1">
      <c r="B27" s="226"/>
      <c r="C27" s="230">
        <v>5</v>
      </c>
      <c r="D27" s="231">
        <f>D12*(1+$D$14)</f>
        <v>265200</v>
      </c>
      <c r="E27" s="229"/>
      <c r="F27" s="225"/>
      <c r="G27" s="225"/>
    </row>
    <row r="28" spans="2:7" ht="15.75" customHeight="1">
      <c r="B28" s="226"/>
      <c r="C28" s="232"/>
      <c r="D28" s="232"/>
      <c r="E28" s="229"/>
      <c r="F28" s="225"/>
      <c r="G28" s="225"/>
    </row>
    <row r="29" spans="2:7" ht="15.75" customHeight="1">
      <c r="B29" s="226"/>
      <c r="C29" s="232" t="s">
        <v>40</v>
      </c>
      <c r="D29" s="233">
        <f>D22+PV(D15,1,,-D23)+PV(D15,2,,-D24)+PV(D15,3,,-D25)+PV(D15,4,,-D26)+PV(D15,5,,-D27)</f>
        <v>-5392.0625335694931</v>
      </c>
      <c r="E29" s="229"/>
      <c r="F29" s="225"/>
      <c r="G29" s="225"/>
    </row>
    <row r="30" spans="2:7" ht="15.75" customHeight="1">
      <c r="B30" s="226"/>
      <c r="C30" s="232" t="s">
        <v>28</v>
      </c>
      <c r="D30" s="40">
        <f>IRR(D22:D27)</f>
        <v>0.10813254218545841</v>
      </c>
      <c r="E30" s="229"/>
      <c r="F30" s="225"/>
      <c r="G30" s="225"/>
    </row>
    <row r="31" spans="2:7" s="198" customFormat="1" ht="15.75" customHeight="1" thickBot="1">
      <c r="B31" s="234"/>
      <c r="C31" s="235"/>
      <c r="D31" s="235"/>
      <c r="E31" s="236"/>
      <c r="F31" s="207"/>
      <c r="G31" s="207"/>
    </row>
    <row r="32" spans="2:7" ht="15.75" customHeight="1">
      <c r="B32" s="202"/>
      <c r="C32" s="202"/>
      <c r="D32" s="202"/>
      <c r="E32" s="202"/>
    </row>
    <row r="33" spans="2:5" ht="15.75" customHeight="1">
      <c r="B33" s="202"/>
      <c r="C33" s="202"/>
      <c r="D33" s="202"/>
      <c r="E33" s="202"/>
    </row>
    <row r="34" spans="2:5" ht="15.75" customHeight="1">
      <c r="B34" s="198"/>
      <c r="C34" s="198"/>
      <c r="D34" s="198"/>
      <c r="E34" s="198"/>
    </row>
    <row r="35" spans="2:5" ht="15.75" customHeight="1">
      <c r="B35" s="198"/>
      <c r="C35" s="198"/>
      <c r="D35" s="198"/>
      <c r="E35" s="198"/>
    </row>
    <row r="36" spans="2:5" ht="15.75" customHeight="1"/>
    <row r="37" spans="2:5" ht="15.75" customHeight="1"/>
    <row r="38" spans="2:5" ht="15.75" customHeight="1"/>
    <row r="39" spans="2:5" ht="15.75" customHeight="1"/>
    <row r="40" spans="2:5" ht="15.75" customHeight="1"/>
    <row r="41" spans="2:5" ht="15.75" customHeight="1"/>
    <row r="42" spans="2:5" ht="15.75" customHeight="1"/>
    <row r="43" spans="2:5" ht="15.75" customHeight="1"/>
    <row r="44" spans="2:5" ht="15.75" customHeight="1"/>
    <row r="45" spans="2:5" ht="15.75" customHeight="1"/>
    <row r="46" spans="2:5" ht="15.75" customHeight="1"/>
    <row r="47" spans="2:5" ht="15.75" customHeight="1"/>
    <row r="48" spans="2: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</sheetData>
  <phoneticPr fontId="32" type="noConversion"/>
  <pageMargins left="0.75" right="0.75" top="1" bottom="1" header="0.5" footer="0.5"/>
  <pageSetup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B1:H51"/>
  <sheetViews>
    <sheetView workbookViewId="0"/>
  </sheetViews>
  <sheetFormatPr defaultRowHeight="12.75"/>
  <cols>
    <col min="2" max="2" width="3.140625" customWidth="1"/>
    <col min="3" max="3" width="25.85546875" bestFit="1" customWidth="1"/>
    <col min="4" max="4" width="19.7109375" customWidth="1"/>
    <col min="5" max="5" width="3.140625" customWidth="1"/>
    <col min="6" max="6" width="15.140625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">
      <c r="C2" s="1" t="s">
        <v>186</v>
      </c>
    </row>
    <row r="3" spans="2:8" s="1" customFormat="1" ht="15"/>
    <row r="4" spans="2:8" s="1" customFormat="1" ht="15">
      <c r="C4" s="2" t="s">
        <v>0</v>
      </c>
    </row>
    <row r="5" spans="2:8" s="1" customFormat="1" ht="15.75" thickBot="1">
      <c r="C5" s="3"/>
      <c r="D5" s="4"/>
    </row>
    <row r="6" spans="2:8" s="1" customFormat="1" ht="15">
      <c r="B6" s="5"/>
      <c r="C6" s="6"/>
      <c r="D6" s="7"/>
      <c r="E6" s="8"/>
      <c r="F6" s="25"/>
      <c r="G6" s="25"/>
    </row>
    <row r="7" spans="2:8" s="1" customFormat="1" ht="15">
      <c r="B7" s="9"/>
      <c r="C7" s="37" t="s">
        <v>190</v>
      </c>
      <c r="D7" s="121"/>
      <c r="E7" s="11"/>
      <c r="F7" s="57"/>
      <c r="G7" s="25"/>
    </row>
    <row r="8" spans="2:8" s="1" customFormat="1" ht="15">
      <c r="B8" s="9"/>
      <c r="C8" s="10" t="s">
        <v>191</v>
      </c>
      <c r="D8" s="122">
        <v>8900</v>
      </c>
      <c r="E8" s="11"/>
      <c r="F8" s="57"/>
      <c r="G8" s="25"/>
      <c r="H8" s="23"/>
    </row>
    <row r="9" spans="2:8" s="1" customFormat="1" ht="15">
      <c r="B9" s="9"/>
      <c r="C9" s="10" t="s">
        <v>194</v>
      </c>
      <c r="D9" s="171">
        <v>3</v>
      </c>
      <c r="E9" s="11"/>
      <c r="F9" s="25"/>
      <c r="G9" s="25"/>
      <c r="H9" s="23"/>
    </row>
    <row r="10" spans="2:8" s="1" customFormat="1" ht="15">
      <c r="B10" s="9"/>
      <c r="C10" s="10" t="s">
        <v>192</v>
      </c>
      <c r="D10" s="99">
        <v>0.04</v>
      </c>
      <c r="E10" s="11"/>
      <c r="F10" s="25"/>
      <c r="G10" s="25"/>
      <c r="H10" s="23"/>
    </row>
    <row r="11" spans="2:8" s="1" customFormat="1" ht="15">
      <c r="B11" s="9"/>
      <c r="C11" s="10"/>
      <c r="D11" s="112"/>
      <c r="E11" s="11"/>
      <c r="F11" s="58"/>
      <c r="G11" s="25"/>
      <c r="H11" s="23"/>
    </row>
    <row r="12" spans="2:8" s="1" customFormat="1" ht="15">
      <c r="B12" s="9"/>
      <c r="C12" s="37" t="s">
        <v>193</v>
      </c>
      <c r="D12" s="112"/>
      <c r="E12" s="11"/>
      <c r="F12" s="58"/>
      <c r="G12" s="25"/>
      <c r="H12" s="23"/>
    </row>
    <row r="13" spans="2:8" s="1" customFormat="1" ht="15">
      <c r="B13" s="9"/>
      <c r="C13" s="10" t="s">
        <v>191</v>
      </c>
      <c r="D13" s="100">
        <v>-10000</v>
      </c>
      <c r="E13" s="11"/>
      <c r="F13" s="58"/>
      <c r="G13" s="25"/>
      <c r="H13" s="23"/>
    </row>
    <row r="14" spans="2:8" s="1" customFormat="1" ht="15">
      <c r="B14" s="9"/>
      <c r="C14" s="10" t="s">
        <v>194</v>
      </c>
      <c r="D14" s="93">
        <v>2</v>
      </c>
      <c r="E14" s="11"/>
      <c r="F14" s="58"/>
      <c r="G14" s="25"/>
      <c r="H14" s="23"/>
    </row>
    <row r="15" spans="2:8" s="1" customFormat="1" ht="15">
      <c r="B15" s="9"/>
      <c r="C15" s="10"/>
      <c r="D15" s="112"/>
      <c r="E15" s="11"/>
      <c r="F15" s="58"/>
      <c r="G15" s="25"/>
      <c r="H15" s="23"/>
    </row>
    <row r="16" spans="2:8" s="1" customFormat="1" ht="15">
      <c r="B16" s="9"/>
      <c r="C16" s="10" t="s">
        <v>19</v>
      </c>
      <c r="D16" s="182">
        <v>0.12</v>
      </c>
      <c r="E16" s="11"/>
      <c r="F16" s="58"/>
      <c r="G16" s="25"/>
      <c r="H16" s="23"/>
    </row>
    <row r="17" spans="2:8" s="1" customFormat="1" ht="15.75" thickBot="1">
      <c r="B17" s="12"/>
      <c r="C17" s="38"/>
      <c r="D17" s="45"/>
      <c r="E17" s="13"/>
      <c r="F17" s="25"/>
      <c r="G17" s="25"/>
      <c r="H17" s="23"/>
    </row>
    <row r="18" spans="2:8" ht="15">
      <c r="B18" s="25"/>
      <c r="C18" s="26"/>
      <c r="D18" s="26"/>
      <c r="E18" s="25"/>
    </row>
    <row r="19" spans="2:8" ht="15">
      <c r="B19" s="25"/>
      <c r="C19" s="27" t="s">
        <v>1</v>
      </c>
      <c r="D19" s="26"/>
      <c r="E19" s="25"/>
    </row>
    <row r="20" spans="2:8" ht="15.75" thickBot="1">
      <c r="B20" s="25"/>
      <c r="C20" s="26"/>
      <c r="D20" s="26"/>
      <c r="E20" s="25"/>
    </row>
    <row r="21" spans="2:8" ht="15">
      <c r="B21" s="14"/>
      <c r="C21" s="28"/>
      <c r="D21" s="28"/>
      <c r="E21" s="15"/>
      <c r="F21" s="59"/>
      <c r="G21" s="59"/>
    </row>
    <row r="22" spans="2:8" ht="15.75">
      <c r="B22" s="133" t="s">
        <v>98</v>
      </c>
      <c r="C22" s="172" t="s">
        <v>195</v>
      </c>
      <c r="D22" s="134">
        <f>(D8/(D16-D10))/((1+D16)^(D9-1))</f>
        <v>88687.818877551021</v>
      </c>
      <c r="E22" s="17"/>
      <c r="F22" s="59"/>
      <c r="G22" s="59"/>
    </row>
    <row r="23" spans="2:8" ht="15.75">
      <c r="B23" s="16"/>
      <c r="C23" s="173"/>
      <c r="D23" s="153"/>
      <c r="E23" s="17"/>
      <c r="F23" s="59"/>
      <c r="G23" s="59"/>
    </row>
    <row r="24" spans="2:8" ht="15.75">
      <c r="B24" s="16"/>
      <c r="C24" s="173" t="s">
        <v>196</v>
      </c>
      <c r="D24" s="134">
        <f>(D13/D16)/((1+D16)^(D14-1))</f>
        <v>-74404.761904761908</v>
      </c>
      <c r="E24" s="17"/>
      <c r="F24" s="59"/>
      <c r="G24" s="59"/>
    </row>
    <row r="25" spans="2:8" ht="15">
      <c r="B25" s="16"/>
      <c r="C25" s="173"/>
      <c r="D25" s="168"/>
      <c r="E25" s="17"/>
      <c r="F25" s="59"/>
      <c r="G25" s="59"/>
    </row>
    <row r="26" spans="2:8" ht="15">
      <c r="B26" s="133" t="s">
        <v>99</v>
      </c>
      <c r="C26" s="173" t="s">
        <v>40</v>
      </c>
      <c r="D26" s="178">
        <f>D22+D24</f>
        <v>14283.056972789112</v>
      </c>
      <c r="E26" s="17"/>
      <c r="F26" s="59"/>
      <c r="G26" s="59"/>
    </row>
    <row r="27" spans="2:8" ht="15">
      <c r="B27" s="16"/>
      <c r="C27" s="173"/>
      <c r="D27" s="168"/>
      <c r="E27" s="17"/>
      <c r="F27" s="25"/>
      <c r="G27" s="59"/>
    </row>
    <row r="28" spans="2:8" ht="15">
      <c r="B28" s="16"/>
      <c r="C28" s="173" t="s">
        <v>198</v>
      </c>
      <c r="D28" s="168"/>
      <c r="E28" s="17"/>
      <c r="F28" s="56"/>
      <c r="G28" s="59"/>
    </row>
    <row r="29" spans="2:8" ht="15">
      <c r="B29" s="16"/>
      <c r="C29" s="173" t="s">
        <v>199</v>
      </c>
      <c r="D29" s="168"/>
      <c r="E29" s="61"/>
      <c r="F29" s="60"/>
      <c r="G29" s="59"/>
    </row>
    <row r="30" spans="2:8" ht="15">
      <c r="B30" s="16"/>
      <c r="C30" s="173" t="s">
        <v>200</v>
      </c>
      <c r="D30" s="168"/>
      <c r="E30" s="61"/>
      <c r="F30" s="60"/>
      <c r="G30" s="59"/>
    </row>
    <row r="31" spans="2:8" ht="15.75">
      <c r="B31" s="16"/>
      <c r="C31" s="173" t="s">
        <v>201</v>
      </c>
      <c r="D31" s="110">
        <f ca="1">'#26 Answer Report'!E13</f>
        <v>0.16803940504876808</v>
      </c>
      <c r="E31" s="61"/>
      <c r="F31" s="60"/>
      <c r="G31" s="59"/>
    </row>
    <row r="32" spans="2:8" ht="15">
      <c r="B32" s="16"/>
      <c r="C32" s="173"/>
      <c r="D32" s="168"/>
      <c r="E32" s="61"/>
      <c r="F32" s="60"/>
      <c r="G32" s="59"/>
    </row>
    <row r="33" spans="2:7" ht="15">
      <c r="B33" s="133" t="s">
        <v>100</v>
      </c>
      <c r="C33" s="173" t="s">
        <v>212</v>
      </c>
      <c r="D33" s="168"/>
      <c r="E33" s="61"/>
      <c r="F33" s="60"/>
      <c r="G33" s="59"/>
    </row>
    <row r="34" spans="2:7" ht="15">
      <c r="B34" s="16"/>
      <c r="C34" s="173" t="s">
        <v>213</v>
      </c>
      <c r="D34" s="166"/>
      <c r="E34" s="61"/>
      <c r="F34" s="60"/>
      <c r="G34" s="59"/>
    </row>
    <row r="35" spans="2:7" ht="15.75">
      <c r="B35" s="133"/>
      <c r="C35" s="173" t="s">
        <v>214</v>
      </c>
      <c r="D35" s="170"/>
      <c r="E35" s="61"/>
      <c r="F35" s="60"/>
      <c r="G35" s="59"/>
    </row>
    <row r="36" spans="2:7" ht="15">
      <c r="B36" s="133"/>
      <c r="C36" s="173" t="s">
        <v>215</v>
      </c>
      <c r="D36" s="166"/>
      <c r="E36" s="61"/>
      <c r="F36" s="60"/>
      <c r="G36" s="59"/>
    </row>
    <row r="37" spans="2:7" ht="15.75">
      <c r="B37" s="133"/>
      <c r="C37" s="174" t="s">
        <v>216</v>
      </c>
      <c r="D37" s="153"/>
      <c r="E37" s="61"/>
      <c r="F37" s="60"/>
      <c r="G37" s="59"/>
    </row>
    <row r="38" spans="2:7" ht="15.75">
      <c r="B38" s="133"/>
      <c r="C38" s="174" t="s">
        <v>217</v>
      </c>
      <c r="D38" s="153"/>
      <c r="E38" s="61"/>
      <c r="F38" s="60"/>
      <c r="G38" s="59"/>
    </row>
    <row r="39" spans="2:7" ht="15.75">
      <c r="B39" s="133"/>
      <c r="C39" s="174" t="s">
        <v>218</v>
      </c>
      <c r="D39" s="153"/>
      <c r="E39" s="61"/>
      <c r="F39" s="60"/>
      <c r="G39" s="59"/>
    </row>
    <row r="40" spans="2:7" ht="15.75">
      <c r="B40" s="133"/>
      <c r="C40" s="174" t="s">
        <v>219</v>
      </c>
      <c r="D40" s="153"/>
      <c r="E40" s="61"/>
      <c r="F40" s="60"/>
      <c r="G40" s="59"/>
    </row>
    <row r="41" spans="2:7" ht="15.75">
      <c r="B41" s="133"/>
      <c r="C41" s="174" t="s">
        <v>220</v>
      </c>
      <c r="D41" s="153"/>
      <c r="E41" s="61"/>
      <c r="F41" s="60"/>
      <c r="G41" s="59"/>
    </row>
    <row r="42" spans="2:7" ht="15.75">
      <c r="B42" s="133"/>
      <c r="C42" s="174" t="s">
        <v>221</v>
      </c>
      <c r="D42" s="153"/>
      <c r="E42" s="61"/>
      <c r="F42" s="60"/>
      <c r="G42" s="59"/>
    </row>
    <row r="43" spans="2:7" ht="15.75">
      <c r="B43" s="133"/>
      <c r="C43" s="174" t="s">
        <v>222</v>
      </c>
      <c r="D43" s="153"/>
      <c r="E43" s="61"/>
      <c r="F43" s="60"/>
      <c r="G43" s="59"/>
    </row>
    <row r="44" spans="2:7" ht="15.75">
      <c r="B44" s="133"/>
      <c r="C44" s="174" t="s">
        <v>223</v>
      </c>
      <c r="D44" s="153"/>
      <c r="E44" s="61"/>
      <c r="F44" s="60"/>
      <c r="G44" s="59"/>
    </row>
    <row r="45" spans="2:7" ht="15.75">
      <c r="B45" s="133"/>
      <c r="C45" s="174" t="s">
        <v>224</v>
      </c>
      <c r="D45" s="153"/>
      <c r="E45" s="61"/>
      <c r="F45" s="60"/>
      <c r="G45" s="59"/>
    </row>
    <row r="46" spans="2:7" ht="15.75">
      <c r="B46" s="133"/>
      <c r="C46" s="174" t="s">
        <v>225</v>
      </c>
      <c r="D46" s="153"/>
      <c r="E46" s="61"/>
      <c r="F46" s="60"/>
      <c r="G46" s="59"/>
    </row>
    <row r="47" spans="2:7" s="1" customFormat="1" ht="15.75" thickBot="1">
      <c r="B47" s="19"/>
      <c r="C47" s="175"/>
      <c r="D47" s="20"/>
      <c r="E47" s="21"/>
      <c r="F47" s="25"/>
      <c r="G47" s="25"/>
    </row>
    <row r="48" spans="2:7" ht="15">
      <c r="B48" s="4"/>
      <c r="C48" s="176"/>
      <c r="D48" s="4"/>
      <c r="E48" s="4"/>
    </row>
    <row r="49" spans="2:5" ht="15">
      <c r="B49" s="4"/>
      <c r="C49" s="176"/>
      <c r="D49" s="4"/>
      <c r="E49" s="4"/>
    </row>
    <row r="50" spans="2:5" ht="15">
      <c r="B50" s="1"/>
      <c r="C50" s="177"/>
      <c r="D50" s="1"/>
      <c r="E50" s="1"/>
    </row>
    <row r="51" spans="2:5" ht="15">
      <c r="B51" s="1"/>
      <c r="C51" s="177"/>
      <c r="D51" s="1"/>
      <c r="E51" s="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2.75"/>
  <cols>
    <col min="1" max="1" width="2.28515625" customWidth="1"/>
    <col min="2" max="2" width="6.28515625" bestFit="1" customWidth="1"/>
    <col min="3" max="3" width="12" bestFit="1" customWidth="1"/>
    <col min="4" max="4" width="14.28515625" bestFit="1" customWidth="1"/>
    <col min="5" max="5" width="11.42578125" bestFit="1" customWidth="1"/>
  </cols>
  <sheetData>
    <row r="1" spans="1:5">
      <c r="A1" s="179" t="s">
        <v>247</v>
      </c>
    </row>
    <row r="2" spans="1:5">
      <c r="A2" s="179" t="s">
        <v>250</v>
      </c>
    </row>
    <row r="3" spans="1:5">
      <c r="A3" s="179" t="s">
        <v>248</v>
      </c>
    </row>
    <row r="6" spans="1:5" ht="13.5" thickBot="1">
      <c r="A6" t="s">
        <v>202</v>
      </c>
    </row>
    <row r="7" spans="1:5" ht="13.5" thickBot="1">
      <c r="B7" s="238" t="s">
        <v>203</v>
      </c>
      <c r="C7" s="238" t="s">
        <v>204</v>
      </c>
      <c r="D7" s="238" t="s">
        <v>205</v>
      </c>
      <c r="E7" s="238" t="s">
        <v>206</v>
      </c>
    </row>
    <row r="8" spans="1:5" ht="13.5" thickBot="1">
      <c r="B8" s="180" t="s">
        <v>210</v>
      </c>
      <c r="C8" s="180" t="s">
        <v>40</v>
      </c>
      <c r="D8" s="181">
        <v>14283.06</v>
      </c>
      <c r="E8" s="181">
        <v>0</v>
      </c>
    </row>
    <row r="11" spans="1:5" ht="13.5" thickBot="1">
      <c r="A11" t="s">
        <v>207</v>
      </c>
    </row>
    <row r="12" spans="1:5" ht="13.5" thickBot="1">
      <c r="B12" s="238" t="s">
        <v>203</v>
      </c>
      <c r="C12" s="238" t="s">
        <v>204</v>
      </c>
      <c r="D12" s="238" t="s">
        <v>205</v>
      </c>
      <c r="E12" s="238" t="s">
        <v>206</v>
      </c>
    </row>
    <row r="13" spans="1:5" ht="13.5" thickBot="1">
      <c r="B13" s="180" t="s">
        <v>211</v>
      </c>
      <c r="C13" s="180" t="s">
        <v>19</v>
      </c>
      <c r="D13" s="183">
        <v>0.12</v>
      </c>
      <c r="E13" s="183">
        <v>0.16803940504876808</v>
      </c>
    </row>
    <row r="16" spans="1:5">
      <c r="A16" t="s">
        <v>208</v>
      </c>
    </row>
    <row r="17" spans="2:2">
      <c r="B17" t="s">
        <v>209</v>
      </c>
    </row>
  </sheetData>
  <phoneticPr fontId="3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21111112"/>
  <dimension ref="B1:H50"/>
  <sheetViews>
    <sheetView workbookViewId="0"/>
  </sheetViews>
  <sheetFormatPr defaultRowHeight="12.75"/>
  <cols>
    <col min="2" max="2" width="3.140625" customWidth="1"/>
    <col min="3" max="3" width="20.140625" bestFit="1" customWidth="1"/>
    <col min="4" max="4" width="12" customWidth="1"/>
    <col min="5" max="5" width="3.140625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5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8"/>
    </row>
    <row r="7" spans="2:8" s="1" customFormat="1" ht="15.75" customHeight="1">
      <c r="B7" s="9"/>
      <c r="C7" s="22" t="s">
        <v>8</v>
      </c>
      <c r="D7" s="193">
        <v>840</v>
      </c>
      <c r="E7" s="11"/>
    </row>
    <row r="8" spans="2:8" s="1" customFormat="1" ht="15.75" customHeight="1">
      <c r="B8" s="9"/>
      <c r="C8" s="10" t="s">
        <v>9</v>
      </c>
      <c r="D8" s="95">
        <v>8</v>
      </c>
      <c r="E8" s="11"/>
    </row>
    <row r="9" spans="2:8" s="1" customFormat="1" ht="15.75" customHeight="1">
      <c r="B9" s="9"/>
      <c r="C9" s="10" t="s">
        <v>10</v>
      </c>
      <c r="D9" s="194">
        <v>3200</v>
      </c>
      <c r="E9" s="11"/>
      <c r="H9" s="23"/>
    </row>
    <row r="10" spans="2:8" s="1" customFormat="1" ht="15.75" customHeight="1">
      <c r="B10" s="9"/>
      <c r="C10" s="10" t="s">
        <v>10</v>
      </c>
      <c r="D10" s="194">
        <v>4800</v>
      </c>
      <c r="E10" s="11"/>
      <c r="H10" s="23"/>
    </row>
    <row r="11" spans="2:8" s="1" customFormat="1" ht="15.75" customHeight="1">
      <c r="B11" s="9"/>
      <c r="C11" s="10" t="s">
        <v>10</v>
      </c>
      <c r="D11" s="194">
        <v>7300</v>
      </c>
      <c r="E11" s="11"/>
      <c r="H11" s="23"/>
    </row>
    <row r="12" spans="2:8" ht="15.75" customHeight="1" thickBot="1">
      <c r="B12" s="12"/>
      <c r="C12" s="24"/>
      <c r="D12" s="24" t="s">
        <v>11</v>
      </c>
      <c r="E12" s="13"/>
    </row>
    <row r="13" spans="2:8" ht="15.75" customHeight="1">
      <c r="B13" s="25"/>
      <c r="C13" s="26"/>
      <c r="D13" s="26"/>
      <c r="E13" s="25"/>
    </row>
    <row r="14" spans="2:8" ht="15.75" customHeight="1">
      <c r="B14" s="25"/>
      <c r="C14" s="27" t="s">
        <v>1</v>
      </c>
      <c r="D14" s="26"/>
      <c r="E14" s="25"/>
    </row>
    <row r="15" spans="2:8" ht="15.75" customHeight="1" thickBot="1">
      <c r="B15" s="25"/>
      <c r="C15" s="26"/>
      <c r="D15" s="26"/>
      <c r="E15" s="25"/>
    </row>
    <row r="16" spans="2:8" ht="15.75" customHeight="1">
      <c r="B16" s="14"/>
      <c r="C16" s="28"/>
      <c r="D16" s="28"/>
      <c r="E16" s="15"/>
    </row>
    <row r="17" spans="2:5" ht="15.75" customHeight="1">
      <c r="B17" s="16"/>
      <c r="C17" s="18" t="str">
        <f>"Initial cost = $"&amp;D9</f>
        <v>Initial cost = $3200</v>
      </c>
      <c r="D17" s="147"/>
      <c r="E17" s="17"/>
    </row>
    <row r="18" spans="2:5" ht="15.75" customHeight="1">
      <c r="B18" s="16"/>
      <c r="C18" s="18" t="s">
        <v>251</v>
      </c>
      <c r="D18" s="29">
        <f>IF(D9/$D$7&lt;$D$8,D9/$D$7,"Never")</f>
        <v>3.8095238095238093</v>
      </c>
      <c r="E18" s="17"/>
    </row>
    <row r="19" spans="2:5" ht="15.75" customHeight="1">
      <c r="B19" s="16"/>
      <c r="C19" s="18"/>
      <c r="D19" s="31"/>
      <c r="E19" s="17"/>
    </row>
    <row r="20" spans="2:5" ht="15.75" customHeight="1">
      <c r="B20" s="16"/>
      <c r="C20" s="18" t="str">
        <f>"Initial cost = $"&amp;D10</f>
        <v>Initial cost = $4800</v>
      </c>
      <c r="D20" s="147"/>
      <c r="E20" s="17"/>
    </row>
    <row r="21" spans="2:5" ht="15.75" customHeight="1">
      <c r="B21" s="16"/>
      <c r="C21" s="18" t="s">
        <v>251</v>
      </c>
      <c r="D21" s="29">
        <f>IF(D10/$D$7&lt;$D$8,D10/$D$7,"Never")</f>
        <v>5.7142857142857144</v>
      </c>
      <c r="E21" s="17"/>
    </row>
    <row r="22" spans="2:5" ht="15.75" customHeight="1">
      <c r="B22" s="16"/>
      <c r="C22" s="18"/>
      <c r="D22" s="31"/>
      <c r="E22" s="17"/>
    </row>
    <row r="23" spans="2:5" ht="15.75" customHeight="1">
      <c r="B23" s="16"/>
      <c r="C23" s="18" t="str">
        <f>"Initial cost = $"&amp;D11</f>
        <v>Initial cost = $7300</v>
      </c>
      <c r="D23" s="147"/>
      <c r="E23" s="17"/>
    </row>
    <row r="24" spans="2:5" ht="15.75" customHeight="1">
      <c r="B24" s="16"/>
      <c r="C24" s="18" t="s">
        <v>251</v>
      </c>
      <c r="D24" s="29" t="str">
        <f>IF(D11/$D$7&lt;$D$8,D11/$D$7,"Never")</f>
        <v>Never</v>
      </c>
      <c r="E24" s="17"/>
    </row>
    <row r="25" spans="2:5" ht="15.75" customHeight="1" thickBot="1">
      <c r="B25" s="19"/>
      <c r="C25" s="20"/>
      <c r="D25" s="20"/>
      <c r="E25" s="21"/>
    </row>
    <row r="26" spans="2:5" ht="15.75" customHeight="1">
      <c r="B26" s="4"/>
      <c r="C26" s="4"/>
      <c r="D26" s="4"/>
      <c r="E26" s="4"/>
    </row>
    <row r="27" spans="2:5" ht="15.75" customHeight="1">
      <c r="B27" s="4"/>
      <c r="C27" s="4"/>
      <c r="D27" s="4"/>
      <c r="E27" s="4"/>
    </row>
    <row r="28" spans="2:5" ht="15.75" customHeight="1">
      <c r="B28" s="1"/>
      <c r="C28" s="1"/>
      <c r="D28" s="1"/>
      <c r="E28" s="1"/>
    </row>
    <row r="29" spans="2:5" ht="15.75" customHeight="1">
      <c r="B29" s="1"/>
      <c r="C29" s="1"/>
      <c r="D29" s="1"/>
      <c r="E29" s="1"/>
    </row>
    <row r="30" spans="2:5" ht="15.75" customHeight="1"/>
    <row r="31" spans="2:5" ht="15.75" customHeight="1"/>
    <row r="32" spans="2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B1:H739"/>
  <sheetViews>
    <sheetView workbookViewId="0"/>
  </sheetViews>
  <sheetFormatPr defaultRowHeight="12.75"/>
  <cols>
    <col min="2" max="2" width="3.140625" customWidth="1"/>
    <col min="3" max="3" width="28.140625" customWidth="1"/>
    <col min="4" max="4" width="16.28515625" bestFit="1" customWidth="1"/>
    <col min="5" max="5" width="18.28515625" bestFit="1" customWidth="1"/>
    <col min="6" max="6" width="3.140625" customWidth="1"/>
    <col min="8" max="8" width="12.28515625" bestFit="1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197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7"/>
      <c r="F6" s="8"/>
    </row>
    <row r="7" spans="2:8" s="1" customFormat="1" ht="15.75" customHeight="1">
      <c r="B7" s="9"/>
      <c r="C7" s="37" t="s">
        <v>27</v>
      </c>
      <c r="D7" s="44" t="s">
        <v>227</v>
      </c>
      <c r="E7" s="46" t="s">
        <v>228</v>
      </c>
      <c r="F7" s="11"/>
    </row>
    <row r="8" spans="2:8" s="1" customFormat="1" ht="15.75" customHeight="1">
      <c r="B8" s="9"/>
      <c r="C8" s="10" t="s">
        <v>24</v>
      </c>
      <c r="D8" s="130">
        <v>-1200</v>
      </c>
      <c r="E8" s="184" t="s">
        <v>229</v>
      </c>
      <c r="F8" s="11"/>
      <c r="H8" s="239"/>
    </row>
    <row r="9" spans="2:8" s="1" customFormat="1" ht="15.75" customHeight="1">
      <c r="B9" s="9"/>
      <c r="C9" s="10" t="s">
        <v>15</v>
      </c>
      <c r="D9" s="132">
        <v>160</v>
      </c>
      <c r="E9" s="131">
        <v>400</v>
      </c>
      <c r="F9" s="11"/>
      <c r="G9" s="23"/>
      <c r="H9" s="239"/>
    </row>
    <row r="10" spans="2:8" s="1" customFormat="1" ht="15.75" customHeight="1">
      <c r="B10" s="9"/>
      <c r="C10" s="10" t="s">
        <v>16</v>
      </c>
      <c r="D10" s="132">
        <v>960</v>
      </c>
      <c r="E10" s="131">
        <v>1200</v>
      </c>
      <c r="F10" s="11"/>
      <c r="G10" s="23"/>
      <c r="H10" s="239"/>
    </row>
    <row r="11" spans="2:8" s="1" customFormat="1" ht="15.75" customHeight="1">
      <c r="B11" s="9"/>
      <c r="C11" s="10" t="s">
        <v>17</v>
      </c>
      <c r="D11" s="132">
        <v>1200</v>
      </c>
      <c r="E11" s="131">
        <v>1600</v>
      </c>
      <c r="F11" s="11"/>
      <c r="G11" s="23"/>
      <c r="H11" s="239"/>
    </row>
    <row r="12" spans="2:8" s="1" customFormat="1" ht="15.75" customHeight="1">
      <c r="B12" s="9"/>
      <c r="C12" s="10"/>
      <c r="D12" s="95"/>
      <c r="E12" s="117"/>
      <c r="F12" s="11"/>
      <c r="G12" s="23"/>
    </row>
    <row r="13" spans="2:8" s="1" customFormat="1" ht="15.75" customHeight="1">
      <c r="B13" s="9"/>
      <c r="C13" s="10" t="s">
        <v>36</v>
      </c>
      <c r="D13" s="112"/>
      <c r="E13" s="118">
        <v>0.12</v>
      </c>
      <c r="F13" s="11"/>
      <c r="G13" s="23"/>
    </row>
    <row r="14" spans="2:8" s="1" customFormat="1" ht="15.75" customHeight="1" thickBot="1">
      <c r="B14" s="12"/>
      <c r="C14" s="38"/>
      <c r="D14" s="45"/>
      <c r="E14" s="38"/>
      <c r="F14" s="13"/>
      <c r="G14" s="23"/>
    </row>
    <row r="15" spans="2:8" ht="15.75" customHeight="1">
      <c r="B15" s="25"/>
      <c r="C15" s="26"/>
      <c r="D15" s="26"/>
    </row>
    <row r="16" spans="2:8" ht="15.75" customHeight="1">
      <c r="B16" s="25"/>
      <c r="C16" s="27" t="s">
        <v>1</v>
      </c>
      <c r="D16" s="26"/>
    </row>
    <row r="17" spans="2:6" ht="15.75" customHeight="1" thickBot="1">
      <c r="B17" s="25"/>
      <c r="C17" s="26"/>
      <c r="D17" s="26"/>
    </row>
    <row r="18" spans="2:6" ht="15.75" customHeight="1">
      <c r="B18" s="14"/>
      <c r="C18" s="28"/>
      <c r="D18" s="28"/>
      <c r="E18" s="48"/>
      <c r="F18" s="49"/>
    </row>
    <row r="19" spans="2:6" ht="15.75" customHeight="1">
      <c r="B19" s="16"/>
      <c r="C19" s="144" t="s">
        <v>230</v>
      </c>
      <c r="D19" s="185"/>
      <c r="E19" s="144"/>
      <c r="F19" s="51"/>
    </row>
    <row r="20" spans="2:6" ht="15.75" customHeight="1">
      <c r="B20" s="133"/>
      <c r="C20" s="54" t="s">
        <v>2</v>
      </c>
      <c r="D20" s="64" t="s">
        <v>138</v>
      </c>
      <c r="E20" s="154"/>
      <c r="F20" s="51"/>
    </row>
    <row r="21" spans="2:6" ht="15.75" customHeight="1">
      <c r="B21" s="16"/>
      <c r="C21" s="54">
        <v>0</v>
      </c>
      <c r="D21" s="102">
        <f>-D8</f>
        <v>1200</v>
      </c>
      <c r="E21" s="186" t="s">
        <v>232</v>
      </c>
      <c r="F21" s="51"/>
    </row>
    <row r="22" spans="2:6" ht="15.75" customHeight="1">
      <c r="B22" s="16"/>
      <c r="C22" s="54">
        <v>1</v>
      </c>
      <c r="D22" s="102">
        <f>E9-D9</f>
        <v>240</v>
      </c>
      <c r="E22" s="105"/>
      <c r="F22" s="51"/>
    </row>
    <row r="23" spans="2:6" ht="15.75" customHeight="1">
      <c r="B23" s="16"/>
      <c r="C23" s="54">
        <v>2</v>
      </c>
      <c r="D23" s="102">
        <f>E10-D10</f>
        <v>240</v>
      </c>
      <c r="E23" s="18"/>
      <c r="F23" s="51"/>
    </row>
    <row r="24" spans="2:6" ht="15.75" customHeight="1">
      <c r="B24" s="16"/>
      <c r="C24" s="54">
        <v>3</v>
      </c>
      <c r="D24" s="102">
        <f>E11-D11</f>
        <v>400</v>
      </c>
      <c r="E24" s="18"/>
      <c r="F24" s="51"/>
    </row>
    <row r="25" spans="2:6" ht="15.75" customHeight="1">
      <c r="B25" s="133"/>
      <c r="C25" s="18"/>
      <c r="D25" s="64"/>
      <c r="E25" s="18"/>
      <c r="F25" s="51"/>
    </row>
    <row r="26" spans="2:6" ht="15.75" customHeight="1">
      <c r="B26" s="16"/>
      <c r="C26" s="18" t="s">
        <v>231</v>
      </c>
      <c r="D26" s="187">
        <f>NPV(E13,D22:D24)+D21</f>
        <v>1890.3243440233236</v>
      </c>
      <c r="E26" s="105"/>
      <c r="F26" s="51"/>
    </row>
    <row r="27" spans="2:6" ht="15.75" customHeight="1">
      <c r="B27" s="16"/>
      <c r="C27" s="142"/>
      <c r="D27" s="41"/>
      <c r="E27" s="105"/>
      <c r="F27" s="51"/>
    </row>
    <row r="28" spans="2:6" ht="15.75" customHeight="1">
      <c r="B28" s="16"/>
      <c r="C28" s="18" t="s">
        <v>237</v>
      </c>
      <c r="D28" s="111">
        <f>-D26</f>
        <v>-1890.3243440233236</v>
      </c>
      <c r="E28" s="188"/>
      <c r="F28" s="51"/>
    </row>
    <row r="29" spans="2:6" s="1" customFormat="1" ht="15.75" customHeight="1" thickBot="1">
      <c r="B29" s="19"/>
      <c r="C29" s="20"/>
      <c r="D29" s="20"/>
      <c r="E29" s="20"/>
      <c r="F29" s="21"/>
    </row>
    <row r="30" spans="2:6" ht="15.75" customHeight="1">
      <c r="B30" s="4"/>
      <c r="C30" s="4"/>
      <c r="D30" s="4"/>
    </row>
    <row r="31" spans="2:6" ht="15.75" customHeight="1">
      <c r="B31" s="4"/>
      <c r="C31" s="4"/>
      <c r="D31" s="4"/>
    </row>
    <row r="32" spans="2:6" ht="15.75" customHeight="1">
      <c r="B32" s="1"/>
      <c r="C32" s="1"/>
      <c r="D32" s="1"/>
    </row>
    <row r="33" spans="2:4" ht="15.75" customHeight="1">
      <c r="B33" s="1"/>
      <c r="C33" s="1"/>
      <c r="D33" s="1"/>
    </row>
    <row r="34" spans="2:4" ht="15.75" customHeight="1"/>
    <row r="35" spans="2:4" ht="15.75" customHeight="1"/>
    <row r="36" spans="2:4" ht="15.75" customHeight="1"/>
    <row r="37" spans="2:4" ht="15.75" customHeight="1"/>
    <row r="38" spans="2:4" ht="15.75" customHeight="1"/>
    <row r="39" spans="2:4" ht="15.75" customHeight="1"/>
    <row r="40" spans="2:4" ht="15.75" customHeight="1"/>
    <row r="41" spans="2:4" ht="15.75" customHeight="1"/>
    <row r="42" spans="2:4" ht="15.75" customHeight="1"/>
    <row r="43" spans="2:4" ht="15.75" customHeight="1"/>
    <row r="44" spans="2:4" ht="15.75" customHeight="1"/>
    <row r="45" spans="2:4" ht="15.75" customHeight="1"/>
    <row r="46" spans="2:4" ht="15.75" customHeight="1"/>
    <row r="47" spans="2:4" ht="15.75" customHeight="1"/>
    <row r="48" spans="2: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B1:H25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4" width="18.140625" bestFit="1" customWidth="1"/>
    <col min="5" max="5" width="3.140625" customWidth="1"/>
    <col min="6" max="6" width="15.140625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">
      <c r="C2" s="1" t="s">
        <v>226</v>
      </c>
    </row>
    <row r="3" spans="2:8" s="1" customFormat="1" ht="15"/>
    <row r="4" spans="2:8" s="1" customFormat="1" ht="15">
      <c r="C4" s="2" t="s">
        <v>0</v>
      </c>
    </row>
    <row r="5" spans="2:8" s="1" customFormat="1" ht="15.75" thickBot="1">
      <c r="C5" s="3"/>
      <c r="D5" s="4"/>
    </row>
    <row r="6" spans="2:8" s="1" customFormat="1" ht="15">
      <c r="B6" s="5"/>
      <c r="C6" s="6"/>
      <c r="D6" s="7"/>
      <c r="E6" s="8"/>
      <c r="F6" s="25"/>
      <c r="G6" s="25"/>
    </row>
    <row r="7" spans="2:8" s="1" customFormat="1" ht="15">
      <c r="B7" s="9"/>
      <c r="C7" s="37" t="s">
        <v>27</v>
      </c>
      <c r="D7" s="44"/>
      <c r="E7" s="11"/>
      <c r="F7" s="56"/>
      <c r="G7" s="25"/>
    </row>
    <row r="8" spans="2:8" s="1" customFormat="1" ht="15">
      <c r="B8" s="9"/>
      <c r="C8" s="10" t="s">
        <v>24</v>
      </c>
      <c r="D8" s="121">
        <v>20000</v>
      </c>
      <c r="E8" s="11"/>
      <c r="F8" s="57"/>
      <c r="G8" s="25"/>
    </row>
    <row r="9" spans="2:8" s="1" customFormat="1" ht="15">
      <c r="B9" s="9"/>
      <c r="C9" s="10" t="s">
        <v>15</v>
      </c>
      <c r="D9" s="122">
        <v>-26000</v>
      </c>
      <c r="E9" s="11"/>
      <c r="F9" s="57"/>
      <c r="G9" s="25"/>
      <c r="H9" s="23"/>
    </row>
    <row r="10" spans="2:8" s="1" customFormat="1" ht="15">
      <c r="B10" s="9"/>
      <c r="C10" s="10" t="s">
        <v>16</v>
      </c>
      <c r="D10" s="122">
        <v>13000</v>
      </c>
      <c r="E10" s="11"/>
      <c r="F10" s="57"/>
      <c r="G10" s="25"/>
      <c r="H10" s="23"/>
    </row>
    <row r="11" spans="2:8" s="1" customFormat="1" ht="15.75" thickBot="1">
      <c r="B11" s="12"/>
      <c r="C11" s="38"/>
      <c r="D11" s="45"/>
      <c r="E11" s="13"/>
      <c r="F11" s="25"/>
      <c r="G11" s="25"/>
      <c r="H11" s="23"/>
    </row>
    <row r="12" spans="2:8" ht="15">
      <c r="B12" s="25"/>
      <c r="C12" s="26"/>
      <c r="D12" s="26"/>
      <c r="E12" s="25"/>
    </row>
    <row r="13" spans="2:8" ht="15">
      <c r="B13" s="25"/>
      <c r="C13" s="27" t="s">
        <v>1</v>
      </c>
      <c r="D13" s="26"/>
      <c r="E13" s="25"/>
    </row>
    <row r="14" spans="2:8" ht="15.75" thickBot="1">
      <c r="B14" s="25"/>
      <c r="C14" s="26"/>
      <c r="D14" s="26"/>
      <c r="E14" s="25"/>
    </row>
    <row r="15" spans="2:8" ht="15">
      <c r="B15" s="14"/>
      <c r="C15" s="28"/>
      <c r="D15" s="28"/>
      <c r="E15" s="15"/>
      <c r="F15" s="59"/>
      <c r="G15" s="59"/>
    </row>
    <row r="16" spans="2:8" ht="15.75">
      <c r="B16" s="16"/>
      <c r="C16" s="18" t="s">
        <v>28</v>
      </c>
      <c r="D16" s="70" t="e">
        <f>IRR(D8:D10,0.99)</f>
        <v>#NUM!</v>
      </c>
      <c r="E16" s="17"/>
      <c r="F16" s="59"/>
      <c r="G16" s="59"/>
    </row>
    <row r="17" spans="2:7" ht="15">
      <c r="B17" s="16"/>
      <c r="C17" s="18"/>
      <c r="D17" s="42"/>
      <c r="E17" s="17"/>
      <c r="F17" s="25"/>
      <c r="G17" s="59"/>
    </row>
    <row r="18" spans="2:7" ht="15">
      <c r="B18" s="16"/>
      <c r="C18" s="18" t="s">
        <v>123</v>
      </c>
      <c r="D18" s="53"/>
      <c r="E18" s="17"/>
      <c r="F18" s="56"/>
      <c r="G18" s="59"/>
    </row>
    <row r="19" spans="2:7" ht="15">
      <c r="B19" s="16"/>
      <c r="C19" s="62" t="s">
        <v>124</v>
      </c>
      <c r="D19" s="55"/>
      <c r="E19" s="61"/>
      <c r="F19" s="60"/>
      <c r="G19" s="59"/>
    </row>
    <row r="20" spans="2:7" ht="15">
      <c r="B20" s="16"/>
      <c r="C20" s="62" t="s">
        <v>125</v>
      </c>
      <c r="D20" s="63"/>
      <c r="E20" s="61"/>
      <c r="F20" s="60"/>
      <c r="G20" s="59"/>
    </row>
    <row r="21" spans="2:7" s="1" customFormat="1" ht="15.75" thickBot="1">
      <c r="B21" s="19"/>
      <c r="C21" s="20"/>
      <c r="D21" s="20"/>
      <c r="E21" s="21"/>
      <c r="F21" s="25"/>
      <c r="G21" s="25"/>
    </row>
    <row r="22" spans="2:7" ht="15">
      <c r="B22" s="4"/>
      <c r="C22" s="4"/>
      <c r="D22" s="4"/>
      <c r="E22" s="4"/>
    </row>
    <row r="23" spans="2:7" ht="15">
      <c r="B23" s="4"/>
      <c r="C23" s="4"/>
      <c r="D23" s="4"/>
      <c r="E23" s="4"/>
    </row>
    <row r="24" spans="2:7" ht="15">
      <c r="B24" s="1"/>
      <c r="C24" s="1"/>
      <c r="D24" s="1"/>
      <c r="E24" s="1"/>
    </row>
    <row r="25" spans="2:7" ht="15">
      <c r="B25" s="1"/>
      <c r="C25" s="1"/>
      <c r="D25" s="1"/>
      <c r="E25" s="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211111121"/>
  <dimension ref="B1:H41"/>
  <sheetViews>
    <sheetView workbookViewId="0"/>
  </sheetViews>
  <sheetFormatPr defaultRowHeight="12.75"/>
  <cols>
    <col min="2" max="2" width="3.140625" customWidth="1"/>
    <col min="3" max="3" width="18.85546875" bestFit="1" customWidth="1"/>
    <col min="4" max="4" width="15.140625" customWidth="1"/>
    <col min="5" max="5" width="3.140625" customWidth="1"/>
    <col min="6" max="6" width="10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13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8"/>
    </row>
    <row r="7" spans="2:8" s="1" customFormat="1" ht="15.75" customHeight="1">
      <c r="B7" s="9"/>
      <c r="C7" s="34" t="s">
        <v>14</v>
      </c>
      <c r="D7" s="33"/>
      <c r="E7" s="11"/>
    </row>
    <row r="8" spans="2:8" s="1" customFormat="1" ht="15.75" customHeight="1">
      <c r="B8" s="9"/>
      <c r="C8" s="10" t="s">
        <v>15</v>
      </c>
      <c r="D8" s="100">
        <v>5000</v>
      </c>
      <c r="E8" s="11"/>
    </row>
    <row r="9" spans="2:8" s="1" customFormat="1" ht="15.75" customHeight="1">
      <c r="B9" s="9"/>
      <c r="C9" s="10" t="s">
        <v>16</v>
      </c>
      <c r="D9" s="98">
        <v>5500</v>
      </c>
      <c r="E9" s="11"/>
    </row>
    <row r="10" spans="2:8" s="1" customFormat="1" ht="15.75" customHeight="1">
      <c r="B10" s="9"/>
      <c r="C10" s="10" t="s">
        <v>17</v>
      </c>
      <c r="D10" s="98">
        <v>6000</v>
      </c>
      <c r="E10" s="11"/>
    </row>
    <row r="11" spans="2:8" s="1" customFormat="1" ht="15.75" customHeight="1">
      <c r="B11" s="9"/>
      <c r="C11" s="10" t="s">
        <v>18</v>
      </c>
      <c r="D11" s="98">
        <v>7000</v>
      </c>
      <c r="E11" s="11"/>
    </row>
    <row r="12" spans="2:8" s="1" customFormat="1" ht="15.75" customHeight="1">
      <c r="B12" s="9"/>
      <c r="C12" s="10"/>
      <c r="D12" s="98"/>
      <c r="E12" s="11"/>
    </row>
    <row r="13" spans="2:8" s="1" customFormat="1" ht="15.75" customHeight="1">
      <c r="B13" s="9"/>
      <c r="C13" s="10" t="s">
        <v>19</v>
      </c>
      <c r="D13" s="99">
        <v>0.14000000000000001</v>
      </c>
      <c r="E13" s="11"/>
      <c r="H13" s="23"/>
    </row>
    <row r="14" spans="2:8" s="1" customFormat="1" ht="15.75" customHeight="1">
      <c r="B14" s="9"/>
      <c r="C14" s="10"/>
      <c r="D14" s="99"/>
      <c r="E14" s="11"/>
      <c r="H14" s="23"/>
    </row>
    <row r="15" spans="2:8" s="1" customFormat="1" ht="15.75" customHeight="1">
      <c r="B15" s="9"/>
      <c r="C15" s="10" t="s">
        <v>10</v>
      </c>
      <c r="D15" s="92">
        <v>16000</v>
      </c>
      <c r="E15" s="11"/>
      <c r="H15" s="23"/>
    </row>
    <row r="16" spans="2:8" ht="15.75" customHeight="1" thickBot="1">
      <c r="B16" s="12"/>
      <c r="C16" s="24"/>
      <c r="D16" s="24" t="s">
        <v>11</v>
      </c>
      <c r="E16" s="13"/>
    </row>
    <row r="17" spans="2:5" ht="15.75" customHeight="1">
      <c r="B17" s="25"/>
      <c r="C17" s="26"/>
      <c r="D17" s="26"/>
      <c r="E17" s="25"/>
    </row>
    <row r="18" spans="2:5" ht="15.75" customHeight="1">
      <c r="B18" s="25"/>
      <c r="C18" s="27" t="s">
        <v>1</v>
      </c>
      <c r="D18" s="26"/>
      <c r="E18" s="25"/>
    </row>
    <row r="19" spans="2:5" ht="15.75" customHeight="1" thickBot="1">
      <c r="B19" s="25"/>
      <c r="C19" s="26"/>
      <c r="D19" s="26"/>
      <c r="E19" s="25"/>
    </row>
    <row r="20" spans="2:5" ht="15.75" customHeight="1">
      <c r="B20" s="14"/>
      <c r="C20" s="28"/>
      <c r="D20" s="28"/>
      <c r="E20" s="15"/>
    </row>
    <row r="21" spans="2:5" ht="15.75" customHeight="1">
      <c r="B21" s="16"/>
      <c r="C21" s="35" t="s">
        <v>20</v>
      </c>
      <c r="D21" s="18"/>
      <c r="E21" s="17"/>
    </row>
    <row r="22" spans="2:5" ht="15.75" customHeight="1">
      <c r="B22" s="16"/>
      <c r="C22" s="18" t="s">
        <v>15</v>
      </c>
      <c r="D22" s="96">
        <f>D8/(1+D13)</f>
        <v>4385.9649122807014</v>
      </c>
      <c r="E22" s="17"/>
    </row>
    <row r="23" spans="2:5" ht="15.75" customHeight="1">
      <c r="B23" s="16"/>
      <c r="C23" s="18" t="s">
        <v>16</v>
      </c>
      <c r="D23" s="97">
        <f>D9/(1+D13)^2</f>
        <v>4232.0714065866414</v>
      </c>
      <c r="E23" s="17"/>
    </row>
    <row r="24" spans="2:5" ht="15.75" customHeight="1">
      <c r="B24" s="16"/>
      <c r="C24" s="18" t="s">
        <v>17</v>
      </c>
      <c r="D24" s="97">
        <f>D10/(1+D13)^3</f>
        <v>4049.8290972120967</v>
      </c>
      <c r="E24" s="17"/>
    </row>
    <row r="25" spans="2:5" ht="15.75" customHeight="1">
      <c r="B25" s="16"/>
      <c r="C25" s="18" t="s">
        <v>18</v>
      </c>
      <c r="D25" s="97">
        <f>D11/(1+D13)^4</f>
        <v>4144.5619415913261</v>
      </c>
      <c r="E25" s="17"/>
    </row>
    <row r="26" spans="2:5" ht="15.75" customHeight="1">
      <c r="B26" s="16"/>
      <c r="C26" s="18"/>
      <c r="D26" s="18"/>
      <c r="E26" s="17"/>
    </row>
    <row r="27" spans="2:5" ht="15.75" customHeight="1">
      <c r="B27" s="16"/>
      <c r="C27" s="18" t="s">
        <v>90</v>
      </c>
      <c r="D27" s="36">
        <f>IF(D15&gt;D22+D23+D24+D25,"Never",IF(D15&gt;D22+D23+D24,(3+(D15-D22-D23-D24)/D25),IF(D15&gt;D22+D23,(2+(D15-D22-D23)/D24),IF(D15&gt;D22,(1+(D15-D22)/D23),IF(D15&lt;D22,D15/D22,0)))))</f>
        <v>3.8039775085714291</v>
      </c>
      <c r="E27" s="17"/>
    </row>
    <row r="28" spans="2:5" ht="15.75" customHeight="1" thickBot="1">
      <c r="B28" s="19"/>
      <c r="C28" s="20"/>
      <c r="D28" s="20"/>
      <c r="E28" s="21"/>
    </row>
    <row r="29" spans="2:5" ht="15.75" customHeight="1">
      <c r="B29" s="4"/>
      <c r="C29" s="4"/>
      <c r="D29" s="4"/>
      <c r="E29" s="4"/>
    </row>
    <row r="30" spans="2:5" ht="15.75" customHeight="1">
      <c r="B30" s="4"/>
      <c r="C30" s="4"/>
      <c r="D30" s="4"/>
      <c r="E30" s="4"/>
    </row>
    <row r="31" spans="2:5" ht="15.75" customHeight="1">
      <c r="B31" s="1"/>
      <c r="C31" s="1"/>
      <c r="D31" s="1"/>
      <c r="E31" s="1"/>
    </row>
    <row r="32" spans="2:5" ht="15.75" customHeight="1">
      <c r="B32" s="1"/>
      <c r="C32" s="1"/>
      <c r="D32" s="1"/>
      <c r="E32" s="1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2111111211"/>
  <dimension ref="B1:H41"/>
  <sheetViews>
    <sheetView workbookViewId="0"/>
  </sheetViews>
  <sheetFormatPr defaultRowHeight="12.75"/>
  <cols>
    <col min="2" max="2" width="3.140625" customWidth="1"/>
    <col min="3" max="3" width="20.140625" bestFit="1" customWidth="1"/>
    <col min="4" max="4" width="15.140625" customWidth="1"/>
    <col min="5" max="5" width="3.140625" customWidth="1"/>
    <col min="6" max="6" width="10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12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8"/>
    </row>
    <row r="7" spans="2:8" s="1" customFormat="1" ht="15.75" customHeight="1">
      <c r="B7" s="9"/>
      <c r="C7" s="10" t="s">
        <v>10</v>
      </c>
      <c r="D7" s="92">
        <v>15000</v>
      </c>
      <c r="E7" s="11"/>
      <c r="H7" s="23"/>
    </row>
    <row r="8" spans="2:8" s="1" customFormat="1" ht="15.75" customHeight="1">
      <c r="B8" s="9"/>
      <c r="C8" s="10" t="s">
        <v>22</v>
      </c>
      <c r="D8" s="92">
        <v>3800</v>
      </c>
      <c r="E8" s="11"/>
    </row>
    <row r="9" spans="2:8" s="1" customFormat="1" ht="15.75" customHeight="1">
      <c r="B9" s="9"/>
      <c r="C9" s="10" t="s">
        <v>9</v>
      </c>
      <c r="D9" s="98">
        <v>6</v>
      </c>
      <c r="E9" s="11"/>
      <c r="H9" s="23"/>
    </row>
    <row r="10" spans="2:8" s="1" customFormat="1" ht="15.75" customHeight="1">
      <c r="B10" s="9"/>
      <c r="C10" s="10" t="s">
        <v>19</v>
      </c>
      <c r="D10" s="99">
        <v>0</v>
      </c>
      <c r="E10" s="11"/>
      <c r="H10" s="23"/>
    </row>
    <row r="11" spans="2:8" ht="15.75" customHeight="1" thickBot="1">
      <c r="B11" s="12"/>
      <c r="C11" s="24"/>
      <c r="D11" s="24" t="s">
        <v>11</v>
      </c>
      <c r="E11" s="13"/>
    </row>
    <row r="12" spans="2:8" ht="15.75" customHeight="1">
      <c r="B12" s="25"/>
      <c r="C12" s="26"/>
      <c r="D12" s="26"/>
      <c r="E12" s="25"/>
    </row>
    <row r="13" spans="2:8" ht="15.75" customHeight="1">
      <c r="B13" s="25"/>
      <c r="C13" s="27" t="s">
        <v>1</v>
      </c>
      <c r="D13" s="26"/>
      <c r="E13" s="25"/>
    </row>
    <row r="14" spans="2:8" ht="15.75" customHeight="1" thickBot="1">
      <c r="B14" s="25"/>
      <c r="C14" s="26"/>
      <c r="D14" s="26"/>
      <c r="E14" s="25"/>
    </row>
    <row r="15" spans="2:8" ht="15.75" customHeight="1">
      <c r="B15" s="14"/>
      <c r="C15" s="28"/>
      <c r="D15" s="28"/>
      <c r="E15" s="15"/>
    </row>
    <row r="16" spans="2:8" ht="30">
      <c r="B16" s="16"/>
      <c r="C16" s="107" t="s">
        <v>2</v>
      </c>
      <c r="D16" s="106" t="s">
        <v>91</v>
      </c>
      <c r="E16" s="17"/>
    </row>
    <row r="17" spans="2:6" ht="15.75" customHeight="1">
      <c r="B17" s="16"/>
      <c r="C17" s="18">
        <v>0</v>
      </c>
      <c r="D17" s="102">
        <f>-D7</f>
        <v>-15000</v>
      </c>
      <c r="E17" s="17"/>
    </row>
    <row r="18" spans="2:6" ht="15.75" customHeight="1">
      <c r="B18" s="16"/>
      <c r="C18" s="18">
        <v>1</v>
      </c>
      <c r="D18" s="108">
        <f>-PV(D10,C18,0,D8)</f>
        <v>3800</v>
      </c>
      <c r="E18" s="17"/>
      <c r="F18" s="195"/>
    </row>
    <row r="19" spans="2:6" ht="15.75" customHeight="1">
      <c r="B19" s="16"/>
      <c r="C19" s="18">
        <v>2</v>
      </c>
      <c r="D19" s="108">
        <f>PV(D10,C19,0,-D8)</f>
        <v>3800</v>
      </c>
      <c r="E19" s="17"/>
      <c r="F19" s="195"/>
    </row>
    <row r="20" spans="2:6" ht="15.75" customHeight="1">
      <c r="B20" s="16"/>
      <c r="C20" s="18">
        <v>3</v>
      </c>
      <c r="D20" s="108">
        <f>PV(D10,C20,0,-D8)</f>
        <v>3800</v>
      </c>
      <c r="E20" s="17"/>
      <c r="F20" s="195"/>
    </row>
    <row r="21" spans="2:6" ht="15.75" customHeight="1">
      <c r="B21" s="16"/>
      <c r="C21" s="18">
        <v>4</v>
      </c>
      <c r="D21" s="108">
        <f>PV(D10,C21,0,-D8)</f>
        <v>3800</v>
      </c>
      <c r="E21" s="17"/>
      <c r="F21" s="195"/>
    </row>
    <row r="22" spans="2:6" ht="15.75" customHeight="1">
      <c r="B22" s="16"/>
      <c r="C22" s="18">
        <v>5</v>
      </c>
      <c r="D22" s="108">
        <f>PV(D10,C22,0,-D8)</f>
        <v>3800</v>
      </c>
      <c r="E22" s="17"/>
      <c r="F22" s="195"/>
    </row>
    <row r="23" spans="2:6" ht="15.75" customHeight="1">
      <c r="B23" s="16"/>
      <c r="C23" s="18">
        <v>6</v>
      </c>
      <c r="D23" s="108">
        <f>PV(D10,C23,0,-D8)</f>
        <v>3800</v>
      </c>
      <c r="E23" s="17"/>
      <c r="F23" s="195"/>
    </row>
    <row r="24" spans="2:6" ht="15.75" customHeight="1">
      <c r="B24" s="16"/>
      <c r="C24" s="18"/>
      <c r="D24" s="18"/>
      <c r="E24" s="17"/>
    </row>
    <row r="25" spans="2:6" ht="15.75" customHeight="1">
      <c r="B25" s="16"/>
      <c r="C25" s="18" t="s">
        <v>84</v>
      </c>
      <c r="D25" s="29">
        <f>IF(-D17&gt;(D18+D19+D20+D21+D22+D23),"Never",IF(-D17&gt;(D18+D19+D20+D21+D22),(5+(-D17-D18-D19-D20-D21-D22)/D23),IF(-D17&gt;(D18+D19+D20+D21),(4+(-D17-D18-D19-D20-D21)/D22),IF(-D17&gt;(D18+D19+D20),(3+(-D17-D18-D19-D20)/D21),IF(-D17&gt;(D18+D19),(2+(-D17-D18-D19)/D20),IF(-D17&gt;D18,(1+(-D17-D18)/D19),IF(-D17&lt;D18,-D17/D18," ")))))))</f>
        <v>3.9473684210526314</v>
      </c>
      <c r="E25" s="17"/>
    </row>
    <row r="26" spans="2:6" ht="15.75" customHeight="1" thickBot="1">
      <c r="B26" s="19"/>
      <c r="C26" s="20"/>
      <c r="D26" s="20"/>
      <c r="E26" s="21"/>
    </row>
    <row r="27" spans="2:6" ht="15.75" customHeight="1">
      <c r="B27" s="4"/>
      <c r="C27" s="4"/>
      <c r="D27" s="4"/>
      <c r="E27" s="4"/>
    </row>
    <row r="28" spans="2:6" ht="15.75" customHeight="1">
      <c r="B28" s="4"/>
      <c r="C28" s="4"/>
      <c r="D28" s="4"/>
      <c r="E28" s="4"/>
    </row>
    <row r="29" spans="2:6" ht="15.75" customHeight="1">
      <c r="B29" s="1"/>
      <c r="C29" s="1"/>
      <c r="D29" s="1"/>
      <c r="E29" s="1"/>
    </row>
    <row r="30" spans="2:6" ht="15.75" customHeight="1">
      <c r="B30" s="1"/>
      <c r="C30" s="1"/>
      <c r="D30" s="1"/>
      <c r="E30" s="1"/>
    </row>
    <row r="31" spans="2:6" ht="15.75" customHeight="1"/>
    <row r="32" spans="2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1211111121111"/>
  <dimension ref="B1:H30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4" width="15.140625" customWidth="1"/>
    <col min="5" max="5" width="3.140625" customWidth="1"/>
    <col min="6" max="6" width="10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21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8"/>
    </row>
    <row r="7" spans="2:8" s="1" customFormat="1" ht="15.75" customHeight="1">
      <c r="B7" s="9"/>
      <c r="C7" s="10" t="s">
        <v>26</v>
      </c>
      <c r="D7" s="109">
        <v>0.09</v>
      </c>
      <c r="E7" s="11"/>
    </row>
    <row r="8" spans="2:8" s="1" customFormat="1" ht="15.75" customHeight="1">
      <c r="B8" s="9"/>
      <c r="C8" s="37" t="s">
        <v>27</v>
      </c>
      <c r="D8" s="98"/>
      <c r="E8" s="11"/>
      <c r="H8" s="23"/>
    </row>
    <row r="9" spans="2:8" s="1" customFormat="1" ht="15.75" customHeight="1">
      <c r="B9" s="9"/>
      <c r="C9" s="10" t="s">
        <v>24</v>
      </c>
      <c r="D9" s="100">
        <v>-20000</v>
      </c>
      <c r="E9" s="11"/>
      <c r="H9" s="23"/>
    </row>
    <row r="10" spans="2:8" s="1" customFormat="1" ht="15.75" customHeight="1">
      <c r="B10" s="9"/>
      <c r="C10" s="10" t="s">
        <v>15</v>
      </c>
      <c r="D10" s="100">
        <v>8500</v>
      </c>
      <c r="E10" s="11"/>
      <c r="H10" s="23"/>
    </row>
    <row r="11" spans="2:8" s="1" customFormat="1" ht="15.75" customHeight="1">
      <c r="B11" s="9"/>
      <c r="C11" s="10" t="s">
        <v>16</v>
      </c>
      <c r="D11" s="100">
        <v>10200</v>
      </c>
      <c r="E11" s="11"/>
      <c r="H11" s="23"/>
    </row>
    <row r="12" spans="2:8" s="1" customFormat="1" ht="15.75" customHeight="1">
      <c r="B12" s="9"/>
      <c r="C12" s="10" t="s">
        <v>17</v>
      </c>
      <c r="D12" s="100">
        <v>6200</v>
      </c>
      <c r="E12" s="11"/>
      <c r="H12" s="23"/>
    </row>
    <row r="13" spans="2:8" ht="15.75" customHeight="1" thickBot="1">
      <c r="B13" s="12"/>
      <c r="C13" s="38"/>
      <c r="D13" s="24" t="s">
        <v>11</v>
      </c>
      <c r="E13" s="13"/>
    </row>
    <row r="14" spans="2:8" ht="15.75" customHeight="1">
      <c r="B14" s="25"/>
      <c r="C14" s="26"/>
      <c r="D14" s="26"/>
      <c r="E14" s="25"/>
    </row>
    <row r="15" spans="2:8" ht="15.75" customHeight="1">
      <c r="B15" s="25"/>
      <c r="C15" s="27" t="s">
        <v>1</v>
      </c>
      <c r="D15" s="26"/>
      <c r="E15" s="25"/>
    </row>
    <row r="16" spans="2:8" ht="15.75" customHeight="1" thickBot="1">
      <c r="B16" s="25"/>
      <c r="C16" s="26"/>
      <c r="D16" s="26"/>
      <c r="E16" s="25"/>
    </row>
    <row r="17" spans="2:5" ht="15.75" customHeight="1">
      <c r="B17" s="14"/>
      <c r="C17" s="28"/>
      <c r="D17" s="28"/>
      <c r="E17" s="15"/>
    </row>
    <row r="18" spans="2:5" ht="15.75" customHeight="1">
      <c r="B18" s="16"/>
      <c r="C18" s="18" t="s">
        <v>28</v>
      </c>
      <c r="D18" s="70">
        <f>IRR(D9:D12,0.1)</f>
        <v>0.12406029319750583</v>
      </c>
      <c r="E18" s="17"/>
    </row>
    <row r="19" spans="2:5" ht="15.75" customHeight="1">
      <c r="B19" s="16"/>
      <c r="C19" s="18"/>
      <c r="D19" s="39"/>
      <c r="E19" s="17"/>
    </row>
    <row r="20" spans="2:5" ht="15.75" customHeight="1">
      <c r="B20" s="16"/>
      <c r="C20" s="18" t="s">
        <v>92</v>
      </c>
      <c r="D20" s="110" t="str">
        <f>IF(D18&gt;D7,"Accept","Reject")</f>
        <v>Accept</v>
      </c>
      <c r="E20" s="17"/>
    </row>
    <row r="21" spans="2:5" ht="15.75" customHeight="1" thickBot="1">
      <c r="B21" s="19"/>
      <c r="C21" s="20"/>
      <c r="D21" s="20"/>
      <c r="E21" s="21"/>
    </row>
    <row r="22" spans="2:5" ht="15.75" customHeight="1">
      <c r="B22" s="4"/>
      <c r="C22" s="4"/>
      <c r="D22" s="4"/>
      <c r="E22" s="4"/>
    </row>
    <row r="23" spans="2:5" ht="15.75" customHeight="1">
      <c r="B23" s="4"/>
      <c r="C23" s="4"/>
      <c r="D23" s="4"/>
      <c r="E23" s="4"/>
    </row>
    <row r="24" spans="2:5" ht="15.75" customHeight="1">
      <c r="B24" s="1"/>
      <c r="C24" s="1"/>
      <c r="D24" s="1"/>
      <c r="E24" s="1"/>
    </row>
    <row r="25" spans="2:5" ht="15.75" customHeight="1">
      <c r="B25" s="1"/>
      <c r="C25" s="1"/>
      <c r="D25" s="1"/>
      <c r="E25" s="1"/>
    </row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I29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5" width="15.140625" customWidth="1"/>
    <col min="6" max="6" width="3.140625" customWidth="1"/>
    <col min="7" max="7" width="10" customWidth="1"/>
    <col min="8" max="8" width="3.140625" customWidth="1"/>
  </cols>
  <sheetData>
    <row r="1" spans="2:9" s="1" customFormat="1" ht="18">
      <c r="C1" s="140" t="s">
        <v>242</v>
      </c>
      <c r="D1" s="140"/>
    </row>
    <row r="2" spans="2:9" s="1" customFormat="1" ht="15.75" customHeight="1">
      <c r="C2" s="1" t="s">
        <v>23</v>
      </c>
    </row>
    <row r="3" spans="2:9" s="1" customFormat="1" ht="15.75" customHeight="1"/>
    <row r="4" spans="2:9" s="1" customFormat="1" ht="15.75" customHeight="1">
      <c r="C4" s="2" t="s">
        <v>0</v>
      </c>
      <c r="D4" s="2"/>
    </row>
    <row r="5" spans="2:9" s="1" customFormat="1" ht="15.75" customHeight="1" thickBot="1">
      <c r="C5" s="3"/>
      <c r="D5" s="3"/>
      <c r="E5" s="4"/>
    </row>
    <row r="6" spans="2:9" s="1" customFormat="1" ht="15.75" customHeight="1">
      <c r="B6" s="5"/>
      <c r="C6" s="6"/>
      <c r="D6" s="6"/>
      <c r="E6" s="7"/>
      <c r="F6" s="8"/>
    </row>
    <row r="7" spans="2:9" s="1" customFormat="1" ht="15.75" customHeight="1">
      <c r="B7" s="9"/>
      <c r="C7" s="37" t="s">
        <v>27</v>
      </c>
      <c r="D7" s="145" t="s">
        <v>88</v>
      </c>
      <c r="E7" s="146" t="s">
        <v>89</v>
      </c>
      <c r="F7" s="11"/>
      <c r="I7" s="23"/>
    </row>
    <row r="8" spans="2:9" s="1" customFormat="1" ht="15.75" customHeight="1">
      <c r="B8" s="9"/>
      <c r="C8" s="10" t="s">
        <v>24</v>
      </c>
      <c r="D8" s="114">
        <v>-5300</v>
      </c>
      <c r="E8" s="100">
        <v>-2900</v>
      </c>
      <c r="F8" s="11"/>
      <c r="I8" s="23"/>
    </row>
    <row r="9" spans="2:9" s="1" customFormat="1" ht="15.75" customHeight="1">
      <c r="B9" s="9"/>
      <c r="C9" s="10" t="s">
        <v>15</v>
      </c>
      <c r="D9" s="114">
        <v>2000</v>
      </c>
      <c r="E9" s="100">
        <v>1100</v>
      </c>
      <c r="F9" s="11"/>
      <c r="I9" s="23"/>
    </row>
    <row r="10" spans="2:9" s="1" customFormat="1" ht="15.75" customHeight="1">
      <c r="B10" s="9"/>
      <c r="C10" s="10" t="s">
        <v>16</v>
      </c>
      <c r="D10" s="114">
        <v>2800</v>
      </c>
      <c r="E10" s="100">
        <v>1800</v>
      </c>
      <c r="F10" s="11"/>
      <c r="I10" s="23"/>
    </row>
    <row r="11" spans="2:9" s="1" customFormat="1" ht="15.75" customHeight="1">
      <c r="B11" s="9"/>
      <c r="C11" s="10" t="s">
        <v>17</v>
      </c>
      <c r="D11" s="114">
        <v>1600</v>
      </c>
      <c r="E11" s="100">
        <v>1200</v>
      </c>
      <c r="F11" s="11"/>
      <c r="I11" s="23"/>
    </row>
    <row r="12" spans="2:9" ht="15.75" customHeight="1" thickBot="1">
      <c r="B12" s="12"/>
      <c r="C12" s="38"/>
      <c r="D12" s="38"/>
      <c r="E12" s="24" t="s">
        <v>11</v>
      </c>
      <c r="F12" s="13"/>
    </row>
    <row r="13" spans="2:9" ht="15.75" customHeight="1">
      <c r="B13" s="25"/>
      <c r="C13" s="26"/>
      <c r="D13" s="26"/>
      <c r="E13" s="26"/>
      <c r="F13" s="25"/>
    </row>
    <row r="14" spans="2:9" ht="15.75" customHeight="1">
      <c r="B14" s="25"/>
      <c r="C14" s="27" t="s">
        <v>1</v>
      </c>
      <c r="D14" s="27"/>
      <c r="E14" s="26"/>
      <c r="F14" s="25"/>
    </row>
    <row r="15" spans="2:9" ht="15.75" customHeight="1" thickBot="1">
      <c r="B15" s="25"/>
      <c r="C15" s="26"/>
      <c r="D15" s="26"/>
      <c r="E15" s="26"/>
      <c r="F15" s="25"/>
    </row>
    <row r="16" spans="2:9" ht="15.75" customHeight="1">
      <c r="B16" s="14"/>
      <c r="C16" s="28"/>
      <c r="D16" s="28"/>
      <c r="E16" s="28"/>
      <c r="F16" s="15"/>
    </row>
    <row r="17" spans="2:6" ht="15.75" customHeight="1">
      <c r="B17" s="16"/>
      <c r="C17" s="18" t="s">
        <v>117</v>
      </c>
      <c r="D17" s="147"/>
      <c r="E17" s="70">
        <f>IRR(D8:D11)</f>
        <v>0.1037776116417853</v>
      </c>
      <c r="F17" s="17"/>
    </row>
    <row r="18" spans="2:6" ht="15.75" customHeight="1">
      <c r="B18" s="16"/>
      <c r="C18" s="147"/>
      <c r="D18" s="147"/>
      <c r="E18" s="147"/>
      <c r="F18" s="17"/>
    </row>
    <row r="19" spans="2:6" ht="15.75" customHeight="1">
      <c r="B19" s="16"/>
      <c r="C19" s="18" t="s">
        <v>116</v>
      </c>
      <c r="D19" s="18"/>
      <c r="E19" s="70">
        <f>IRR(E8:E11,0.1)</f>
        <v>0.19161032407016756</v>
      </c>
      <c r="F19" s="17"/>
    </row>
    <row r="20" spans="2:6" ht="15.75" customHeight="1" thickBot="1">
      <c r="B20" s="19"/>
      <c r="C20" s="20"/>
      <c r="D20" s="20"/>
      <c r="E20" s="20"/>
      <c r="F20" s="21"/>
    </row>
    <row r="21" spans="2:6" ht="15.75" customHeight="1">
      <c r="B21" s="4"/>
      <c r="C21" s="4"/>
      <c r="D21" s="4"/>
      <c r="E21" s="4"/>
      <c r="F21" s="4"/>
    </row>
    <row r="22" spans="2:6" ht="15.75" customHeight="1">
      <c r="B22" s="4"/>
      <c r="C22" s="4"/>
      <c r="D22" s="4"/>
      <c r="E22" s="4"/>
      <c r="F22" s="4"/>
    </row>
    <row r="23" spans="2:6" ht="15.75" customHeight="1">
      <c r="B23" s="1"/>
      <c r="C23" s="1"/>
      <c r="D23" s="1"/>
      <c r="E23" s="1"/>
      <c r="F23" s="1"/>
    </row>
    <row r="24" spans="2:6" ht="15.75" customHeight="1">
      <c r="B24" s="1"/>
      <c r="C24" s="1"/>
      <c r="D24" s="1"/>
      <c r="E24" s="1"/>
      <c r="F24" s="1"/>
    </row>
    <row r="25" spans="2:6" ht="15.75" customHeight="1"/>
    <row r="26" spans="2:6" ht="15.75" customHeight="1"/>
    <row r="27" spans="2:6" ht="15.75" customHeight="1"/>
    <row r="28" spans="2:6" ht="15.75" customHeight="1"/>
    <row r="29" spans="2:6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21111112111111"/>
  <dimension ref="B1:H33"/>
  <sheetViews>
    <sheetView workbookViewId="0"/>
  </sheetViews>
  <sheetFormatPr defaultRowHeight="12.75"/>
  <cols>
    <col min="2" max="2" width="3.140625" customWidth="1"/>
    <col min="3" max="3" width="22.28515625" bestFit="1" customWidth="1"/>
    <col min="4" max="4" width="15.140625" customWidth="1"/>
    <col min="5" max="5" width="3.140625" customWidth="1"/>
    <col min="6" max="6" width="10" customWidth="1"/>
    <col min="7" max="7" width="3.140625" customWidth="1"/>
  </cols>
  <sheetData>
    <row r="1" spans="2:8" s="1" customFormat="1" ht="18">
      <c r="C1" s="140" t="s">
        <v>242</v>
      </c>
    </row>
    <row r="2" spans="2:8" s="1" customFormat="1" ht="15.75" customHeight="1">
      <c r="C2" s="1" t="s">
        <v>25</v>
      </c>
    </row>
    <row r="3" spans="2:8" s="1" customFormat="1" ht="15.75" customHeight="1"/>
    <row r="4" spans="2:8" s="1" customFormat="1" ht="15.75" customHeight="1">
      <c r="C4" s="2" t="s">
        <v>0</v>
      </c>
    </row>
    <row r="5" spans="2:8" s="1" customFormat="1" ht="15.75" customHeight="1" thickBot="1">
      <c r="C5" s="3"/>
      <c r="D5" s="4"/>
    </row>
    <row r="6" spans="2:8" s="1" customFormat="1" ht="15.75" customHeight="1">
      <c r="B6" s="5"/>
      <c r="C6" s="6"/>
      <c r="D6" s="7"/>
      <c r="E6" s="8"/>
    </row>
    <row r="7" spans="2:8" s="1" customFormat="1" ht="15.75" customHeight="1">
      <c r="B7" s="9"/>
      <c r="C7" s="10" t="s">
        <v>32</v>
      </c>
      <c r="D7" s="100">
        <v>385000</v>
      </c>
      <c r="E7" s="11"/>
      <c r="H7" s="23"/>
    </row>
    <row r="8" spans="2:8" s="1" customFormat="1" ht="15.75" customHeight="1">
      <c r="B8" s="9"/>
      <c r="C8" s="10" t="s">
        <v>31</v>
      </c>
      <c r="D8" s="100">
        <v>84000</v>
      </c>
      <c r="E8" s="11"/>
      <c r="H8" s="23"/>
    </row>
    <row r="9" spans="2:8" s="1" customFormat="1" ht="15.75" customHeight="1">
      <c r="B9" s="9"/>
      <c r="C9" s="10" t="s">
        <v>9</v>
      </c>
      <c r="D9" s="95">
        <v>7</v>
      </c>
      <c r="E9" s="11"/>
      <c r="H9" s="23"/>
    </row>
    <row r="10" spans="2:8" s="1" customFormat="1" ht="15.75" customHeight="1">
      <c r="B10" s="9"/>
      <c r="C10" s="10" t="s">
        <v>26</v>
      </c>
      <c r="D10" s="109">
        <v>0.13</v>
      </c>
      <c r="E10" s="11"/>
    </row>
    <row r="11" spans="2:8" ht="15.75" customHeight="1" thickBot="1">
      <c r="B11" s="12"/>
      <c r="C11" s="38"/>
      <c r="D11" s="24" t="s">
        <v>11</v>
      </c>
      <c r="E11" s="13"/>
    </row>
    <row r="12" spans="2:8" ht="15.75" customHeight="1">
      <c r="B12" s="25"/>
      <c r="C12" s="26"/>
      <c r="D12" s="26"/>
      <c r="E12" s="25"/>
    </row>
    <row r="13" spans="2:8" ht="15.75" customHeight="1">
      <c r="B13" s="25"/>
      <c r="C13" s="27" t="s">
        <v>1</v>
      </c>
      <c r="D13" s="26"/>
      <c r="E13" s="25"/>
    </row>
    <row r="14" spans="2:8" ht="15.75" customHeight="1" thickBot="1">
      <c r="B14" s="25"/>
      <c r="C14" s="26"/>
      <c r="D14" s="26"/>
      <c r="E14" s="25"/>
    </row>
    <row r="15" spans="2:8" ht="15.75" customHeight="1">
      <c r="B15" s="14"/>
      <c r="C15" s="28"/>
      <c r="D15" s="28"/>
      <c r="E15" s="15"/>
    </row>
    <row r="16" spans="2:8" ht="15.75" customHeight="1">
      <c r="B16" s="16"/>
      <c r="C16" s="18" t="s">
        <v>118</v>
      </c>
      <c r="D16" s="196">
        <f>PV(D10,D9,-D8)/D7</f>
        <v>0.96493318532116024</v>
      </c>
      <c r="E16" s="17"/>
    </row>
    <row r="17" spans="2:5" ht="15.75" customHeight="1" thickBot="1">
      <c r="B17" s="19"/>
      <c r="C17" s="20"/>
      <c r="D17" s="20"/>
      <c r="E17" s="21"/>
    </row>
    <row r="18" spans="2:5" ht="15.75" customHeight="1">
      <c r="B18" s="4"/>
      <c r="C18" s="4"/>
      <c r="D18" s="4"/>
      <c r="E18" s="4"/>
    </row>
    <row r="19" spans="2:5" ht="15.75" customHeight="1">
      <c r="B19" s="4"/>
      <c r="C19" s="4"/>
      <c r="D19" s="4"/>
      <c r="E19" s="4"/>
    </row>
    <row r="20" spans="2:5" ht="15.75" customHeight="1">
      <c r="B20" s="1"/>
      <c r="C20" s="1"/>
      <c r="D20" s="1"/>
      <c r="E20" s="1"/>
    </row>
    <row r="21" spans="2:5" ht="15.75" customHeight="1">
      <c r="B21" s="1"/>
      <c r="C21" s="1"/>
      <c r="D21" s="240"/>
      <c r="E21" s="1"/>
    </row>
    <row r="22" spans="2:5" ht="15.75" customHeight="1"/>
    <row r="23" spans="2:5" ht="15.75" customHeight="1"/>
    <row r="24" spans="2:5" ht="15.75" customHeight="1"/>
    <row r="25" spans="2:5" ht="15.75" customHeight="1"/>
    <row r="26" spans="2:5" ht="15.75" customHeight="1"/>
    <row r="27" spans="2:5" ht="15.75" customHeight="1"/>
    <row r="28" spans="2:5" ht="15.75" customHeight="1"/>
    <row r="29" spans="2:5" ht="15.75" customHeight="1"/>
    <row r="30" spans="2:5" ht="15.75" customHeight="1"/>
    <row r="31" spans="2:5" ht="15.75" customHeight="1"/>
    <row r="32" spans="2:5" ht="15.75" customHeight="1"/>
    <row r="33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211111121111111"/>
  <dimension ref="B1:H55"/>
  <sheetViews>
    <sheetView workbookViewId="0"/>
  </sheetViews>
  <sheetFormatPr defaultRowHeight="12.75"/>
  <cols>
    <col min="2" max="2" width="3.140625" customWidth="1"/>
    <col min="3" max="3" width="23.140625" customWidth="1"/>
    <col min="4" max="4" width="16" customWidth="1"/>
    <col min="5" max="5" width="15.5703125" customWidth="1"/>
    <col min="6" max="6" width="3.140625" customWidth="1"/>
    <col min="7" max="7" width="10" customWidth="1"/>
  </cols>
  <sheetData>
    <row r="1" spans="2:8" s="1" customFormat="1" ht="18">
      <c r="C1" s="140" t="s">
        <v>242</v>
      </c>
      <c r="D1" s="140"/>
    </row>
    <row r="2" spans="2:8" s="1" customFormat="1" ht="15.75" customHeight="1">
      <c r="C2" s="1" t="s">
        <v>29</v>
      </c>
    </row>
    <row r="3" spans="2:8" s="1" customFormat="1" ht="15.75" customHeight="1"/>
    <row r="4" spans="2:8" s="1" customFormat="1" ht="15.75" customHeight="1">
      <c r="C4" s="2" t="s">
        <v>0</v>
      </c>
      <c r="D4" s="2"/>
    </row>
    <row r="5" spans="2:8" s="1" customFormat="1" ht="15.75" customHeight="1" thickBot="1">
      <c r="C5" s="3"/>
      <c r="D5" s="3"/>
      <c r="E5" s="4"/>
    </row>
    <row r="6" spans="2:8" s="1" customFormat="1" ht="15.75" customHeight="1">
      <c r="B6" s="5"/>
      <c r="C6" s="6"/>
      <c r="D6" s="6"/>
      <c r="E6" s="7"/>
      <c r="F6" s="8"/>
    </row>
    <row r="7" spans="2:8" s="1" customFormat="1" ht="15.75" customHeight="1">
      <c r="B7" s="9"/>
      <c r="C7" s="37"/>
      <c r="D7" s="145" t="s">
        <v>119</v>
      </c>
      <c r="E7" s="148" t="s">
        <v>120</v>
      </c>
      <c r="F7" s="11"/>
    </row>
    <row r="8" spans="2:8" s="1" customFormat="1" ht="15.75" customHeight="1">
      <c r="B8" s="9"/>
      <c r="C8" s="10" t="s">
        <v>24</v>
      </c>
      <c r="D8" s="114">
        <v>-2300</v>
      </c>
      <c r="E8" s="92">
        <v>-3900</v>
      </c>
      <c r="F8" s="11"/>
    </row>
    <row r="9" spans="2:8" s="1" customFormat="1" ht="15.75" customHeight="1">
      <c r="B9" s="9"/>
      <c r="C9" s="10" t="s">
        <v>15</v>
      </c>
      <c r="D9" s="114">
        <v>1200</v>
      </c>
      <c r="E9" s="100">
        <v>800</v>
      </c>
      <c r="F9" s="11"/>
      <c r="H9" s="23"/>
    </row>
    <row r="10" spans="2:8" s="1" customFormat="1" ht="15.75" customHeight="1">
      <c r="B10" s="9"/>
      <c r="C10" s="10" t="s">
        <v>16</v>
      </c>
      <c r="D10" s="114">
        <v>1100</v>
      </c>
      <c r="E10" s="100">
        <v>2300</v>
      </c>
      <c r="F10" s="11"/>
      <c r="H10" s="23"/>
    </row>
    <row r="11" spans="2:8" s="1" customFormat="1" ht="15.75" customHeight="1">
      <c r="B11" s="9"/>
      <c r="C11" s="10" t="s">
        <v>17</v>
      </c>
      <c r="D11" s="114">
        <v>900</v>
      </c>
      <c r="E11" s="100">
        <v>2900</v>
      </c>
      <c r="F11" s="11"/>
      <c r="H11" s="23"/>
    </row>
    <row r="12" spans="2:8" s="1" customFormat="1" ht="15.75" customHeight="1">
      <c r="B12" s="9"/>
      <c r="C12" s="10"/>
      <c r="D12" s="114"/>
      <c r="E12" s="100"/>
      <c r="F12" s="11"/>
      <c r="H12" s="23"/>
    </row>
    <row r="13" spans="2:8" s="1" customFormat="1" ht="15.75" customHeight="1">
      <c r="B13" s="9"/>
      <c r="C13" s="10" t="s">
        <v>19</v>
      </c>
      <c r="D13" s="99">
        <v>0.1</v>
      </c>
      <c r="E13" s="100"/>
      <c r="F13" s="11"/>
      <c r="H13" s="23"/>
    </row>
    <row r="14" spans="2:8" ht="15.75" customHeight="1" thickBot="1">
      <c r="B14" s="12"/>
      <c r="C14" s="38"/>
      <c r="D14" s="38"/>
      <c r="E14" s="24" t="s">
        <v>11</v>
      </c>
      <c r="F14" s="13"/>
    </row>
    <row r="15" spans="2:8" ht="15.75" customHeight="1">
      <c r="B15" s="25"/>
      <c r="C15" s="26"/>
      <c r="D15" s="26"/>
      <c r="E15" s="26"/>
      <c r="F15" s="25"/>
    </row>
    <row r="16" spans="2:8" ht="15.75" customHeight="1">
      <c r="B16" s="25"/>
      <c r="C16" s="27" t="s">
        <v>1</v>
      </c>
      <c r="D16" s="27"/>
      <c r="E16" s="26"/>
      <c r="F16" s="25"/>
    </row>
    <row r="17" spans="2:6" ht="15.75" customHeight="1" thickBot="1">
      <c r="B17" s="25"/>
      <c r="C17" s="26"/>
      <c r="D17" s="26"/>
      <c r="E17" s="26"/>
      <c r="F17" s="25"/>
    </row>
    <row r="18" spans="2:6" ht="15.75" customHeight="1">
      <c r="B18" s="14"/>
      <c r="C18" s="28"/>
      <c r="D18" s="28"/>
      <c r="E18" s="28"/>
      <c r="F18" s="15"/>
    </row>
    <row r="19" spans="2:6" ht="15.75" customHeight="1">
      <c r="B19" s="16"/>
      <c r="C19" s="18" t="s">
        <v>121</v>
      </c>
      <c r="D19" s="149">
        <f>NPV(D13,D9:D11)/-D8</f>
        <v>1.1635579655701824</v>
      </c>
      <c r="E19" s="147"/>
      <c r="F19" s="17"/>
    </row>
    <row r="20" spans="2:6" ht="15.75" customHeight="1">
      <c r="B20" s="16"/>
      <c r="C20" s="147"/>
      <c r="D20" s="150"/>
      <c r="E20" s="147"/>
      <c r="F20" s="17"/>
    </row>
    <row r="21" spans="2:6" ht="15.75" customHeight="1">
      <c r="B21" s="16"/>
      <c r="C21" s="18" t="s">
        <v>122</v>
      </c>
      <c r="D21" s="149">
        <f>NPV(D13,E9:E11)/-E8</f>
        <v>1.2325415631200753</v>
      </c>
      <c r="E21" s="124"/>
      <c r="F21" s="17"/>
    </row>
    <row r="22" spans="2:6" ht="15.75" customHeight="1">
      <c r="B22" s="16"/>
      <c r="C22" s="18"/>
      <c r="D22" s="150"/>
      <c r="E22" s="124"/>
      <c r="F22" s="17"/>
    </row>
    <row r="23" spans="2:6" ht="15.75" customHeight="1">
      <c r="B23" s="16"/>
      <c r="C23" s="142" t="str">
        <f>IF(D19&gt;D21,"Accept Alpha","Accept Beta")</f>
        <v>Accept Beta</v>
      </c>
      <c r="D23" s="191" t="s">
        <v>233</v>
      </c>
      <c r="E23" s="124"/>
      <c r="F23" s="17"/>
    </row>
    <row r="24" spans="2:6" ht="15.75" customHeight="1">
      <c r="B24" s="16"/>
      <c r="C24" s="18" t="s">
        <v>234</v>
      </c>
      <c r="D24" s="150"/>
      <c r="E24" s="124"/>
      <c r="F24" s="17"/>
    </row>
    <row r="25" spans="2:6" ht="15.75" customHeight="1">
      <c r="B25" s="16"/>
      <c r="C25" s="18" t="s">
        <v>235</v>
      </c>
      <c r="D25" s="150"/>
      <c r="E25" s="124"/>
      <c r="F25" s="17"/>
    </row>
    <row r="26" spans="2:6" ht="15.75" customHeight="1">
      <c r="B26" s="16"/>
      <c r="C26" s="18" t="s">
        <v>236</v>
      </c>
      <c r="D26" s="150"/>
      <c r="E26" s="124"/>
      <c r="F26" s="17"/>
    </row>
    <row r="27" spans="2:6" ht="15.75" customHeight="1" thickBot="1">
      <c r="B27" s="19"/>
      <c r="C27" s="20"/>
      <c r="D27" s="20"/>
      <c r="E27" s="20"/>
      <c r="F27" s="21"/>
    </row>
    <row r="28" spans="2:6" ht="15.75" customHeight="1">
      <c r="B28" s="4"/>
      <c r="C28" s="4"/>
      <c r="D28" s="4"/>
      <c r="E28" s="4"/>
      <c r="F28" s="4"/>
    </row>
    <row r="29" spans="2:6" ht="15.75" customHeight="1">
      <c r="B29" s="4"/>
      <c r="C29" s="4"/>
      <c r="D29" s="4"/>
      <c r="E29" s="4"/>
      <c r="F29" s="4"/>
    </row>
    <row r="30" spans="2:6" ht="15.75" customHeight="1">
      <c r="B30" s="1"/>
      <c r="C30" s="1"/>
      <c r="D30" s="1"/>
      <c r="E30" s="1"/>
      <c r="F30" s="1"/>
    </row>
    <row r="31" spans="2:6" ht="15.75" customHeight="1">
      <c r="B31" s="1"/>
      <c r="C31" s="1"/>
      <c r="D31" s="1"/>
      <c r="E31" s="1"/>
      <c r="F31" s="1"/>
    </row>
    <row r="32" spans="2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Chapter 5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#20 Answer Report</vt:lpstr>
      <vt:lpstr>#21</vt:lpstr>
      <vt:lpstr>#22</vt:lpstr>
      <vt:lpstr>#23</vt:lpstr>
      <vt:lpstr>#24</vt:lpstr>
      <vt:lpstr>#25</vt:lpstr>
      <vt:lpstr>#26</vt:lpstr>
      <vt:lpstr>#26 Answer Report</vt:lpstr>
      <vt:lpstr>#27</vt:lpstr>
      <vt:lpstr>#28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2005-09-23T19:12:30Z</cp:lastPrinted>
  <dcterms:created xsi:type="dcterms:W3CDTF">2002-05-02T18:49:10Z</dcterms:created>
  <dcterms:modified xsi:type="dcterms:W3CDTF">2012-11-06T09:59:13Z</dcterms:modified>
</cp:coreProperties>
</file>