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1295" windowHeight="7200"/>
  </bookViews>
  <sheets>
    <sheet name="Chapter 16" sheetId="22" r:id="rId1"/>
    <sheet name="#1" sheetId="23" r:id="rId2"/>
    <sheet name="#2" sheetId="24" r:id="rId3"/>
    <sheet name="#3" sheetId="25" r:id="rId4"/>
    <sheet name="#4" sheetId="26" r:id="rId5"/>
    <sheet name="#5" sheetId="27" r:id="rId6"/>
    <sheet name="#6" sheetId="28" r:id="rId7"/>
    <sheet name="#7" sheetId="29" r:id="rId8"/>
    <sheet name="#8" sheetId="30" r:id="rId9"/>
    <sheet name="#9" sheetId="9" r:id="rId10"/>
    <sheet name="#10" sheetId="10" r:id="rId11"/>
    <sheet name="#11" sheetId="11" r:id="rId12"/>
    <sheet name="#12" sheetId="41" r:id="rId13"/>
    <sheet name="#13" sheetId="13" r:id="rId14"/>
    <sheet name="#14" sheetId="14" r:id="rId15"/>
    <sheet name="#15" sheetId="15" r:id="rId16"/>
    <sheet name="#16" sheetId="31" r:id="rId17"/>
    <sheet name="#17" sheetId="16" r:id="rId18"/>
    <sheet name="#18" sheetId="43" r:id="rId19"/>
    <sheet name="#19" sheetId="32" r:id="rId20"/>
    <sheet name="#20" sheetId="33" r:id="rId21"/>
    <sheet name="#21" sheetId="34" r:id="rId22"/>
    <sheet name="#22" sheetId="35" r:id="rId23"/>
    <sheet name="#23" sheetId="36" r:id="rId24"/>
    <sheet name="#24" sheetId="37" r:id="rId25"/>
    <sheet name="#25" sheetId="39" r:id="rId26"/>
    <sheet name="#26" sheetId="18" r:id="rId27"/>
    <sheet name="#27" sheetId="19" r:id="rId28"/>
    <sheet name="#28" sheetId="20" r:id="rId29"/>
    <sheet name="#29" sheetId="21" r:id="rId30"/>
    <sheet name="#30" sheetId="40" r:id="rId31"/>
  </sheets>
  <calcPr calcId="114210"/>
</workbook>
</file>

<file path=xl/calcChain.xml><?xml version="1.0" encoding="utf-8"?>
<calcChain xmlns="http://schemas.openxmlformats.org/spreadsheetml/2006/main">
  <c r="D13" i="15"/>
  <c r="D11"/>
  <c r="D19"/>
  <c r="E28" i="30"/>
  <c r="E27"/>
  <c r="E26" i="43"/>
  <c r="D23"/>
  <c r="D21"/>
  <c r="D20"/>
  <c r="E18"/>
  <c r="E24"/>
  <c r="E20"/>
  <c r="E21"/>
  <c r="D16" i="35"/>
  <c r="D12" i="33"/>
  <c r="D20" i="37"/>
  <c r="D32" i="33"/>
  <c r="D30"/>
  <c r="D19" i="31"/>
  <c r="E12" i="35"/>
  <c r="E11"/>
  <c r="E14"/>
  <c r="D19" i="41"/>
  <c r="D21"/>
  <c r="D23"/>
  <c r="D19" i="34"/>
  <c r="D21"/>
  <c r="D18" i="37"/>
  <c r="G40"/>
  <c r="D25"/>
  <c r="D30"/>
  <c r="D40"/>
  <c r="D28"/>
  <c r="D31"/>
  <c r="D22"/>
  <c r="D32" i="39"/>
  <c r="D33"/>
  <c r="D34"/>
  <c r="D18"/>
  <c r="D19"/>
  <c r="D21"/>
  <c r="D23"/>
  <c r="D25"/>
  <c r="D26"/>
  <c r="D27"/>
  <c r="D25" i="36"/>
  <c r="D17"/>
  <c r="D19"/>
  <c r="D21"/>
  <c r="D30" i="35"/>
  <c r="D24"/>
  <c r="D23"/>
  <c r="D17" i="34"/>
  <c r="D20" i="33"/>
  <c r="D26"/>
  <c r="D34"/>
  <c r="D16" i="32"/>
  <c r="E17"/>
  <c r="F17"/>
  <c r="D17"/>
  <c r="E18"/>
  <c r="F18"/>
  <c r="D18"/>
  <c r="D21" i="31"/>
  <c r="D23"/>
  <c r="D17" i="16"/>
  <c r="D19"/>
  <c r="D12" i="27"/>
  <c r="D8"/>
  <c r="D11"/>
  <c r="C21" i="21"/>
  <c r="D21"/>
  <c r="C20"/>
  <c r="D20"/>
  <c r="C19"/>
  <c r="D19"/>
  <c r="C18"/>
  <c r="D18"/>
  <c r="D10" i="15"/>
  <c r="D9"/>
  <c r="D17" i="14"/>
  <c r="D18"/>
  <c r="D8" i="15"/>
  <c r="D12"/>
  <c r="D7"/>
  <c r="D19" i="13"/>
  <c r="D21"/>
  <c r="D18"/>
  <c r="D20"/>
  <c r="D8" i="11"/>
  <c r="D19"/>
  <c r="D7"/>
  <c r="D16"/>
  <c r="D26" i="9"/>
  <c r="D28"/>
  <c r="E20" i="30"/>
  <c r="E21"/>
  <c r="E23"/>
  <c r="E24"/>
  <c r="D30"/>
  <c r="D31"/>
  <c r="E32"/>
  <c r="D12" i="29"/>
  <c r="D11"/>
  <c r="D20"/>
  <c r="D13"/>
  <c r="D9"/>
  <c r="D8"/>
  <c r="H47" i="28"/>
  <c r="H31"/>
  <c r="D24"/>
  <c r="F24"/>
  <c r="H24"/>
  <c r="H26"/>
  <c r="H27"/>
  <c r="D25"/>
  <c r="F25"/>
  <c r="F26"/>
  <c r="F27"/>
  <c r="H30"/>
  <c r="H34"/>
  <c r="D39"/>
  <c r="D41"/>
  <c r="F39"/>
  <c r="H39"/>
  <c r="D40"/>
  <c r="F40"/>
  <c r="H41"/>
  <c r="H46"/>
  <c r="H48"/>
  <c r="D16" i="27"/>
  <c r="D15"/>
  <c r="D13"/>
  <c r="D23" i="26"/>
  <c r="F23"/>
  <c r="D24"/>
  <c r="F24"/>
  <c r="D26"/>
  <c r="F26"/>
  <c r="D27"/>
  <c r="F27"/>
  <c r="F29"/>
  <c r="D8" i="24"/>
  <c r="D9"/>
  <c r="H32"/>
  <c r="D12"/>
  <c r="D11"/>
  <c r="F33"/>
  <c r="D11" i="25"/>
  <c r="F32" i="24"/>
  <c r="D10"/>
  <c r="D8" i="25"/>
  <c r="H30" i="23"/>
  <c r="H31"/>
  <c r="F30"/>
  <c r="F31"/>
  <c r="D30"/>
  <c r="D31"/>
  <c r="H20"/>
  <c r="H22"/>
  <c r="F20"/>
  <c r="F22"/>
  <c r="F17" i="25"/>
  <c r="F18"/>
  <c r="D20" i="23"/>
  <c r="D22"/>
  <c r="D13" i="24"/>
  <c r="D7"/>
  <c r="D29"/>
  <c r="D30"/>
  <c r="D27" i="23"/>
  <c r="D28"/>
  <c r="E31"/>
  <c r="G31"/>
  <c r="D14" i="10"/>
  <c r="D17" i="13"/>
  <c r="D37" i="9"/>
  <c r="D38"/>
  <c r="D41"/>
  <c r="D22"/>
  <c r="D23"/>
  <c r="D24"/>
  <c r="D23" i="34"/>
  <c r="G33" i="24"/>
  <c r="E33"/>
  <c r="D33"/>
  <c r="D27" i="36"/>
  <c r="D29"/>
  <c r="D31"/>
  <c r="D28" i="35"/>
  <c r="D20" i="15"/>
  <c r="F41" i="28"/>
  <c r="F42"/>
  <c r="F43"/>
  <c r="H42"/>
  <c r="H43"/>
  <c r="D26"/>
  <c r="D27"/>
  <c r="D21" i="24"/>
  <c r="D23"/>
  <c r="D24"/>
  <c r="D24" i="25"/>
  <c r="H23" i="23"/>
  <c r="H17" i="25"/>
  <c r="D32" i="23"/>
  <c r="D20" i="25"/>
  <c r="F32" i="23"/>
  <c r="F33"/>
  <c r="H32"/>
  <c r="H33"/>
  <c r="D28" i="39"/>
  <c r="D30"/>
  <c r="D35"/>
  <c r="D37"/>
  <c r="D32" i="24"/>
  <c r="D34"/>
  <c r="D35"/>
  <c r="D27" i="9"/>
  <c r="D29"/>
  <c r="D22" i="27"/>
  <c r="D22" i="33"/>
  <c r="D24"/>
  <c r="D28"/>
  <c r="D26" i="35"/>
  <c r="D31"/>
  <c r="D32"/>
  <c r="D36"/>
  <c r="D26" i="37"/>
  <c r="G25"/>
  <c r="G26"/>
  <c r="D32"/>
  <c r="G31"/>
  <c r="D41"/>
  <c r="D42"/>
  <c r="G41"/>
  <c r="D36" i="33"/>
  <c r="D37"/>
  <c r="D40"/>
  <c r="E20" i="32"/>
  <c r="D25" i="31"/>
  <c r="C30"/>
  <c r="D30"/>
  <c r="D21" i="15"/>
  <c r="D24" i="41"/>
  <c r="D25"/>
  <c r="D15" i="11"/>
  <c r="D40" i="9"/>
  <c r="E25" i="30"/>
  <c r="E26"/>
  <c r="D42" i="28"/>
  <c r="D43"/>
  <c r="D19" i="29"/>
  <c r="D24" i="27"/>
  <c r="D23"/>
  <c r="H33" i="24"/>
  <c r="H34"/>
  <c r="H35"/>
  <c r="F20" i="25"/>
  <c r="F21"/>
  <c r="D33" i="23"/>
  <c r="D25" i="24"/>
  <c r="D23" i="23"/>
  <c r="D17" i="25"/>
  <c r="D18"/>
  <c r="F23" i="23"/>
  <c r="F21" i="24"/>
  <c r="F23"/>
  <c r="F24"/>
  <c r="F25"/>
  <c r="H21"/>
  <c r="H23"/>
  <c r="H24"/>
  <c r="H24" i="25"/>
  <c r="F34" i="24"/>
  <c r="F35"/>
  <c r="F36"/>
  <c r="H18" i="25"/>
  <c r="F24"/>
  <c r="D34" i="35"/>
  <c r="E35"/>
  <c r="E33" i="30"/>
  <c r="E34"/>
  <c r="H20" i="25"/>
  <c r="H25" i="24"/>
  <c r="H26"/>
  <c r="D34" i="23"/>
  <c r="H34"/>
  <c r="H25" i="25"/>
  <c r="D33" i="9"/>
  <c r="D34"/>
  <c r="D35"/>
  <c r="H21" i="25"/>
  <c r="G32" i="37"/>
  <c r="D34"/>
  <c r="D36"/>
  <c r="D38"/>
  <c r="G42"/>
  <c r="D44"/>
  <c r="F28" i="25"/>
  <c r="F29"/>
  <c r="D21"/>
  <c r="F24" i="23"/>
  <c r="F34"/>
  <c r="H24"/>
  <c r="D24"/>
  <c r="H28" i="25"/>
  <c r="H29"/>
  <c r="H36" i="24"/>
  <c r="H37"/>
  <c r="D28" i="25"/>
  <c r="D29"/>
  <c r="D36" i="24"/>
  <c r="D37"/>
  <c r="D25" i="25"/>
  <c r="F25"/>
  <c r="D26" i="24"/>
  <c r="F26"/>
  <c r="F37"/>
</calcChain>
</file>

<file path=xl/sharedStrings.xml><?xml version="1.0" encoding="utf-8"?>
<sst xmlns="http://schemas.openxmlformats.org/spreadsheetml/2006/main" count="644" uniqueCount="321">
  <si>
    <t>Question 1</t>
  </si>
  <si>
    <t>Input Area:</t>
  </si>
  <si>
    <t>Output Area:</t>
  </si>
  <si>
    <t>Market value</t>
  </si>
  <si>
    <t>EBIT</t>
  </si>
  <si>
    <t>Debt issue</t>
  </si>
  <si>
    <t>Interest rate</t>
  </si>
  <si>
    <t>Shares outstanding</t>
  </si>
  <si>
    <t>Expansion-EBIT</t>
  </si>
  <si>
    <t>Recession-EBIT</t>
  </si>
  <si>
    <t>Interest</t>
  </si>
  <si>
    <t>NI</t>
  </si>
  <si>
    <t>EPS</t>
  </si>
  <si>
    <t>Change EPS%</t>
  </si>
  <si>
    <t>Question 2</t>
  </si>
  <si>
    <t>Tax rate</t>
  </si>
  <si>
    <t>Taxes</t>
  </si>
  <si>
    <t>Question 3</t>
  </si>
  <si>
    <t>ROE</t>
  </si>
  <si>
    <t>Change ROE%</t>
  </si>
  <si>
    <t>Change ROE %</t>
  </si>
  <si>
    <t>No debt, ROE</t>
  </si>
  <si>
    <t>With debt, ROE</t>
  </si>
  <si>
    <t>Question 4</t>
  </si>
  <si>
    <t>Plan I:</t>
  </si>
  <si>
    <t>Plan II:</t>
  </si>
  <si>
    <t>Debt outstanding</t>
  </si>
  <si>
    <t>Plan I</t>
  </si>
  <si>
    <t>Plan II</t>
  </si>
  <si>
    <t>Question 5</t>
  </si>
  <si>
    <t>Price</t>
  </si>
  <si>
    <t>V (I)</t>
  </si>
  <si>
    <t>V (II)</t>
  </si>
  <si>
    <t>Question 6</t>
  </si>
  <si>
    <t>Debt</t>
  </si>
  <si>
    <t>Stock outstanding</t>
  </si>
  <si>
    <t>I</t>
  </si>
  <si>
    <t>II</t>
  </si>
  <si>
    <t>All-Equity</t>
  </si>
  <si>
    <t>Plan I  vs. all equity</t>
  </si>
  <si>
    <t>Plan II  vs. all equity</t>
  </si>
  <si>
    <t>The break even levels of EBIT are the same because of M&amp;M Proposition I.</t>
  </si>
  <si>
    <t>This break-even level of EBIT is the same as in part (b) again, because of M&amp;M</t>
  </si>
  <si>
    <t>Proposition (I).</t>
  </si>
  <si>
    <t>Plan I vs. all-equity</t>
  </si>
  <si>
    <t>Plan II vs. all-equity</t>
  </si>
  <si>
    <t>The break-even levels of EBIT do not change because of additions of taxes reduces</t>
  </si>
  <si>
    <t>the income of all three plans by the same percentage; therefore they do not change</t>
  </si>
  <si>
    <t>relative to one another.</t>
  </si>
  <si>
    <t>Question 7</t>
  </si>
  <si>
    <t>Price (I)</t>
  </si>
  <si>
    <t>Price (II)</t>
  </si>
  <si>
    <t>This shows that when there are no corporate</t>
  </si>
  <si>
    <t>taxes, the stockholder does not care about the</t>
  </si>
  <si>
    <t>capital structure decision of the firm.  This is</t>
  </si>
  <si>
    <t>M&amp;M Proposition I without taxes.</t>
  </si>
  <si>
    <t>Question 8</t>
  </si>
  <si>
    <t>Dividend payout rate</t>
  </si>
  <si>
    <t>V</t>
  </si>
  <si>
    <t>D</t>
  </si>
  <si>
    <t>Shares bought</t>
  </si>
  <si>
    <t>Interest cash flow</t>
  </si>
  <si>
    <t>Cash flow from shares held</t>
  </si>
  <si>
    <t>Total cash flow</t>
  </si>
  <si>
    <t xml:space="preserve">The capital structure is irrelevant because </t>
  </si>
  <si>
    <t>shareholders can create their own leverage</t>
  </si>
  <si>
    <t xml:space="preserve">or unlever the stock to create the payoff they </t>
  </si>
  <si>
    <t xml:space="preserve">desire, regardless of the capital structure the </t>
  </si>
  <si>
    <t>firm actually chooses.</t>
  </si>
  <si>
    <t>Question 9</t>
  </si>
  <si>
    <t>ABC:</t>
  </si>
  <si>
    <t>All-equity</t>
  </si>
  <si>
    <t>XYZ:</t>
  </si>
  <si>
    <t>Stock value</t>
  </si>
  <si>
    <t>Owns XYZ</t>
  </si>
  <si>
    <t>Rate</t>
  </si>
  <si>
    <t>Use the proceeds from selling shares</t>
  </si>
  <si>
    <t>shares:</t>
  </si>
  <si>
    <t>WACC</t>
  </si>
  <si>
    <t>When there are no corporate taxes, the cost</t>
  </si>
  <si>
    <t>of cost of capital for the firm is unaffected</t>
  </si>
  <si>
    <t xml:space="preserve">by the capital structure, this is M&amp;M </t>
  </si>
  <si>
    <t>Proposition I without taxes.</t>
  </si>
  <si>
    <t>Question 10</t>
  </si>
  <si>
    <t>Value of equity</t>
  </si>
  <si>
    <t>Question 11</t>
  </si>
  <si>
    <t xml:space="preserve">Tax rate </t>
  </si>
  <si>
    <t>Due to taxes, EBIT for an all-equity</t>
  </si>
  <si>
    <t xml:space="preserve">firm would have to be higher for the </t>
  </si>
  <si>
    <t>firm to still be worth $25M.</t>
  </si>
  <si>
    <t>Question 12</t>
  </si>
  <si>
    <t>Cost of debt</t>
  </si>
  <si>
    <t>Question 13</t>
  </si>
  <si>
    <t>Convert to debt</t>
  </si>
  <si>
    <t>All-equity financed</t>
  </si>
  <si>
    <t>WACC(B)</t>
  </si>
  <si>
    <t>WACC(C)</t>
  </si>
  <si>
    <t>Question 14</t>
  </si>
  <si>
    <t>Cost of equity</t>
  </si>
  <si>
    <t>Borrows</t>
  </si>
  <si>
    <t>Question 15</t>
  </si>
  <si>
    <t xml:space="preserve">When there are corporate taxes, the </t>
  </si>
  <si>
    <t>overall cost of capital for the firm declines</t>
  </si>
  <si>
    <t xml:space="preserve">the more highly leveraged is the firm's </t>
  </si>
  <si>
    <t>capital structure.  This is M&amp;M Proposition I</t>
  </si>
  <si>
    <t>with taxes.</t>
  </si>
  <si>
    <t>Question 16</t>
  </si>
  <si>
    <t>EBIT Perpetuity</t>
  </si>
  <si>
    <t>Outstanding debt</t>
  </si>
  <si>
    <t>Debt-equity ratio</t>
  </si>
  <si>
    <t>Applying M&amp;M Proposition I with taxes, the firm</t>
  </si>
  <si>
    <t>has increased its value by issuing debt.  As long</t>
  </si>
  <si>
    <t xml:space="preserve">as M&amp;M Proposition I holds, that is, there are no </t>
  </si>
  <si>
    <t>should continue to increase its debt/equity ratio</t>
  </si>
  <si>
    <t>to maximze the value of the firm.</t>
  </si>
  <si>
    <t>Question 17</t>
  </si>
  <si>
    <t>Question 18</t>
  </si>
  <si>
    <t>Question 19</t>
  </si>
  <si>
    <t xml:space="preserve">The equity risk to the shareholder is composed of both </t>
  </si>
  <si>
    <t xml:space="preserve">business and financial risk.  Even if the assets of the firm are </t>
  </si>
  <si>
    <t xml:space="preserve">not very risky, the risk to the shareholder can still be large if </t>
  </si>
  <si>
    <t>the financial leverage is high.  These higher levels of risk will</t>
  </si>
  <si>
    <t>be reflected in the  shareholder's required rate of return Re,</t>
  </si>
  <si>
    <t>which will increase with higher debt/equity ratios.</t>
  </si>
  <si>
    <t>Input boxes in tan</t>
  </si>
  <si>
    <t>Output boxes in yellow</t>
  </si>
  <si>
    <t>Given data in blue</t>
  </si>
  <si>
    <t>Calculations in red</t>
  </si>
  <si>
    <t>Answers in green</t>
  </si>
  <si>
    <t>No debt</t>
  </si>
  <si>
    <t>With debt</t>
  </si>
  <si>
    <t xml:space="preserve">Share price = </t>
  </si>
  <si>
    <t xml:space="preserve">Shares repurchased = </t>
  </si>
  <si>
    <t>No debt with taxes</t>
  </si>
  <si>
    <t>With debt and taxes</t>
  </si>
  <si>
    <t>TE = MV =</t>
  </si>
  <si>
    <t xml:space="preserve">TE = </t>
  </si>
  <si>
    <t>a.</t>
  </si>
  <si>
    <t>b.</t>
  </si>
  <si>
    <t>c.</t>
  </si>
  <si>
    <t>d.</t>
  </si>
  <si>
    <t>Breakeven EBIT: Plan I vs. Plan II</t>
  </si>
  <si>
    <t>Breakeven EBIT</t>
  </si>
  <si>
    <t>PLanI vs. Plan II</t>
  </si>
  <si>
    <t>Shares owned</t>
  </si>
  <si>
    <t xml:space="preserve">Sell </t>
  </si>
  <si>
    <t xml:space="preserve">shares of stock and </t>
  </si>
  <si>
    <t xml:space="preserve">lend the proceeds at </t>
  </si>
  <si>
    <t>Shareholder's cash flow</t>
  </si>
  <si>
    <t>Stockholder:</t>
  </si>
  <si>
    <t>Stockholders CF</t>
  </si>
  <si>
    <t>Return</t>
  </si>
  <si>
    <t xml:space="preserve">Sell all XYZ shares: nets </t>
  </si>
  <si>
    <t>at</t>
  </si>
  <si>
    <t>Borrow</t>
  </si>
  <si>
    <t>Interest cash flow =</t>
  </si>
  <si>
    <t>and the borrowed funds to buy ABC</t>
  </si>
  <si>
    <t>Stock cash flow (ABC)</t>
  </si>
  <si>
    <r>
      <t>ABC: R</t>
    </r>
    <r>
      <rPr>
        <vertAlign val="subscript"/>
        <sz val="12"/>
        <color indexed="8"/>
        <rFont val="Arial"/>
        <family val="2"/>
      </rPr>
      <t>E</t>
    </r>
  </si>
  <si>
    <r>
      <t>XYZ: R</t>
    </r>
    <r>
      <rPr>
        <vertAlign val="subscript"/>
        <sz val="12"/>
        <color indexed="8"/>
        <rFont val="Arial"/>
        <family val="2"/>
      </rPr>
      <t>E</t>
    </r>
  </si>
  <si>
    <t>ABC: WACC</t>
  </si>
  <si>
    <t>XYZ: WACC</t>
  </si>
  <si>
    <r>
      <t>R</t>
    </r>
    <r>
      <rPr>
        <vertAlign val="subscript"/>
        <sz val="12"/>
        <color indexed="8"/>
        <rFont val="Arial"/>
        <family val="2"/>
      </rPr>
      <t>E</t>
    </r>
  </si>
  <si>
    <r>
      <t>R</t>
    </r>
    <r>
      <rPr>
        <vertAlign val="subscript"/>
        <sz val="12"/>
        <color indexed="8"/>
        <rFont val="Arial"/>
        <family val="2"/>
      </rPr>
      <t>U</t>
    </r>
  </si>
  <si>
    <t xml:space="preserve">Debt-equity ratio </t>
  </si>
  <si>
    <r>
      <t>R</t>
    </r>
    <r>
      <rPr>
        <vertAlign val="subscript"/>
        <sz val="12"/>
        <color indexed="8"/>
        <rFont val="Arial"/>
        <family val="2"/>
      </rPr>
      <t>E</t>
    </r>
    <r>
      <rPr>
        <sz val="12"/>
        <color indexed="8"/>
        <rFont val="Arial"/>
        <family val="2"/>
      </rPr>
      <t xml:space="preserve"> I</t>
    </r>
  </si>
  <si>
    <r>
      <t>R</t>
    </r>
    <r>
      <rPr>
        <vertAlign val="subscript"/>
        <sz val="12"/>
        <color indexed="8"/>
        <rFont val="Arial"/>
        <family val="2"/>
      </rPr>
      <t>E</t>
    </r>
    <r>
      <rPr>
        <sz val="12"/>
        <color indexed="8"/>
        <rFont val="Arial"/>
        <family val="2"/>
      </rPr>
      <t xml:space="preserve"> II</t>
    </r>
  </si>
  <si>
    <r>
      <t>R</t>
    </r>
    <r>
      <rPr>
        <vertAlign val="subscript"/>
        <sz val="12"/>
        <color indexed="8"/>
        <rFont val="Arial"/>
        <family val="2"/>
      </rPr>
      <t>E</t>
    </r>
    <r>
      <rPr>
        <sz val="12"/>
        <color indexed="8"/>
        <rFont val="Arial"/>
        <family val="2"/>
      </rPr>
      <t xml:space="preserve"> III  = WACC</t>
    </r>
  </si>
  <si>
    <r>
      <t>V</t>
    </r>
    <r>
      <rPr>
        <vertAlign val="subscript"/>
        <sz val="12"/>
        <color indexed="8"/>
        <rFont val="Arial"/>
        <family val="2"/>
      </rPr>
      <t>U</t>
    </r>
  </si>
  <si>
    <t>Amount borrowed</t>
  </si>
  <si>
    <t xml:space="preserve">EBIT </t>
  </si>
  <si>
    <t>bankruptcy costs and so forth, then the company</t>
  </si>
  <si>
    <r>
      <t>V</t>
    </r>
    <r>
      <rPr>
        <vertAlign val="subscript"/>
        <sz val="12"/>
        <color indexed="8"/>
        <rFont val="Arial"/>
        <family val="2"/>
      </rPr>
      <t>L</t>
    </r>
  </si>
  <si>
    <r>
      <t>No debt:  V</t>
    </r>
    <r>
      <rPr>
        <vertAlign val="subscript"/>
        <sz val="12"/>
        <color indexed="8"/>
        <rFont val="Arial"/>
        <family val="2"/>
      </rPr>
      <t>U</t>
    </r>
  </si>
  <si>
    <r>
      <t>R</t>
    </r>
    <r>
      <rPr>
        <vertAlign val="subscript"/>
        <sz val="12"/>
        <rFont val="Arial"/>
        <family val="2"/>
      </rPr>
      <t>E</t>
    </r>
    <r>
      <rPr>
        <sz val="12"/>
        <rFont val="Arial"/>
        <family val="2"/>
      </rPr>
      <t xml:space="preserve"> = R</t>
    </r>
    <r>
      <rPr>
        <vertAlign val="subscript"/>
        <sz val="12"/>
        <rFont val="Arial"/>
        <family val="2"/>
      </rPr>
      <t>U</t>
    </r>
    <r>
      <rPr>
        <sz val="12"/>
        <rFont val="Arial"/>
        <family val="2"/>
      </rPr>
      <t xml:space="preserve"> + (R</t>
    </r>
    <r>
      <rPr>
        <vertAlign val="subscript"/>
        <sz val="12"/>
        <rFont val="Arial"/>
        <family val="2"/>
      </rPr>
      <t xml:space="preserve">U </t>
    </r>
    <r>
      <rPr>
        <sz val="12"/>
        <rFont val="Arial"/>
        <family val="2"/>
      </rPr>
      <t>- R</t>
    </r>
    <r>
      <rPr>
        <vertAlign val="subscript"/>
        <sz val="12"/>
        <rFont val="Arial"/>
        <family val="2"/>
      </rPr>
      <t>D</t>
    </r>
    <r>
      <rPr>
        <sz val="12"/>
        <rFont val="Arial"/>
        <family val="2"/>
      </rPr>
      <t>)(D/E)(1 - t)</t>
    </r>
  </si>
  <si>
    <r>
      <t>WACC = (E/V)R</t>
    </r>
    <r>
      <rPr>
        <vertAlign val="subscript"/>
        <sz val="12"/>
        <rFont val="Arial"/>
        <family val="2"/>
      </rPr>
      <t>E</t>
    </r>
    <r>
      <rPr>
        <sz val="12"/>
        <rFont val="Arial"/>
        <family val="2"/>
      </rPr>
      <t xml:space="preserve"> + (D/V)R</t>
    </r>
    <r>
      <rPr>
        <vertAlign val="subscript"/>
        <sz val="12"/>
        <rFont val="Arial"/>
        <family val="2"/>
      </rPr>
      <t>D</t>
    </r>
    <r>
      <rPr>
        <sz val="12"/>
        <rFont val="Arial"/>
        <family val="2"/>
      </rPr>
      <t>(1 - t) = (E/V)[R</t>
    </r>
    <r>
      <rPr>
        <vertAlign val="subscript"/>
        <sz val="12"/>
        <rFont val="Arial"/>
        <family val="2"/>
      </rPr>
      <t>U</t>
    </r>
    <r>
      <rPr>
        <sz val="12"/>
        <rFont val="Arial"/>
        <family val="2"/>
      </rPr>
      <t xml:space="preserve"> + (R</t>
    </r>
    <r>
      <rPr>
        <vertAlign val="subscript"/>
        <sz val="12"/>
        <rFont val="Arial"/>
        <family val="2"/>
      </rPr>
      <t xml:space="preserve">U </t>
    </r>
    <r>
      <rPr>
        <sz val="12"/>
        <rFont val="Arial"/>
        <family val="2"/>
      </rPr>
      <t>- R</t>
    </r>
    <r>
      <rPr>
        <vertAlign val="subscript"/>
        <sz val="12"/>
        <rFont val="Arial"/>
        <family val="2"/>
      </rPr>
      <t>D</t>
    </r>
    <r>
      <rPr>
        <sz val="12"/>
        <rFont val="Arial"/>
        <family val="2"/>
      </rPr>
      <t>)(D/E)(1 - t)] + (D/V)R</t>
    </r>
    <r>
      <rPr>
        <vertAlign val="subscript"/>
        <sz val="12"/>
        <rFont val="Arial"/>
        <family val="2"/>
      </rPr>
      <t>D</t>
    </r>
    <r>
      <rPr>
        <sz val="12"/>
        <rFont val="Arial"/>
        <family val="2"/>
      </rPr>
      <t>(1 - t)</t>
    </r>
  </si>
  <si>
    <r>
      <t>WACC = R</t>
    </r>
    <r>
      <rPr>
        <vertAlign val="subscript"/>
        <sz val="12"/>
        <rFont val="Arial"/>
        <family val="2"/>
      </rPr>
      <t>U</t>
    </r>
    <r>
      <rPr>
        <sz val="12"/>
        <rFont val="Arial"/>
        <family val="2"/>
      </rPr>
      <t>[(E/V) + (E/V)(D/E)(1 - t)] + R</t>
    </r>
    <r>
      <rPr>
        <vertAlign val="subscript"/>
        <sz val="12"/>
        <rFont val="Arial"/>
        <family val="2"/>
      </rPr>
      <t>D</t>
    </r>
    <r>
      <rPr>
        <sz val="12"/>
        <rFont val="Arial"/>
        <family val="2"/>
      </rPr>
      <t>(1 - t)[(D/V) - (E/V)(D/E)]</t>
    </r>
  </si>
  <si>
    <r>
      <t>WACC = R</t>
    </r>
    <r>
      <rPr>
        <vertAlign val="subscript"/>
        <sz val="12"/>
        <rFont val="Arial"/>
        <family val="2"/>
      </rPr>
      <t>U</t>
    </r>
    <r>
      <rPr>
        <sz val="12"/>
        <rFont val="Arial"/>
        <family val="2"/>
      </rPr>
      <t>[(E/V) + (D/V)(1 - t)] = R</t>
    </r>
    <r>
      <rPr>
        <vertAlign val="subscript"/>
        <sz val="12"/>
        <rFont val="Arial"/>
        <family val="2"/>
      </rPr>
      <t>U</t>
    </r>
    <r>
      <rPr>
        <sz val="12"/>
        <rFont val="Arial"/>
        <family val="2"/>
      </rPr>
      <t>[{(E+D)/V} - t(D/V)] = R</t>
    </r>
    <r>
      <rPr>
        <vertAlign val="subscript"/>
        <sz val="12"/>
        <rFont val="Arial"/>
        <family val="2"/>
      </rPr>
      <t>U</t>
    </r>
    <r>
      <rPr>
        <sz val="12"/>
        <rFont val="Arial"/>
        <family val="2"/>
      </rPr>
      <t>[1 - t(D/V)]</t>
    </r>
  </si>
  <si>
    <r>
      <t>R</t>
    </r>
    <r>
      <rPr>
        <vertAlign val="subscript"/>
        <sz val="12"/>
        <rFont val="Arial"/>
        <family val="2"/>
      </rPr>
      <t>E</t>
    </r>
    <r>
      <rPr>
        <sz val="12"/>
        <rFont val="Arial"/>
        <family val="2"/>
      </rPr>
      <t xml:space="preserve"> = (EBIT - R</t>
    </r>
    <r>
      <rPr>
        <vertAlign val="subscript"/>
        <sz val="12"/>
        <rFont val="Arial"/>
        <family val="2"/>
      </rPr>
      <t>D</t>
    </r>
    <r>
      <rPr>
        <sz val="12"/>
        <rFont val="Arial"/>
        <family val="2"/>
      </rPr>
      <t>D)(1 - t)/E = [EBIT(1 - t)/E] - [R</t>
    </r>
    <r>
      <rPr>
        <vertAlign val="subscript"/>
        <sz val="12"/>
        <rFont val="Arial"/>
        <family val="2"/>
      </rPr>
      <t>D</t>
    </r>
    <r>
      <rPr>
        <sz val="12"/>
        <rFont val="Arial"/>
        <family val="2"/>
      </rPr>
      <t>(D/E)(1 - t)]</t>
    </r>
  </si>
  <si>
    <r>
      <t>R</t>
    </r>
    <r>
      <rPr>
        <vertAlign val="subscript"/>
        <sz val="12"/>
        <rFont val="Arial"/>
        <family val="2"/>
      </rPr>
      <t>E</t>
    </r>
    <r>
      <rPr>
        <sz val="12"/>
        <rFont val="Arial"/>
        <family val="2"/>
      </rPr>
      <t xml:space="preserve"> = R</t>
    </r>
    <r>
      <rPr>
        <vertAlign val="subscript"/>
        <sz val="12"/>
        <rFont val="Arial"/>
        <family val="2"/>
      </rPr>
      <t>U</t>
    </r>
    <r>
      <rPr>
        <sz val="12"/>
        <rFont val="Arial"/>
        <family val="2"/>
      </rPr>
      <t>V</t>
    </r>
    <r>
      <rPr>
        <vertAlign val="subscript"/>
        <sz val="12"/>
        <rFont val="Arial"/>
        <family val="2"/>
      </rPr>
      <t>U</t>
    </r>
    <r>
      <rPr>
        <sz val="12"/>
        <rFont val="Arial"/>
        <family val="2"/>
      </rPr>
      <t>/E - [R</t>
    </r>
    <r>
      <rPr>
        <vertAlign val="subscript"/>
        <sz val="12"/>
        <rFont val="Arial"/>
        <family val="2"/>
      </rPr>
      <t>D</t>
    </r>
    <r>
      <rPr>
        <sz val="12"/>
        <rFont val="Arial"/>
        <family val="2"/>
      </rPr>
      <t>(D/E)(1 - t)] = R</t>
    </r>
    <r>
      <rPr>
        <vertAlign val="subscript"/>
        <sz val="12"/>
        <rFont val="Arial"/>
        <family val="2"/>
      </rPr>
      <t>U</t>
    </r>
    <r>
      <rPr>
        <sz val="12"/>
        <rFont val="Arial"/>
        <family val="2"/>
      </rPr>
      <t>(V</t>
    </r>
    <r>
      <rPr>
        <vertAlign val="subscript"/>
        <sz val="12"/>
        <rFont val="Arial"/>
        <family val="2"/>
      </rPr>
      <t>L</t>
    </r>
    <r>
      <rPr>
        <sz val="12"/>
        <rFont val="Arial"/>
        <family val="2"/>
      </rPr>
      <t xml:space="preserve"> - tD)/E - [R</t>
    </r>
    <r>
      <rPr>
        <vertAlign val="subscript"/>
        <sz val="12"/>
        <rFont val="Arial"/>
        <family val="2"/>
      </rPr>
      <t>D</t>
    </r>
    <r>
      <rPr>
        <sz val="12"/>
        <rFont val="Arial"/>
        <family val="2"/>
      </rPr>
      <t>(D/E)(1 - t)]</t>
    </r>
  </si>
  <si>
    <r>
      <t>R</t>
    </r>
    <r>
      <rPr>
        <vertAlign val="subscript"/>
        <sz val="12"/>
        <rFont val="Arial"/>
        <family val="2"/>
      </rPr>
      <t>E</t>
    </r>
    <r>
      <rPr>
        <sz val="12"/>
        <rFont val="Arial"/>
        <family val="2"/>
      </rPr>
      <t xml:space="preserve"> = R</t>
    </r>
    <r>
      <rPr>
        <vertAlign val="subscript"/>
        <sz val="12"/>
        <rFont val="Arial"/>
        <family val="2"/>
      </rPr>
      <t>U</t>
    </r>
    <r>
      <rPr>
        <sz val="12"/>
        <rFont val="Arial"/>
        <family val="2"/>
      </rPr>
      <t>(E + D - tD)/E - [R</t>
    </r>
    <r>
      <rPr>
        <vertAlign val="subscript"/>
        <sz val="12"/>
        <rFont val="Arial"/>
        <family val="2"/>
      </rPr>
      <t>D</t>
    </r>
    <r>
      <rPr>
        <sz val="12"/>
        <rFont val="Arial"/>
        <family val="2"/>
      </rPr>
      <t>(D/E)(1 - t)] = R</t>
    </r>
    <r>
      <rPr>
        <vertAlign val="subscript"/>
        <sz val="12"/>
        <rFont val="Arial"/>
        <family val="2"/>
      </rPr>
      <t>U</t>
    </r>
    <r>
      <rPr>
        <sz val="12"/>
        <rFont val="Arial"/>
        <family val="2"/>
      </rPr>
      <t xml:space="preserve"> + (R</t>
    </r>
    <r>
      <rPr>
        <vertAlign val="subscript"/>
        <sz val="12"/>
        <rFont val="Arial"/>
        <family val="2"/>
      </rPr>
      <t xml:space="preserve">U </t>
    </r>
    <r>
      <rPr>
        <sz val="12"/>
        <rFont val="Arial"/>
        <family val="2"/>
      </rPr>
      <t>- R</t>
    </r>
    <r>
      <rPr>
        <vertAlign val="subscript"/>
        <sz val="12"/>
        <rFont val="Arial"/>
        <family val="2"/>
      </rPr>
      <t>D</t>
    </r>
    <r>
      <rPr>
        <sz val="12"/>
        <rFont val="Arial"/>
        <family val="2"/>
      </rPr>
      <t>)(D/E)(1 - t)</t>
    </r>
  </si>
  <si>
    <r>
      <t>M&amp;M Proposition II, with R</t>
    </r>
    <r>
      <rPr>
        <vertAlign val="subscript"/>
        <sz val="12"/>
        <rFont val="Arial"/>
        <family val="2"/>
      </rPr>
      <t xml:space="preserve">D </t>
    </r>
    <r>
      <rPr>
        <sz val="12"/>
        <rFont val="Arial"/>
        <family val="2"/>
      </rPr>
      <t>= R</t>
    </r>
    <r>
      <rPr>
        <vertAlign val="subscript"/>
        <sz val="12"/>
        <rFont val="Arial"/>
        <family val="2"/>
      </rPr>
      <t>F</t>
    </r>
  </si>
  <si>
    <r>
      <t>R</t>
    </r>
    <r>
      <rPr>
        <vertAlign val="subscript"/>
        <sz val="12"/>
        <rFont val="Arial"/>
        <family val="2"/>
      </rPr>
      <t>E</t>
    </r>
    <r>
      <rPr>
        <sz val="12"/>
        <rFont val="Arial"/>
        <family val="2"/>
      </rPr>
      <t xml:space="preserve"> = R</t>
    </r>
    <r>
      <rPr>
        <vertAlign val="subscript"/>
        <sz val="12"/>
        <rFont val="Arial"/>
        <family val="2"/>
      </rPr>
      <t>A</t>
    </r>
    <r>
      <rPr>
        <sz val="12"/>
        <rFont val="Arial"/>
        <family val="2"/>
      </rPr>
      <t xml:space="preserve"> + (R</t>
    </r>
    <r>
      <rPr>
        <vertAlign val="subscript"/>
        <sz val="12"/>
        <rFont val="Arial"/>
        <family val="2"/>
      </rPr>
      <t xml:space="preserve">A </t>
    </r>
    <r>
      <rPr>
        <sz val="12"/>
        <rFont val="Arial"/>
        <family val="2"/>
      </rPr>
      <t>- R</t>
    </r>
    <r>
      <rPr>
        <vertAlign val="subscript"/>
        <sz val="12"/>
        <rFont val="Arial"/>
        <family val="2"/>
      </rPr>
      <t>F</t>
    </r>
    <r>
      <rPr>
        <sz val="12"/>
        <rFont val="Arial"/>
        <family val="2"/>
      </rPr>
      <t>)(D/E)</t>
    </r>
  </si>
  <si>
    <r>
      <t>CAPM: R</t>
    </r>
    <r>
      <rPr>
        <vertAlign val="subscript"/>
        <sz val="12"/>
        <rFont val="Arial"/>
        <family val="2"/>
      </rPr>
      <t>E</t>
    </r>
    <r>
      <rPr>
        <sz val="12"/>
        <rFont val="Arial"/>
        <family val="2"/>
      </rPr>
      <t xml:space="preserve"> = </t>
    </r>
    <r>
      <rPr>
        <sz val="12"/>
        <rFont val="Arial"/>
        <family val="2"/>
      </rPr>
      <t>β</t>
    </r>
    <r>
      <rPr>
        <vertAlign val="subscript"/>
        <sz val="12"/>
        <rFont val="Arial"/>
        <family val="2"/>
      </rPr>
      <t>E</t>
    </r>
    <r>
      <rPr>
        <sz val="12"/>
        <rFont val="Arial"/>
        <family val="2"/>
      </rPr>
      <t>(R</t>
    </r>
    <r>
      <rPr>
        <vertAlign val="subscript"/>
        <sz val="12"/>
        <rFont val="Arial"/>
        <family val="2"/>
      </rPr>
      <t xml:space="preserve">M </t>
    </r>
    <r>
      <rPr>
        <sz val="12"/>
        <rFont val="Arial"/>
        <family val="2"/>
      </rPr>
      <t>- R</t>
    </r>
    <r>
      <rPr>
        <vertAlign val="subscript"/>
        <sz val="12"/>
        <rFont val="Arial"/>
        <family val="2"/>
      </rPr>
      <t>F</t>
    </r>
    <r>
      <rPr>
        <sz val="12"/>
        <rFont val="Arial"/>
        <family val="2"/>
      </rPr>
      <t>) + R</t>
    </r>
    <r>
      <rPr>
        <vertAlign val="subscript"/>
        <sz val="12"/>
        <rFont val="Arial"/>
        <family val="2"/>
      </rPr>
      <t xml:space="preserve">F </t>
    </r>
    <r>
      <rPr>
        <sz val="12"/>
        <rFont val="Arial"/>
        <family val="2"/>
      </rPr>
      <t>;  R</t>
    </r>
    <r>
      <rPr>
        <vertAlign val="subscript"/>
        <sz val="12"/>
        <rFont val="Arial"/>
        <family val="2"/>
      </rPr>
      <t>A</t>
    </r>
    <r>
      <rPr>
        <sz val="12"/>
        <rFont val="Arial"/>
        <family val="2"/>
      </rPr>
      <t xml:space="preserve"> = </t>
    </r>
    <r>
      <rPr>
        <sz val="12"/>
        <rFont val="Arial"/>
        <family val="2"/>
      </rPr>
      <t>β</t>
    </r>
    <r>
      <rPr>
        <vertAlign val="subscript"/>
        <sz val="12"/>
        <rFont val="Arial"/>
        <family val="2"/>
      </rPr>
      <t>A</t>
    </r>
    <r>
      <rPr>
        <sz val="12"/>
        <rFont val="Arial"/>
        <family val="2"/>
      </rPr>
      <t>(R</t>
    </r>
    <r>
      <rPr>
        <vertAlign val="subscript"/>
        <sz val="12"/>
        <rFont val="Arial"/>
        <family val="2"/>
      </rPr>
      <t xml:space="preserve">M </t>
    </r>
    <r>
      <rPr>
        <sz val="12"/>
        <rFont val="Arial"/>
        <family val="2"/>
      </rPr>
      <t>- R</t>
    </r>
    <r>
      <rPr>
        <vertAlign val="subscript"/>
        <sz val="12"/>
        <rFont val="Arial"/>
        <family val="2"/>
      </rPr>
      <t>F</t>
    </r>
    <r>
      <rPr>
        <sz val="12"/>
        <rFont val="Arial"/>
        <family val="2"/>
      </rPr>
      <t>) + R</t>
    </r>
    <r>
      <rPr>
        <vertAlign val="subscript"/>
        <sz val="12"/>
        <rFont val="Arial"/>
        <family val="2"/>
      </rPr>
      <t>F</t>
    </r>
  </si>
  <si>
    <r>
      <t>β</t>
    </r>
    <r>
      <rPr>
        <vertAlign val="subscript"/>
        <sz val="12"/>
        <rFont val="Arial"/>
        <family val="2"/>
      </rPr>
      <t>E</t>
    </r>
    <r>
      <rPr>
        <sz val="12"/>
        <rFont val="Arial"/>
        <family val="2"/>
      </rPr>
      <t xml:space="preserve"> = </t>
    </r>
    <r>
      <rPr>
        <sz val="12"/>
        <rFont val="Arial"/>
        <family val="2"/>
      </rPr>
      <t>β</t>
    </r>
    <r>
      <rPr>
        <vertAlign val="subscript"/>
        <sz val="12"/>
        <rFont val="Arial"/>
        <family val="2"/>
      </rPr>
      <t>A</t>
    </r>
    <r>
      <rPr>
        <sz val="12"/>
        <rFont val="Arial"/>
        <family val="2"/>
      </rPr>
      <t>[1 + D/E]</t>
    </r>
  </si>
  <si>
    <r>
      <t>R</t>
    </r>
    <r>
      <rPr>
        <vertAlign val="subscript"/>
        <sz val="12"/>
        <rFont val="Arial"/>
        <family val="2"/>
      </rPr>
      <t>E</t>
    </r>
    <r>
      <rPr>
        <sz val="12"/>
        <rFont val="Arial"/>
        <family val="2"/>
      </rPr>
      <t xml:space="preserve"> = </t>
    </r>
    <r>
      <rPr>
        <sz val="12"/>
        <rFont val="Arial"/>
        <family val="2"/>
      </rPr>
      <t>β</t>
    </r>
    <r>
      <rPr>
        <vertAlign val="subscript"/>
        <sz val="12"/>
        <rFont val="Arial"/>
        <family val="2"/>
      </rPr>
      <t>E</t>
    </r>
    <r>
      <rPr>
        <sz val="12"/>
        <rFont val="Arial"/>
        <family val="2"/>
      </rPr>
      <t>(R</t>
    </r>
    <r>
      <rPr>
        <vertAlign val="subscript"/>
        <sz val="12"/>
        <rFont val="Arial"/>
        <family val="2"/>
      </rPr>
      <t xml:space="preserve">M </t>
    </r>
    <r>
      <rPr>
        <sz val="12"/>
        <rFont val="Arial"/>
        <family val="2"/>
      </rPr>
      <t>- R</t>
    </r>
    <r>
      <rPr>
        <vertAlign val="subscript"/>
        <sz val="12"/>
        <rFont val="Arial"/>
        <family val="2"/>
      </rPr>
      <t>F</t>
    </r>
    <r>
      <rPr>
        <sz val="12"/>
        <rFont val="Arial"/>
        <family val="2"/>
      </rPr>
      <t>) + R</t>
    </r>
    <r>
      <rPr>
        <vertAlign val="subscript"/>
        <sz val="12"/>
        <rFont val="Arial"/>
        <family val="2"/>
      </rPr>
      <t>F</t>
    </r>
    <r>
      <rPr>
        <sz val="12"/>
        <rFont val="Arial"/>
        <family val="2"/>
      </rPr>
      <t xml:space="preserve"> = [1 + (D/E)][</t>
    </r>
    <r>
      <rPr>
        <sz val="12"/>
        <rFont val="Arial"/>
        <family val="2"/>
      </rPr>
      <t>β</t>
    </r>
    <r>
      <rPr>
        <vertAlign val="subscript"/>
        <sz val="12"/>
        <rFont val="Arial"/>
        <family val="2"/>
      </rPr>
      <t>A</t>
    </r>
    <r>
      <rPr>
        <sz val="12"/>
        <rFont val="Arial"/>
        <family val="2"/>
      </rPr>
      <t>(R</t>
    </r>
    <r>
      <rPr>
        <vertAlign val="subscript"/>
        <sz val="12"/>
        <rFont val="Arial"/>
        <family val="2"/>
      </rPr>
      <t xml:space="preserve">M </t>
    </r>
    <r>
      <rPr>
        <sz val="12"/>
        <rFont val="Arial"/>
        <family val="2"/>
      </rPr>
      <t>- R</t>
    </r>
    <r>
      <rPr>
        <vertAlign val="subscript"/>
        <sz val="12"/>
        <rFont val="Arial"/>
        <family val="2"/>
      </rPr>
      <t>F</t>
    </r>
    <r>
      <rPr>
        <sz val="12"/>
        <rFont val="Arial"/>
        <family val="2"/>
      </rPr>
      <t>) + R</t>
    </r>
    <r>
      <rPr>
        <vertAlign val="subscript"/>
        <sz val="12"/>
        <rFont val="Arial"/>
        <family val="2"/>
      </rPr>
      <t>F</t>
    </r>
    <r>
      <rPr>
        <sz val="12"/>
        <rFont val="Arial"/>
        <family val="2"/>
      </rPr>
      <t>] - R</t>
    </r>
    <r>
      <rPr>
        <vertAlign val="subscript"/>
        <sz val="12"/>
        <rFont val="Arial"/>
        <family val="2"/>
      </rPr>
      <t>F</t>
    </r>
    <r>
      <rPr>
        <sz val="12"/>
        <rFont val="Arial"/>
        <family val="2"/>
      </rPr>
      <t>(D/E)</t>
    </r>
  </si>
  <si>
    <r>
      <t xml:space="preserve">Asset </t>
    </r>
    <r>
      <rPr>
        <sz val="12"/>
        <color indexed="8"/>
        <rFont val="Arial"/>
        <family val="2"/>
      </rPr>
      <t>β</t>
    </r>
  </si>
  <si>
    <r>
      <t>β</t>
    </r>
    <r>
      <rPr>
        <vertAlign val="subscript"/>
        <sz val="12"/>
        <rFont val="Arial"/>
        <family val="2"/>
      </rPr>
      <t>E</t>
    </r>
    <r>
      <rPr>
        <sz val="12"/>
        <rFont val="Arial"/>
        <family val="2"/>
      </rPr>
      <t xml:space="preserve"> = </t>
    </r>
    <r>
      <rPr>
        <sz val="12"/>
        <rFont val="Arial"/>
        <family val="2"/>
      </rPr>
      <t>β</t>
    </r>
    <r>
      <rPr>
        <vertAlign val="subscript"/>
        <sz val="12"/>
        <rFont val="Arial"/>
        <family val="2"/>
      </rPr>
      <t>A</t>
    </r>
    <r>
      <rPr>
        <sz val="12"/>
        <rFont val="Arial"/>
        <family val="2"/>
      </rPr>
      <t xml:space="preserve">(1 + D/E) </t>
    </r>
  </si>
  <si>
    <r>
      <t>β</t>
    </r>
    <r>
      <rPr>
        <u/>
        <vertAlign val="subscript"/>
        <sz val="12"/>
        <rFont val="Arial"/>
        <family val="2"/>
      </rPr>
      <t>E</t>
    </r>
  </si>
  <si>
    <t>Shareholder:</t>
  </si>
  <si>
    <t>Unlevered cost of capital</t>
  </si>
  <si>
    <t>Question 30</t>
  </si>
  <si>
    <t>Question 29</t>
  </si>
  <si>
    <t>Question 28</t>
  </si>
  <si>
    <t>Question 27</t>
  </si>
  <si>
    <t>Levered shares outstanding</t>
  </si>
  <si>
    <t>Levered stock price</t>
  </si>
  <si>
    <t>Unlevered shares outstanding</t>
  </si>
  <si>
    <t>Unlevered stock price</t>
  </si>
  <si>
    <t>Levered's debt value</t>
  </si>
  <si>
    <t>Value of Levered's equity</t>
  </si>
  <si>
    <t>Market value of Levered</t>
  </si>
  <si>
    <t xml:space="preserve">The equity in Levered is </t>
  </si>
  <si>
    <t xml:space="preserve">According to M&amp;M Proposition I, the value of the two </t>
  </si>
  <si>
    <t xml:space="preserve">companies should be the same, so, relative to </t>
  </si>
  <si>
    <t>Unlevered, the stock in Levered should</t>
  </si>
  <si>
    <t>Loan value</t>
  </si>
  <si>
    <t>Year</t>
  </si>
  <si>
    <t>Loan balance</t>
  </si>
  <si>
    <t>Tax shield</t>
  </si>
  <si>
    <t>Increase in company value</t>
  </si>
  <si>
    <t>Question 20</t>
  </si>
  <si>
    <t>Alpha shares outstanding</t>
  </si>
  <si>
    <t>Alpha stock price</t>
  </si>
  <si>
    <t>Beta debt value</t>
  </si>
  <si>
    <t>Cost of Beta's debt</t>
  </si>
  <si>
    <t>Investor borrowing rate</t>
  </si>
  <si>
    <t>Value of Alpha</t>
  </si>
  <si>
    <t>Value of Beta</t>
  </si>
  <si>
    <t>Value of Beta's equity</t>
  </si>
  <si>
    <t>f.</t>
  </si>
  <si>
    <t>Percentage of company</t>
  </si>
  <si>
    <t xml:space="preserve">  to buy</t>
  </si>
  <si>
    <t>Cost to buy Alpha</t>
  </si>
  <si>
    <t>Cost to buy Beta</t>
  </si>
  <si>
    <t>e.</t>
  </si>
  <si>
    <t>Dollar return from Alpha</t>
  </si>
  <si>
    <t>Interest on Beta debt</t>
  </si>
  <si>
    <t>Amount to borrow</t>
  </si>
  <si>
    <t>Interest paid by investor</t>
  </si>
  <si>
    <t>Dollar return by borrowing</t>
  </si>
  <si>
    <t xml:space="preserve">  and buying Alpha</t>
  </si>
  <si>
    <t>g.</t>
  </si>
  <si>
    <t xml:space="preserve">The equity of Beta Corporation is riskier. Beta </t>
  </si>
  <si>
    <t xml:space="preserve">must pay off its debtholders before its </t>
  </si>
  <si>
    <t>equityholders receive any of the firm’s earnings.</t>
  </si>
  <si>
    <t xml:space="preserve">If the firm does not do particularly well, all of the </t>
  </si>
  <si>
    <t xml:space="preserve">firm’s earnings may be needed to repay its </t>
  </si>
  <si>
    <t>debtholders, and equityholders will receive nothing.</t>
  </si>
  <si>
    <t>Question 21</t>
  </si>
  <si>
    <t>Treasury bill rate</t>
  </si>
  <si>
    <t>Expected return on market</t>
  </si>
  <si>
    <t>Beta of stock</t>
  </si>
  <si>
    <t>Market value of equity</t>
  </si>
  <si>
    <t>Market value of debt</t>
  </si>
  <si>
    <r>
      <t>R</t>
    </r>
    <r>
      <rPr>
        <vertAlign val="subscript"/>
        <sz val="12"/>
        <rFont val="Arial"/>
        <family val="2"/>
      </rPr>
      <t>WACC</t>
    </r>
  </si>
  <si>
    <r>
      <t>R</t>
    </r>
    <r>
      <rPr>
        <vertAlign val="subscript"/>
        <sz val="12"/>
        <rFont val="Arial"/>
        <family val="2"/>
      </rPr>
      <t>0</t>
    </r>
  </si>
  <si>
    <t>Question 22</t>
  </si>
  <si>
    <t>Market value of Veblen's bonds</t>
  </si>
  <si>
    <t>Interest rate on Veblen's bonds</t>
  </si>
  <si>
    <t>Projected operating income</t>
  </si>
  <si>
    <t>Year-end interest on debt</t>
  </si>
  <si>
    <t>Market value of stock</t>
  </si>
  <si>
    <r>
      <t>R</t>
    </r>
    <r>
      <rPr>
        <vertAlign val="subscript"/>
        <sz val="12"/>
        <color indexed="8"/>
        <rFont val="Arial"/>
        <family val="2"/>
      </rPr>
      <t>WACC</t>
    </r>
  </si>
  <si>
    <t>Veblen</t>
  </si>
  <si>
    <t>Knight</t>
  </si>
  <si>
    <t>Amount of equity to buy</t>
  </si>
  <si>
    <t>Investment in Veblen</t>
  </si>
  <si>
    <t>Investment in Knight</t>
  </si>
  <si>
    <t>Year-end cash flow from Veblen</t>
  </si>
  <si>
    <t>Year-end cash flow from Knight</t>
  </si>
  <si>
    <t>Interest payment</t>
  </si>
  <si>
    <t>Net cash flow from Veblen investment</t>
  </si>
  <si>
    <t xml:space="preserve">The cash flow from the investment in </t>
  </si>
  <si>
    <t>is higher. All investors</t>
  </si>
  <si>
    <t xml:space="preserve">will choose this strategy. This process will cause the value of </t>
  </si>
  <si>
    <t xml:space="preserve">stock to rise, and the value of </t>
  </si>
  <si>
    <t>to fall.</t>
  </si>
  <si>
    <t xml:space="preserve">Any differences in the dollar returns to the two strategies will be eliminated, and the </t>
  </si>
  <si>
    <t>process will cease when the total market values of the two firms are equal.</t>
  </si>
  <si>
    <t>Question 23</t>
  </si>
  <si>
    <t>Current D/E ratio</t>
  </si>
  <si>
    <t>New D/E ratio</t>
  </si>
  <si>
    <t>Current debt outstanding</t>
  </si>
  <si>
    <t xml:space="preserve">Value of equity </t>
  </si>
  <si>
    <t>This is M&amp;M Proposition I without taxes.</t>
  </si>
  <si>
    <r>
      <t xml:space="preserve">ROE = </t>
    </r>
    <r>
      <rPr>
        <i/>
        <sz val="12"/>
        <rFont val="Arial"/>
        <family val="2"/>
      </rPr>
      <t>R</t>
    </r>
    <r>
      <rPr>
        <vertAlign val="subscript"/>
        <sz val="12"/>
        <rFont val="Arial"/>
        <family val="2"/>
      </rPr>
      <t>S</t>
    </r>
  </si>
  <si>
    <r>
      <t>R</t>
    </r>
    <r>
      <rPr>
        <vertAlign val="subscript"/>
        <sz val="12"/>
        <rFont val="Arial"/>
        <family val="2"/>
      </rPr>
      <t>S</t>
    </r>
  </si>
  <si>
    <t>Question 26</t>
  </si>
  <si>
    <t>Question 25</t>
  </si>
  <si>
    <t>Pretax cost of debt</t>
  </si>
  <si>
    <t>New debt-equity ratio</t>
  </si>
  <si>
    <t>B / (B + S)</t>
  </si>
  <si>
    <t>S / (B + S)</t>
  </si>
  <si>
    <t>If debt-equity ratio is</t>
  </si>
  <si>
    <t>Question 24</t>
  </si>
  <si>
    <t>Current firm value</t>
  </si>
  <si>
    <t>Annual pretax earnings</t>
  </si>
  <si>
    <t>Annual taxes</t>
  </si>
  <si>
    <t>Share price</t>
  </si>
  <si>
    <t>Assets</t>
  </si>
  <si>
    <t>Total assets</t>
  </si>
  <si>
    <t>Equity</t>
  </si>
  <si>
    <t>Total D&amp;E</t>
  </si>
  <si>
    <t>Old assets</t>
  </si>
  <si>
    <t>PV(tax shield)</t>
  </si>
  <si>
    <t>New share price</t>
  </si>
  <si>
    <t>Shares repurchased</t>
  </si>
  <si>
    <t>New shares outstanding</t>
  </si>
  <si>
    <t>Problems 1-30</t>
  </si>
  <si>
    <t>We first need to set the cost of capital equation equal to the</t>
  </si>
  <si>
    <t>cost of capital for an all-equity firm, so:</t>
  </si>
  <si>
    <r>
      <t>[B / (B+S)]</t>
    </r>
    <r>
      <rPr>
        <i/>
        <sz val="12"/>
        <rFont val="Arial"/>
        <family val="2"/>
      </rPr>
      <t>R</t>
    </r>
    <r>
      <rPr>
        <vertAlign val="subscript"/>
        <sz val="12"/>
        <rFont val="Arial"/>
        <family val="2"/>
      </rPr>
      <t>B</t>
    </r>
    <r>
      <rPr>
        <sz val="12"/>
        <rFont val="Arial"/>
        <family val="2"/>
      </rPr>
      <t xml:space="preserve"> + [S / (B+S)]</t>
    </r>
    <r>
      <rPr>
        <i/>
        <sz val="12"/>
        <rFont val="Arial"/>
        <family val="2"/>
      </rPr>
      <t>R</t>
    </r>
    <r>
      <rPr>
        <vertAlign val="subscript"/>
        <sz val="12"/>
        <rFont val="Arial"/>
        <family val="2"/>
      </rPr>
      <t>S</t>
    </r>
    <r>
      <rPr>
        <i/>
        <sz val="12"/>
        <rFont val="Arial"/>
        <family val="2"/>
      </rPr>
      <t xml:space="preserve"> = R</t>
    </r>
    <r>
      <rPr>
        <vertAlign val="subscript"/>
        <sz val="12"/>
        <rFont val="Arial"/>
        <family val="2"/>
      </rPr>
      <t>0</t>
    </r>
  </si>
  <si>
    <t>Multiplying both sides by (B+S)/S yields:</t>
  </si>
  <si>
    <r>
      <t>(B+S)</t>
    </r>
    <r>
      <rPr>
        <i/>
        <sz val="12"/>
        <rFont val="Arial"/>
        <family val="2"/>
      </rPr>
      <t>R</t>
    </r>
    <r>
      <rPr>
        <vertAlign val="subscript"/>
        <sz val="12"/>
        <rFont val="Arial"/>
        <family val="2"/>
      </rPr>
      <t>B</t>
    </r>
    <r>
      <rPr>
        <sz val="12"/>
        <rFont val="Arial"/>
        <family val="2"/>
      </rPr>
      <t xml:space="preserve"> + </t>
    </r>
    <r>
      <rPr>
        <i/>
        <sz val="12"/>
        <rFont val="Arial"/>
        <family val="2"/>
      </rPr>
      <t>R</t>
    </r>
    <r>
      <rPr>
        <vertAlign val="subscript"/>
        <sz val="12"/>
        <rFont val="Arial"/>
        <family val="2"/>
      </rPr>
      <t>S</t>
    </r>
    <r>
      <rPr>
        <i/>
        <sz val="12"/>
        <rFont val="Arial"/>
        <family val="2"/>
      </rPr>
      <t xml:space="preserve"> = R</t>
    </r>
    <r>
      <rPr>
        <vertAlign val="subscript"/>
        <sz val="12"/>
        <rFont val="Arial"/>
        <family val="2"/>
      </rPr>
      <t>0</t>
    </r>
    <r>
      <rPr>
        <sz val="12"/>
        <rFont val="Arial"/>
        <family val="2"/>
      </rPr>
      <t xml:space="preserve"> + [(B+S)/S]</t>
    </r>
  </si>
  <si>
    <t>We can rewrite the right hand side as:</t>
  </si>
  <si>
    <r>
      <t>(B+S)</t>
    </r>
    <r>
      <rPr>
        <i/>
        <sz val="12"/>
        <rFont val="Arial"/>
        <family val="2"/>
      </rPr>
      <t>R</t>
    </r>
    <r>
      <rPr>
        <vertAlign val="subscript"/>
        <sz val="12"/>
        <rFont val="Arial"/>
        <family val="2"/>
      </rPr>
      <t>B</t>
    </r>
    <r>
      <rPr>
        <sz val="12"/>
        <rFont val="Arial"/>
        <family val="2"/>
      </rPr>
      <t xml:space="preserve"> + </t>
    </r>
    <r>
      <rPr>
        <i/>
        <sz val="12"/>
        <rFont val="Arial"/>
        <family val="2"/>
      </rPr>
      <t>R</t>
    </r>
    <r>
      <rPr>
        <vertAlign val="subscript"/>
        <sz val="12"/>
        <rFont val="Arial"/>
        <family val="2"/>
      </rPr>
      <t>S</t>
    </r>
    <r>
      <rPr>
        <i/>
        <sz val="12"/>
        <rFont val="Arial"/>
        <family val="2"/>
      </rPr>
      <t xml:space="preserve"> = </t>
    </r>
    <r>
      <rPr>
        <sz val="12"/>
        <rFont val="Arial"/>
        <family val="2"/>
      </rPr>
      <t>(B/S)</t>
    </r>
    <r>
      <rPr>
        <i/>
        <sz val="12"/>
        <rFont val="Arial"/>
        <family val="2"/>
      </rPr>
      <t>R</t>
    </r>
    <r>
      <rPr>
        <vertAlign val="subscript"/>
        <sz val="12"/>
        <rFont val="Arial"/>
        <family val="2"/>
      </rPr>
      <t>0</t>
    </r>
    <r>
      <rPr>
        <sz val="12"/>
        <rFont val="Arial"/>
        <family val="2"/>
      </rPr>
      <t xml:space="preserve"> + R</t>
    </r>
    <r>
      <rPr>
        <vertAlign val="subscript"/>
        <sz val="12"/>
        <rFont val="Arial"/>
        <family val="2"/>
      </rPr>
      <t>0</t>
    </r>
  </si>
  <si>
    <r>
      <t>Moving (B/S)</t>
    </r>
    <r>
      <rPr>
        <i/>
        <sz val="12"/>
        <rFont val="Arial"/>
        <family val="2"/>
      </rPr>
      <t>R</t>
    </r>
    <r>
      <rPr>
        <vertAlign val="subscript"/>
        <sz val="12"/>
        <rFont val="Arial"/>
        <family val="2"/>
      </rPr>
      <t>0</t>
    </r>
    <r>
      <rPr>
        <sz val="12"/>
        <rFont val="Arial"/>
        <family val="2"/>
      </rPr>
      <t xml:space="preserve"> to the right hand side and rearranging gives us:</t>
    </r>
  </si>
  <si>
    <r>
      <t>R</t>
    </r>
    <r>
      <rPr>
        <vertAlign val="subscript"/>
        <sz val="12"/>
        <rFont val="Arial"/>
        <family val="2"/>
      </rPr>
      <t>S</t>
    </r>
    <r>
      <rPr>
        <i/>
        <sz val="12"/>
        <rFont val="Arial"/>
        <family val="2"/>
      </rPr>
      <t xml:space="preserve"> = R</t>
    </r>
    <r>
      <rPr>
        <vertAlign val="subscript"/>
        <sz val="12"/>
        <rFont val="Arial"/>
        <family val="2"/>
      </rPr>
      <t>0</t>
    </r>
    <r>
      <rPr>
        <sz val="12"/>
        <rFont val="Arial"/>
        <family val="2"/>
      </rPr>
      <t xml:space="preserve"> + (B/S)(R</t>
    </r>
    <r>
      <rPr>
        <vertAlign val="subscript"/>
        <sz val="12"/>
        <rFont val="Arial"/>
        <family val="2"/>
      </rPr>
      <t>0</t>
    </r>
    <r>
      <rPr>
        <sz val="12"/>
        <rFont val="Arial"/>
        <family val="2"/>
      </rPr>
      <t xml:space="preserve"> - </t>
    </r>
    <r>
      <rPr>
        <i/>
        <sz val="12"/>
        <rFont val="Arial"/>
        <family val="2"/>
      </rPr>
      <t>R</t>
    </r>
    <r>
      <rPr>
        <vertAlign val="subscript"/>
        <sz val="12"/>
        <rFont val="Arial"/>
        <family val="2"/>
      </rPr>
      <t>B</t>
    </r>
    <r>
      <rPr>
        <sz val="12"/>
        <rFont val="Arial"/>
        <family val="2"/>
      </rPr>
      <t>)</t>
    </r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</si>
  <si>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</si>
  <si>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</si>
  <si>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</si>
  <si>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</si>
  <si>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Chapter 16</t>
  </si>
  <si>
    <t xml:space="preserve">Breakeven EBIT </t>
  </si>
  <si>
    <t>of total value</t>
  </si>
  <si>
    <t>Company value</t>
  </si>
  <si>
    <t>Net income</t>
  </si>
  <si>
    <r>
      <rPr>
        <i/>
        <sz val="12"/>
        <rFont val="Arial"/>
        <family val="2"/>
      </rPr>
      <t>V</t>
    </r>
    <r>
      <rPr>
        <i/>
        <vertAlign val="subscript"/>
        <sz val="12"/>
        <rFont val="Arial"/>
        <family val="2"/>
      </rPr>
      <t>L</t>
    </r>
    <r>
      <rPr>
        <sz val="12"/>
        <rFont val="Arial"/>
        <family val="2"/>
      </rPr>
      <t xml:space="preserve"> before announcement</t>
    </r>
  </si>
  <si>
    <r>
      <rPr>
        <i/>
        <sz val="12"/>
        <rFont val="Arial"/>
        <family val="2"/>
      </rPr>
      <t>V</t>
    </r>
    <r>
      <rPr>
        <i/>
        <vertAlign val="subscript"/>
        <sz val="12"/>
        <rFont val="Arial"/>
        <family val="2"/>
      </rPr>
      <t>L</t>
    </r>
    <r>
      <rPr>
        <sz val="12"/>
        <rFont val="Arial"/>
        <family val="2"/>
      </rPr>
      <t xml:space="preserve"> after announcement</t>
    </r>
  </si>
  <si>
    <t>Percent debt</t>
  </si>
</sst>
</file>

<file path=xl/styles.xml><?xml version="1.0" encoding="utf-8"?>
<styleSheet xmlns="http://schemas.openxmlformats.org/spreadsheetml/2006/main">
  <numFmts count="1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.0_);_(* \(#,##0.0\);_(* &quot;-&quot;??_);_(@_)"/>
    <numFmt numFmtId="166" formatCode="_(* #,##0_);_(* \(#,##0\);_(* &quot;-&quot;??_);_(@_)"/>
    <numFmt numFmtId="167" formatCode="_(&quot;$&quot;* #,##0.000_);_(&quot;$&quot;* \(#,##0.000\);_(&quot;$&quot;* &quot;-&quot;??_);_(@_)"/>
    <numFmt numFmtId="168" formatCode="_(&quot;$&quot;* #,##0.0000_);_(&quot;$&quot;* \(#,##0.0000\);_(&quot;$&quot;* &quot;-&quot;??_);_(@_)"/>
    <numFmt numFmtId="169" formatCode="_(* #,##0.0000_);_(* \(#,##0.0000\);_(* &quot;-&quot;????_);_(@_)"/>
    <numFmt numFmtId="170" formatCode="_(&quot;$&quot;* #,##0.00_);_(&quot;$&quot;* \(#,##0.00\);_(&quot;$&quot;* &quot;-&quot;???_);_(@_)"/>
    <numFmt numFmtId="171" formatCode="0.000000000%"/>
    <numFmt numFmtId="172" formatCode="_(&quot;$&quot;* #,##0.00_);_(&quot;$&quot;* \(#,##0.00\);_(&quot;$&quot;* &quot;-&quot;_);_(@_)"/>
    <numFmt numFmtId="173" formatCode="_(* #,##0.0000_);_(* \(#,##0.0000\);_(* &quot;-&quot;??_);_(@_)"/>
  </numFmts>
  <fonts count="33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sz val="12"/>
      <color indexed="48"/>
      <name val="Arial"/>
      <family val="2"/>
    </font>
    <font>
      <sz val="12"/>
      <color indexed="57"/>
      <name val="Arial"/>
      <family val="2"/>
    </font>
    <font>
      <i/>
      <sz val="12"/>
      <color indexed="8"/>
      <name val="Arial"/>
      <family val="2"/>
    </font>
    <font>
      <b/>
      <sz val="12"/>
      <color indexed="57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8"/>
      <name val="Arial"/>
      <family val="2"/>
    </font>
    <font>
      <sz val="12"/>
      <color indexed="12"/>
      <name val="Arial"/>
      <family val="2"/>
    </font>
    <font>
      <i/>
      <u/>
      <sz val="12"/>
      <name val="Arial"/>
      <family val="2"/>
    </font>
    <font>
      <i/>
      <u/>
      <sz val="12"/>
      <color indexed="8"/>
      <name val="Arial"/>
      <family val="2"/>
    </font>
    <font>
      <sz val="12"/>
      <color indexed="10"/>
      <name val="Arial"/>
      <family val="2"/>
    </font>
    <font>
      <vertAlign val="subscript"/>
      <sz val="12"/>
      <color indexed="8"/>
      <name val="Arial"/>
      <family val="2"/>
    </font>
    <font>
      <vertAlign val="subscript"/>
      <sz val="12"/>
      <name val="Arial"/>
      <family val="2"/>
    </font>
    <font>
      <sz val="12"/>
      <name val="Arial"/>
      <family val="2"/>
    </font>
    <font>
      <u/>
      <sz val="12"/>
      <name val="Arial"/>
      <family val="2"/>
    </font>
    <font>
      <u/>
      <vertAlign val="subscript"/>
      <sz val="12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sz val="12"/>
      <color indexed="10"/>
      <name val="Arial"/>
      <family val="2"/>
    </font>
    <font>
      <i/>
      <vertAlign val="subscript"/>
      <sz val="12"/>
      <name val="Arial"/>
      <family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2" borderId="1" xfId="0" applyFont="1" applyFill="1" applyBorder="1"/>
    <xf numFmtId="0" fontId="5" fillId="2" borderId="2" xfId="0" applyFont="1" applyFill="1" applyBorder="1"/>
    <xf numFmtId="0" fontId="6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5" fillId="2" borderId="0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5" fillId="2" borderId="7" xfId="0" applyFont="1" applyFill="1" applyBorder="1"/>
    <xf numFmtId="0" fontId="6" fillId="2" borderId="7" xfId="0" applyFont="1" applyFill="1" applyBorder="1"/>
    <xf numFmtId="0" fontId="2" fillId="2" borderId="8" xfId="0" applyFont="1" applyFill="1" applyBorder="1"/>
    <xf numFmtId="0" fontId="2" fillId="3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0" fontId="2" fillId="3" borderId="8" xfId="0" applyFont="1" applyFill="1" applyBorder="1"/>
    <xf numFmtId="0" fontId="5" fillId="3" borderId="0" xfId="0" applyFont="1" applyFill="1" applyBorder="1"/>
    <xf numFmtId="0" fontId="5" fillId="3" borderId="7" xfId="0" applyFont="1" applyFill="1" applyBorder="1"/>
    <xf numFmtId="0" fontId="7" fillId="3" borderId="0" xfId="0" applyFont="1" applyFill="1" applyBorder="1"/>
    <xf numFmtId="0" fontId="7" fillId="3" borderId="7" xfId="0" applyFont="1" applyFill="1" applyBorder="1"/>
    <xf numFmtId="164" fontId="6" fillId="2" borderId="0" xfId="3" applyNumberFormat="1" applyFont="1" applyFill="1" applyBorder="1"/>
    <xf numFmtId="9" fontId="6" fillId="2" borderId="0" xfId="6" applyFont="1" applyFill="1" applyBorder="1"/>
    <xf numFmtId="166" fontId="6" fillId="2" borderId="0" xfId="1" applyNumberFormat="1" applyFont="1" applyFill="1" applyBorder="1"/>
    <xf numFmtId="0" fontId="2" fillId="3" borderId="0" xfId="0" applyFont="1" applyFill="1" applyBorder="1"/>
    <xf numFmtId="0" fontId="2" fillId="3" borderId="7" xfId="0" applyFont="1" applyFill="1" applyBorder="1"/>
    <xf numFmtId="164" fontId="7" fillId="3" borderId="0" xfId="3" applyNumberFormat="1" applyFont="1" applyFill="1" applyBorder="1"/>
    <xf numFmtId="44" fontId="7" fillId="3" borderId="0" xfId="3" applyNumberFormat="1" applyFont="1" applyFill="1" applyBorder="1"/>
    <xf numFmtId="9" fontId="2" fillId="3" borderId="0" xfId="6" applyNumberFormat="1" applyFont="1" applyFill="1" applyBorder="1"/>
    <xf numFmtId="0" fontId="8" fillId="2" borderId="0" xfId="0" applyFont="1" applyFill="1" applyBorder="1"/>
    <xf numFmtId="0" fontId="2" fillId="0" borderId="0" xfId="0" applyFont="1" applyFill="1" applyBorder="1"/>
    <xf numFmtId="164" fontId="7" fillId="0" borderId="0" xfId="3" applyNumberFormat="1" applyFont="1" applyFill="1" applyBorder="1"/>
    <xf numFmtId="44" fontId="7" fillId="0" borderId="0" xfId="3" applyNumberFormat="1" applyFont="1" applyFill="1" applyBorder="1"/>
    <xf numFmtId="164" fontId="7" fillId="3" borderId="5" xfId="3" applyNumberFormat="1" applyFont="1" applyFill="1" applyBorder="1"/>
    <xf numFmtId="9" fontId="7" fillId="3" borderId="5" xfId="6" applyNumberFormat="1" applyFont="1" applyFill="1" applyBorder="1"/>
    <xf numFmtId="0" fontId="8" fillId="3" borderId="0" xfId="0" applyFont="1" applyFill="1" applyBorder="1"/>
    <xf numFmtId="164" fontId="5" fillId="3" borderId="0" xfId="3" applyNumberFormat="1" applyFont="1" applyFill="1" applyBorder="1" applyAlignment="1">
      <alignment horizontal="center"/>
    </xf>
    <xf numFmtId="164" fontId="5" fillId="0" borderId="0" xfId="3" applyNumberFormat="1" applyFont="1" applyFill="1" applyBorder="1" applyAlignment="1">
      <alignment horizontal="center"/>
    </xf>
    <xf numFmtId="164" fontId="5" fillId="3" borderId="5" xfId="3" applyNumberFormat="1" applyFont="1" applyFill="1" applyBorder="1" applyAlignment="1">
      <alignment horizontal="center"/>
    </xf>
    <xf numFmtId="164" fontId="9" fillId="3" borderId="9" xfId="3" applyNumberFormat="1" applyFont="1" applyFill="1" applyBorder="1"/>
    <xf numFmtId="44" fontId="5" fillId="3" borderId="0" xfId="3" applyNumberFormat="1" applyFont="1" applyFill="1" applyBorder="1" applyAlignment="1">
      <alignment horizontal="center"/>
    </xf>
    <xf numFmtId="164" fontId="9" fillId="3" borderId="0" xfId="3" applyNumberFormat="1" applyFont="1" applyFill="1" applyBorder="1"/>
    <xf numFmtId="0" fontId="2" fillId="0" borderId="0" xfId="0" applyFont="1" applyBorder="1"/>
    <xf numFmtId="167" fontId="7" fillId="3" borderId="7" xfId="3" applyNumberFormat="1" applyFont="1" applyFill="1" applyBorder="1"/>
    <xf numFmtId="164" fontId="7" fillId="3" borderId="8" xfId="3" applyNumberFormat="1" applyFont="1" applyFill="1" applyBorder="1"/>
    <xf numFmtId="164" fontId="7" fillId="3" borderId="0" xfId="3" applyNumberFormat="1" applyFont="1" applyFill="1" applyBorder="1" applyAlignment="1">
      <alignment horizontal="center"/>
    </xf>
    <xf numFmtId="44" fontId="9" fillId="3" borderId="0" xfId="3" applyNumberFormat="1" applyFont="1" applyFill="1" applyBorder="1"/>
    <xf numFmtId="44" fontId="9" fillId="3" borderId="9" xfId="3" applyNumberFormat="1" applyFont="1" applyFill="1" applyBorder="1"/>
    <xf numFmtId="164" fontId="9" fillId="3" borderId="9" xfId="3" applyNumberFormat="1" applyFont="1" applyFill="1" applyBorder="1" applyAlignment="1">
      <alignment horizontal="center"/>
    </xf>
    <xf numFmtId="10" fontId="7" fillId="3" borderId="0" xfId="6" applyNumberFormat="1" applyFont="1" applyFill="1" applyBorder="1" applyAlignment="1">
      <alignment horizontal="right"/>
    </xf>
    <xf numFmtId="10" fontId="9" fillId="3" borderId="9" xfId="6" applyNumberFormat="1" applyFont="1" applyFill="1" applyBorder="1" applyAlignment="1">
      <alignment horizontal="right"/>
    </xf>
    <xf numFmtId="44" fontId="9" fillId="3" borderId="9" xfId="3" applyFont="1" applyFill="1" applyBorder="1" applyAlignment="1">
      <alignment horizontal="right"/>
    </xf>
    <xf numFmtId="168" fontId="9" fillId="3" borderId="0" xfId="3" applyNumberFormat="1" applyFont="1" applyFill="1" applyBorder="1" applyAlignment="1">
      <alignment horizontal="right"/>
    </xf>
    <xf numFmtId="44" fontId="9" fillId="3" borderId="9" xfId="3" applyNumberFormat="1" applyFont="1" applyFill="1" applyBorder="1" applyAlignment="1">
      <alignment horizontal="right"/>
    </xf>
    <xf numFmtId="164" fontId="7" fillId="3" borderId="7" xfId="3" applyNumberFormat="1" applyFont="1" applyFill="1" applyBorder="1"/>
    <xf numFmtId="44" fontId="7" fillId="3" borderId="7" xfId="3" applyNumberFormat="1" applyFont="1" applyFill="1" applyBorder="1"/>
    <xf numFmtId="44" fontId="7" fillId="3" borderId="8" xfId="3" applyNumberFormat="1" applyFont="1" applyFill="1" applyBorder="1"/>
    <xf numFmtId="0" fontId="10" fillId="4" borderId="0" xfId="0" applyFont="1" applyFill="1" applyBorder="1"/>
    <xf numFmtId="0" fontId="10" fillId="4" borderId="0" xfId="0" applyFont="1" applyFill="1"/>
    <xf numFmtId="0" fontId="0" fillId="4" borderId="0" xfId="0" applyFill="1"/>
    <xf numFmtId="2" fontId="11" fillId="4" borderId="0" xfId="0" applyNumberFormat="1" applyFont="1" applyFill="1" applyBorder="1" applyAlignment="1"/>
    <xf numFmtId="0" fontId="12" fillId="4" borderId="0" xfId="0" applyFont="1" applyFill="1" applyBorder="1"/>
    <xf numFmtId="0" fontId="13" fillId="4" borderId="0" xfId="0" applyFont="1" applyFill="1" applyBorder="1" applyAlignment="1">
      <alignment horizontal="center"/>
    </xf>
    <xf numFmtId="0" fontId="5" fillId="4" borderId="0" xfId="0" applyFont="1" applyFill="1" applyBorder="1"/>
    <xf numFmtId="0" fontId="14" fillId="4" borderId="0" xfId="0" applyFont="1" applyFill="1" applyBorder="1"/>
    <xf numFmtId="0" fontId="15" fillId="4" borderId="0" xfId="0" applyFont="1" applyFill="1" applyBorder="1"/>
    <xf numFmtId="0" fontId="16" fillId="4" borderId="0" xfId="0" applyFont="1" applyFill="1" applyBorder="1"/>
    <xf numFmtId="0" fontId="17" fillId="4" borderId="0" xfId="0" applyFont="1" applyFill="1" applyBorder="1"/>
    <xf numFmtId="0" fontId="9" fillId="4" borderId="0" xfId="0" applyFont="1" applyFill="1" applyBorder="1"/>
    <xf numFmtId="0" fontId="0" fillId="4" borderId="0" xfId="0" applyFill="1" applyBorder="1"/>
    <xf numFmtId="164" fontId="19" fillId="2" borderId="0" xfId="3" applyNumberFormat="1" applyFont="1" applyFill="1" applyBorder="1"/>
    <xf numFmtId="9" fontId="19" fillId="2" borderId="0" xfId="6" applyFont="1" applyFill="1" applyBorder="1"/>
    <xf numFmtId="166" fontId="19" fillId="2" borderId="0" xfId="1" applyNumberFormat="1" applyFont="1" applyFill="1" applyBorder="1"/>
    <xf numFmtId="0" fontId="20" fillId="3" borderId="0" xfId="0" applyFont="1" applyFill="1" applyBorder="1"/>
    <xf numFmtId="0" fontId="21" fillId="3" borderId="0" xfId="0" applyFont="1" applyFill="1" applyBorder="1"/>
    <xf numFmtId="44" fontId="22" fillId="3" borderId="0" xfId="0" applyNumberFormat="1" applyFont="1" applyFill="1" applyBorder="1"/>
    <xf numFmtId="43" fontId="22" fillId="3" borderId="0" xfId="0" applyNumberFormat="1" applyFont="1" applyFill="1" applyBorder="1"/>
    <xf numFmtId="164" fontId="22" fillId="2" borderId="0" xfId="3" applyNumberFormat="1" applyFont="1" applyFill="1" applyBorder="1"/>
    <xf numFmtId="9" fontId="22" fillId="2" borderId="0" xfId="6" applyFont="1" applyFill="1" applyBorder="1"/>
    <xf numFmtId="166" fontId="22" fillId="2" borderId="0" xfId="1" applyNumberFormat="1" applyFont="1" applyFill="1" applyBorder="1"/>
    <xf numFmtId="0" fontId="21" fillId="2" borderId="0" xfId="0" applyFont="1" applyFill="1" applyBorder="1"/>
    <xf numFmtId="42" fontId="22" fillId="2" borderId="0" xfId="1" applyNumberFormat="1" applyFont="1" applyFill="1" applyBorder="1"/>
    <xf numFmtId="0" fontId="4" fillId="3" borderId="1" xfId="0" applyFont="1" applyFill="1" applyBorder="1"/>
    <xf numFmtId="0" fontId="4" fillId="3" borderId="4" xfId="0" applyFont="1" applyFill="1" applyBorder="1"/>
    <xf numFmtId="10" fontId="9" fillId="3" borderId="0" xfId="3" applyNumberFormat="1" applyFont="1" applyFill="1" applyBorder="1"/>
    <xf numFmtId="0" fontId="9" fillId="3" borderId="0" xfId="0" applyFont="1" applyFill="1" applyBorder="1"/>
    <xf numFmtId="0" fontId="4" fillId="3" borderId="6" xfId="0" applyFont="1" applyFill="1" applyBorder="1"/>
    <xf numFmtId="164" fontId="22" fillId="3" borderId="0" xfId="3" applyNumberFormat="1" applyFont="1" applyFill="1" applyBorder="1"/>
    <xf numFmtId="164" fontId="22" fillId="3" borderId="10" xfId="3" applyNumberFormat="1" applyFont="1" applyFill="1" applyBorder="1"/>
    <xf numFmtId="164" fontId="22" fillId="3" borderId="11" xfId="3" applyNumberFormat="1" applyFont="1" applyFill="1" applyBorder="1"/>
    <xf numFmtId="164" fontId="22" fillId="3" borderId="12" xfId="3" applyNumberFormat="1" applyFont="1" applyFill="1" applyBorder="1"/>
    <xf numFmtId="0" fontId="22" fillId="3" borderId="12" xfId="0" applyFont="1" applyFill="1" applyBorder="1"/>
    <xf numFmtId="164" fontId="22" fillId="3" borderId="12" xfId="0" applyNumberFormat="1" applyFont="1" applyFill="1" applyBorder="1"/>
    <xf numFmtId="44" fontId="9" fillId="3" borderId="0" xfId="3" applyFont="1" applyFill="1" applyBorder="1"/>
    <xf numFmtId="10" fontId="9" fillId="3" borderId="0" xfId="6" applyNumberFormat="1" applyFont="1" applyFill="1" applyBorder="1"/>
    <xf numFmtId="10" fontId="3" fillId="3" borderId="0" xfId="6" applyNumberFormat="1" applyFont="1" applyFill="1" applyBorder="1"/>
    <xf numFmtId="42" fontId="22" fillId="3" borderId="12" xfId="3" applyNumberFormat="1" applyFont="1" applyFill="1" applyBorder="1"/>
    <xf numFmtId="42" fontId="22" fillId="3" borderId="12" xfId="0" applyNumberFormat="1" applyFont="1" applyFill="1" applyBorder="1"/>
    <xf numFmtId="41" fontId="22" fillId="3" borderId="0" xfId="3" applyNumberFormat="1" applyFont="1" applyFill="1" applyBorder="1"/>
    <xf numFmtId="41" fontId="22" fillId="3" borderId="10" xfId="3" applyNumberFormat="1" applyFont="1" applyFill="1" applyBorder="1"/>
    <xf numFmtId="0" fontId="19" fillId="2" borderId="0" xfId="0" applyFont="1" applyFill="1" applyBorder="1"/>
    <xf numFmtId="0" fontId="4" fillId="2" borderId="4" xfId="0" applyFont="1" applyFill="1" applyBorder="1"/>
    <xf numFmtId="0" fontId="19" fillId="2" borderId="7" xfId="0" applyFont="1" applyFill="1" applyBorder="1"/>
    <xf numFmtId="164" fontId="22" fillId="3" borderId="0" xfId="6" applyNumberFormat="1" applyFont="1" applyFill="1" applyBorder="1"/>
    <xf numFmtId="44" fontId="9" fillId="3" borderId="9" xfId="3" applyFont="1" applyFill="1" applyBorder="1"/>
    <xf numFmtId="164" fontId="22" fillId="3" borderId="0" xfId="0" applyNumberFormat="1" applyFont="1" applyFill="1" applyBorder="1"/>
    <xf numFmtId="44" fontId="9" fillId="3" borderId="9" xfId="3" applyNumberFormat="1" applyFont="1" applyFill="1" applyBorder="1" applyAlignment="1">
      <alignment horizontal="left"/>
    </xf>
    <xf numFmtId="0" fontId="22" fillId="2" borderId="0" xfId="0" applyFont="1" applyFill="1" applyBorder="1"/>
    <xf numFmtId="41" fontId="19" fillId="2" borderId="0" xfId="3" applyNumberFormat="1" applyFont="1" applyFill="1" applyBorder="1"/>
    <xf numFmtId="44" fontId="22" fillId="3" borderId="0" xfId="3" applyNumberFormat="1" applyFont="1" applyFill="1" applyBorder="1" applyAlignment="1">
      <alignment horizontal="center"/>
    </xf>
    <xf numFmtId="166" fontId="22" fillId="3" borderId="0" xfId="1" applyNumberFormat="1" applyFont="1" applyFill="1" applyBorder="1"/>
    <xf numFmtId="44" fontId="22" fillId="3" borderId="0" xfId="3" applyNumberFormat="1" applyFont="1" applyFill="1" applyBorder="1"/>
    <xf numFmtId="0" fontId="5" fillId="3" borderId="0" xfId="0" applyFont="1" applyFill="1" applyBorder="1" applyAlignment="1">
      <alignment horizontal="right"/>
    </xf>
    <xf numFmtId="164" fontId="2" fillId="3" borderId="0" xfId="3" applyNumberFormat="1" applyFont="1" applyFill="1" applyBorder="1"/>
    <xf numFmtId="9" fontId="19" fillId="3" borderId="0" xfId="0" applyNumberFormat="1" applyFont="1" applyFill="1" applyBorder="1"/>
    <xf numFmtId="164" fontId="22" fillId="3" borderId="0" xfId="3" applyNumberFormat="1" applyFont="1" applyFill="1" applyBorder="1" applyAlignment="1">
      <alignment horizontal="center"/>
    </xf>
    <xf numFmtId="10" fontId="9" fillId="3" borderId="9" xfId="6" applyNumberFormat="1" applyFont="1" applyFill="1" applyBorder="1"/>
    <xf numFmtId="9" fontId="22" fillId="3" borderId="0" xfId="1" applyNumberFormat="1" applyFont="1" applyFill="1" applyBorder="1"/>
    <xf numFmtId="42" fontId="22" fillId="3" borderId="0" xfId="1" applyNumberFormat="1" applyFont="1" applyFill="1" applyBorder="1"/>
    <xf numFmtId="10" fontId="9" fillId="3" borderId="9" xfId="3" applyNumberFormat="1" applyFont="1" applyFill="1" applyBorder="1" applyAlignment="1">
      <alignment horizontal="right"/>
    </xf>
    <xf numFmtId="165" fontId="19" fillId="2" borderId="0" xfId="1" applyNumberFormat="1" applyFont="1" applyFill="1" applyBorder="1"/>
    <xf numFmtId="43" fontId="19" fillId="2" borderId="0" xfId="6" applyNumberFormat="1" applyFont="1" applyFill="1" applyBorder="1"/>
    <xf numFmtId="39" fontId="19" fillId="2" borderId="0" xfId="6" applyNumberFormat="1" applyFont="1" applyFill="1" applyBorder="1"/>
    <xf numFmtId="0" fontId="4" fillId="2" borderId="6" xfId="0" applyFont="1" applyFill="1" applyBorder="1"/>
    <xf numFmtId="42" fontId="19" fillId="2" borderId="0" xfId="3" applyNumberFormat="1" applyFont="1" applyFill="1" applyBorder="1"/>
    <xf numFmtId="10" fontId="19" fillId="2" borderId="0" xfId="6" applyNumberFormat="1" applyFont="1" applyFill="1" applyBorder="1"/>
    <xf numFmtId="44" fontId="22" fillId="3" borderId="0" xfId="3" applyNumberFormat="1" applyFont="1" applyFill="1" applyBorder="1" applyAlignment="1">
      <alignment horizontal="right"/>
    </xf>
    <xf numFmtId="9" fontId="19" fillId="2" borderId="0" xfId="6" applyNumberFormat="1" applyFont="1" applyFill="1" applyBorder="1"/>
    <xf numFmtId="0" fontId="25" fillId="3" borderId="0" xfId="0" applyFont="1" applyFill="1" applyBorder="1"/>
    <xf numFmtId="43" fontId="19" fillId="2" borderId="0" xfId="3" applyNumberFormat="1" applyFont="1" applyFill="1" applyBorder="1"/>
    <xf numFmtId="0" fontId="26" fillId="3" borderId="0" xfId="0" applyFont="1" applyFill="1" applyBorder="1" applyAlignment="1">
      <alignment horizontal="center"/>
    </xf>
    <xf numFmtId="39" fontId="19" fillId="3" borderId="0" xfId="0" applyNumberFormat="1" applyFont="1" applyFill="1" applyBorder="1" applyAlignment="1">
      <alignment horizontal="center"/>
    </xf>
    <xf numFmtId="2" fontId="9" fillId="3" borderId="9" xfId="0" applyNumberFormat="1" applyFont="1" applyFill="1" applyBorder="1" applyAlignment="1">
      <alignment horizontal="center"/>
    </xf>
    <xf numFmtId="0" fontId="9" fillId="3" borderId="9" xfId="0" applyFont="1" applyFill="1" applyBorder="1"/>
    <xf numFmtId="0" fontId="28" fillId="0" borderId="0" xfId="0" applyFont="1"/>
    <xf numFmtId="44" fontId="9" fillId="3" borderId="9" xfId="0" applyNumberFormat="1" applyFont="1" applyFill="1" applyBorder="1"/>
    <xf numFmtId="170" fontId="9" fillId="3" borderId="0" xfId="3" applyNumberFormat="1" applyFont="1" applyFill="1" applyBorder="1"/>
    <xf numFmtId="171" fontId="22" fillId="3" borderId="0" xfId="3" applyNumberFormat="1" applyFont="1" applyFill="1" applyBorder="1" applyAlignment="1">
      <alignment horizontal="right"/>
    </xf>
    <xf numFmtId="172" fontId="22" fillId="3" borderId="0" xfId="0" applyNumberFormat="1" applyFont="1" applyFill="1" applyBorder="1"/>
    <xf numFmtId="41" fontId="19" fillId="2" borderId="0" xfId="6" applyNumberFormat="1" applyFont="1" applyFill="1" applyBorder="1"/>
    <xf numFmtId="164" fontId="19" fillId="2" borderId="0" xfId="6" applyNumberFormat="1" applyFont="1" applyFill="1" applyBorder="1"/>
    <xf numFmtId="42" fontId="22" fillId="3" borderId="0" xfId="0" applyNumberFormat="1" applyFont="1" applyFill="1" applyBorder="1"/>
    <xf numFmtId="164" fontId="22" fillId="3" borderId="0" xfId="3" applyNumberFormat="1" applyFont="1" applyFill="1" applyBorder="1" applyAlignment="1">
      <alignment horizontal="right"/>
    </xf>
    <xf numFmtId="164" fontId="9" fillId="3" borderId="0" xfId="3" applyNumberFormat="1" applyFont="1" applyFill="1" applyBorder="1" applyAlignment="1">
      <alignment horizontal="right"/>
    </xf>
    <xf numFmtId="0" fontId="9" fillId="3" borderId="0" xfId="0" applyFont="1" applyFill="1" applyBorder="1" applyAlignment="1">
      <alignment horizontal="center"/>
    </xf>
    <xf numFmtId="44" fontId="5" fillId="3" borderId="0" xfId="3" applyNumberFormat="1" applyFont="1" applyFill="1" applyBorder="1" applyAlignment="1">
      <alignment horizontal="right"/>
    </xf>
    <xf numFmtId="44" fontId="21" fillId="3" borderId="0" xfId="3" applyNumberFormat="1" applyFont="1" applyFill="1" applyBorder="1" applyAlignment="1">
      <alignment horizontal="right"/>
    </xf>
    <xf numFmtId="0" fontId="21" fillId="3" borderId="0" xfId="0" applyFont="1" applyFill="1" applyBorder="1" applyAlignment="1">
      <alignment horizontal="right"/>
    </xf>
    <xf numFmtId="164" fontId="21" fillId="3" borderId="0" xfId="3" applyNumberFormat="1" applyFont="1" applyFill="1" applyBorder="1" applyAlignment="1">
      <alignment horizontal="center"/>
    </xf>
    <xf numFmtId="43" fontId="22" fillId="3" borderId="0" xfId="3" applyNumberFormat="1" applyFont="1" applyFill="1" applyBorder="1" applyAlignment="1">
      <alignment horizontal="right"/>
    </xf>
    <xf numFmtId="166" fontId="22" fillId="3" borderId="0" xfId="3" applyNumberFormat="1" applyFont="1" applyFill="1" applyBorder="1" applyAlignment="1">
      <alignment horizontal="center"/>
    </xf>
    <xf numFmtId="44" fontId="9" fillId="3" borderId="9" xfId="3" applyNumberFormat="1" applyFont="1" applyFill="1" applyBorder="1" applyAlignment="1">
      <alignment horizontal="center"/>
    </xf>
    <xf numFmtId="42" fontId="19" fillId="2" borderId="0" xfId="6" applyNumberFormat="1" applyFont="1" applyFill="1" applyBorder="1"/>
    <xf numFmtId="44" fontId="9" fillId="3" borderId="0" xfId="3" applyNumberFormat="1" applyFont="1" applyFill="1" applyBorder="1" applyAlignment="1">
      <alignment horizontal="right"/>
    </xf>
    <xf numFmtId="42" fontId="7" fillId="3" borderId="0" xfId="0" applyNumberFormat="1" applyFont="1" applyFill="1" applyBorder="1"/>
    <xf numFmtId="42" fontId="9" fillId="3" borderId="0" xfId="0" applyNumberFormat="1" applyFont="1" applyFill="1" applyBorder="1"/>
    <xf numFmtId="42" fontId="9" fillId="3" borderId="9" xfId="0" applyNumberFormat="1" applyFont="1" applyFill="1" applyBorder="1"/>
    <xf numFmtId="0" fontId="2" fillId="3" borderId="0" xfId="0" applyFont="1" applyFill="1"/>
    <xf numFmtId="43" fontId="7" fillId="3" borderId="0" xfId="0" applyNumberFormat="1" applyFont="1" applyFill="1" applyBorder="1"/>
    <xf numFmtId="43" fontId="9" fillId="3" borderId="0" xfId="0" applyNumberFormat="1" applyFont="1" applyFill="1" applyBorder="1"/>
    <xf numFmtId="43" fontId="9" fillId="3" borderId="9" xfId="0" applyNumberFormat="1" applyFont="1" applyFill="1" applyBorder="1"/>
    <xf numFmtId="10" fontId="7" fillId="3" borderId="0" xfId="6" applyNumberFormat="1" applyFont="1" applyFill="1" applyBorder="1"/>
    <xf numFmtId="10" fontId="22" fillId="3" borderId="0" xfId="6" applyNumberFormat="1" applyFont="1" applyFill="1" applyBorder="1"/>
    <xf numFmtId="0" fontId="4" fillId="3" borderId="0" xfId="0" applyFont="1" applyFill="1" applyBorder="1"/>
    <xf numFmtId="9" fontId="20" fillId="2" borderId="0" xfId="6" applyFont="1" applyFill="1" applyBorder="1" applyAlignment="1">
      <alignment horizontal="right"/>
    </xf>
    <xf numFmtId="164" fontId="9" fillId="3" borderId="9" xfId="0" applyNumberFormat="1" applyFont="1" applyFill="1" applyBorder="1"/>
    <xf numFmtId="10" fontId="9" fillId="3" borderId="0" xfId="6" applyNumberFormat="1" applyFont="1" applyFill="1" applyBorder="1" applyAlignment="1">
      <alignment horizontal="center"/>
    </xf>
    <xf numFmtId="10" fontId="2" fillId="3" borderId="0" xfId="6" applyNumberFormat="1" applyFont="1" applyFill="1" applyBorder="1"/>
    <xf numFmtId="10" fontId="9" fillId="3" borderId="0" xfId="0" applyNumberFormat="1" applyFont="1" applyFill="1" applyBorder="1"/>
    <xf numFmtId="42" fontId="22" fillId="3" borderId="0" xfId="6" applyNumberFormat="1" applyFont="1" applyFill="1" applyBorder="1"/>
    <xf numFmtId="173" fontId="22" fillId="3" borderId="0" xfId="0" applyNumberFormat="1" applyFont="1" applyFill="1" applyBorder="1"/>
    <xf numFmtId="43" fontId="9" fillId="3" borderId="0" xfId="6" applyNumberFormat="1" applyFont="1" applyFill="1" applyBorder="1"/>
    <xf numFmtId="43" fontId="22" fillId="3" borderId="0" xfId="6" applyNumberFormat="1" applyFont="1" applyFill="1" applyBorder="1"/>
    <xf numFmtId="169" fontId="22" fillId="3" borderId="0" xfId="6" applyNumberFormat="1" applyFont="1" applyFill="1" applyBorder="1"/>
    <xf numFmtId="173" fontId="22" fillId="3" borderId="0" xfId="6" applyNumberFormat="1" applyFont="1" applyFill="1" applyBorder="1"/>
    <xf numFmtId="172" fontId="9" fillId="3" borderId="9" xfId="6" applyNumberFormat="1" applyFont="1" applyFill="1" applyBorder="1"/>
    <xf numFmtId="172" fontId="9" fillId="3" borderId="0" xfId="6" applyNumberFormat="1" applyFont="1" applyFill="1" applyBorder="1"/>
    <xf numFmtId="41" fontId="22" fillId="3" borderId="0" xfId="0" applyNumberFormat="1" applyFont="1" applyFill="1" applyBorder="1"/>
    <xf numFmtId="44" fontId="9" fillId="3" borderId="9" xfId="6" applyNumberFormat="1" applyFont="1" applyFill="1" applyBorder="1"/>
    <xf numFmtId="43" fontId="9" fillId="3" borderId="9" xfId="6" applyNumberFormat="1" applyFont="1" applyFill="1" applyBorder="1"/>
    <xf numFmtId="0" fontId="29" fillId="4" borderId="0" xfId="0" applyFont="1" applyFill="1" applyBorder="1"/>
    <xf numFmtId="42" fontId="30" fillId="2" borderId="0" xfId="6" applyNumberFormat="1" applyFont="1" applyFill="1" applyBorder="1"/>
    <xf numFmtId="43" fontId="2" fillId="3" borderId="0" xfId="0" applyNumberFormat="1" applyFont="1" applyFill="1" applyBorder="1"/>
    <xf numFmtId="0" fontId="2" fillId="0" borderId="0" xfId="5" applyFont="1"/>
    <xf numFmtId="0" fontId="28" fillId="0" borderId="0" xfId="5" applyFont="1"/>
    <xf numFmtId="0" fontId="3" fillId="0" borderId="0" xfId="5" applyFont="1"/>
    <xf numFmtId="0" fontId="1" fillId="0" borderId="0" xfId="5"/>
    <xf numFmtId="0" fontId="4" fillId="0" borderId="0" xfId="5" applyFont="1"/>
    <xf numFmtId="0" fontId="2" fillId="2" borderId="1" xfId="5" applyFont="1" applyFill="1" applyBorder="1"/>
    <xf numFmtId="0" fontId="5" fillId="2" borderId="2" xfId="5" applyFont="1" applyFill="1" applyBorder="1"/>
    <xf numFmtId="0" fontId="6" fillId="2" borderId="2" xfId="5" applyFont="1" applyFill="1" applyBorder="1"/>
    <xf numFmtId="0" fontId="2" fillId="2" borderId="3" xfId="5" applyFont="1" applyFill="1" applyBorder="1"/>
    <xf numFmtId="0" fontId="2" fillId="2" borderId="4" xfId="5" applyFont="1" applyFill="1" applyBorder="1"/>
    <xf numFmtId="0" fontId="5" fillId="2" borderId="0" xfId="5" applyFont="1" applyFill="1" applyBorder="1"/>
    <xf numFmtId="0" fontId="2" fillId="2" borderId="5" xfId="5" applyFont="1" applyFill="1" applyBorder="1"/>
    <xf numFmtId="0" fontId="2" fillId="2" borderId="6" xfId="5" applyFont="1" applyFill="1" applyBorder="1"/>
    <xf numFmtId="0" fontId="5" fillId="2" borderId="7" xfId="5" applyFont="1" applyFill="1" applyBorder="1"/>
    <xf numFmtId="0" fontId="6" fillId="2" borderId="7" xfId="5" applyFont="1" applyFill="1" applyBorder="1"/>
    <xf numFmtId="0" fontId="2" fillId="2" borderId="8" xfId="5" applyFont="1" applyFill="1" applyBorder="1"/>
    <xf numFmtId="0" fontId="2" fillId="3" borderId="1" xfId="5" applyFont="1" applyFill="1" applyBorder="1"/>
    <xf numFmtId="0" fontId="2" fillId="3" borderId="2" xfId="5" applyFont="1" applyFill="1" applyBorder="1"/>
    <xf numFmtId="0" fontId="2" fillId="3" borderId="3" xfId="5" applyFont="1" applyFill="1" applyBorder="1"/>
    <xf numFmtId="0" fontId="2" fillId="0" borderId="0" xfId="5" applyFont="1" applyFill="1" applyBorder="1"/>
    <xf numFmtId="0" fontId="2" fillId="0" borderId="0" xfId="5" applyFont="1" applyBorder="1"/>
    <xf numFmtId="0" fontId="4" fillId="3" borderId="4" xfId="5" applyFont="1" applyFill="1" applyBorder="1"/>
    <xf numFmtId="0" fontId="5" fillId="3" borderId="0" xfId="5" applyFont="1" applyFill="1" applyBorder="1"/>
    <xf numFmtId="44" fontId="9" fillId="3" borderId="13" xfId="3" applyNumberFormat="1" applyFont="1" applyFill="1" applyBorder="1" applyAlignment="1">
      <alignment horizontal="right"/>
    </xf>
    <xf numFmtId="9" fontId="30" fillId="3" borderId="0" xfId="5" applyNumberFormat="1" applyFont="1" applyFill="1" applyBorder="1" applyAlignment="1">
      <alignment horizontal="left"/>
    </xf>
    <xf numFmtId="44" fontId="2" fillId="3" borderId="0" xfId="3" applyNumberFormat="1" applyFont="1" applyFill="1" applyBorder="1" applyAlignment="1">
      <alignment horizontal="left"/>
    </xf>
    <xf numFmtId="9" fontId="19" fillId="3" borderId="0" xfId="5" applyNumberFormat="1" applyFont="1" applyFill="1" applyBorder="1" applyAlignment="1">
      <alignment horizontal="left"/>
    </xf>
    <xf numFmtId="0" fontId="2" fillId="3" borderId="6" xfId="5" applyFont="1" applyFill="1" applyBorder="1"/>
    <xf numFmtId="0" fontId="5" fillId="3" borderId="7" xfId="5" applyFont="1" applyFill="1" applyBorder="1"/>
    <xf numFmtId="2" fontId="2" fillId="0" borderId="0" xfId="0" applyNumberFormat="1" applyFont="1"/>
    <xf numFmtId="44" fontId="30" fillId="3" borderId="0" xfId="0" applyNumberFormat="1" applyFont="1" applyFill="1" applyBorder="1"/>
    <xf numFmtId="41" fontId="22" fillId="3" borderId="0" xfId="6" applyNumberFormat="1" applyFont="1" applyFill="1" applyBorder="1"/>
    <xf numFmtId="9" fontId="30" fillId="2" borderId="0" xfId="6" applyFont="1" applyFill="1" applyBorder="1"/>
    <xf numFmtId="9" fontId="30" fillId="2" borderId="0" xfId="6" applyNumberFormat="1" applyFont="1" applyFill="1" applyBorder="1"/>
  </cellXfs>
  <cellStyles count="8">
    <cellStyle name="Comma" xfId="1" builtinId="3"/>
    <cellStyle name="Comma 2" xfId="2"/>
    <cellStyle name="Currency" xfId="3" builtinId="4"/>
    <cellStyle name="Currency 2" xfId="4"/>
    <cellStyle name="Normal" xfId="0" builtinId="0"/>
    <cellStyle name="Normal 2" xfId="5"/>
    <cellStyle name="Percent" xfId="6" builtinId="5"/>
    <cellStyle name="Percent 2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0.bin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06"/>
  <sheetViews>
    <sheetView tabSelected="1" workbookViewId="0"/>
  </sheetViews>
  <sheetFormatPr defaultRowHeight="12.75"/>
  <cols>
    <col min="1" max="3" width="9.140625" style="64"/>
    <col min="4" max="4" width="42.5703125" style="64" customWidth="1"/>
    <col min="5" max="16384" width="9.140625" style="64"/>
  </cols>
  <sheetData>
    <row r="1" spans="1:29">
      <c r="A1" s="62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</row>
    <row r="2" spans="1:29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</row>
    <row r="3" spans="1:29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</row>
    <row r="4" spans="1:29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</row>
    <row r="5" spans="1:29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</row>
    <row r="6" spans="1:29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</row>
    <row r="7" spans="1:29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</row>
    <row r="8" spans="1:29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</row>
    <row r="9" spans="1:29">
      <c r="A9" s="62"/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</row>
    <row r="10" spans="1:29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</row>
    <row r="11" spans="1:29">
      <c r="A11" s="62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</row>
    <row r="12" spans="1:29" ht="59.25">
      <c r="A12" s="62"/>
      <c r="B12" s="62"/>
      <c r="C12" s="62"/>
      <c r="D12" s="65" t="s">
        <v>313</v>
      </c>
      <c r="E12" s="62"/>
      <c r="F12" s="66"/>
      <c r="G12" s="62"/>
      <c r="H12" s="62"/>
      <c r="I12" s="62"/>
      <c r="J12" s="62"/>
      <c r="K12" s="62"/>
      <c r="L12" s="62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</row>
    <row r="13" spans="1:29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</row>
    <row r="14" spans="1:29" ht="23.25">
      <c r="A14" s="62"/>
      <c r="B14" s="62"/>
      <c r="C14" s="62"/>
      <c r="D14" s="67" t="s">
        <v>299</v>
      </c>
      <c r="E14" s="62"/>
      <c r="F14" s="62"/>
      <c r="G14" s="62"/>
      <c r="H14" s="62"/>
      <c r="I14" s="62"/>
      <c r="J14" s="62"/>
      <c r="K14" s="62"/>
      <c r="L14" s="62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</row>
    <row r="15" spans="1:29">
      <c r="A15" s="62"/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</row>
    <row r="16" spans="1:29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</row>
    <row r="17" spans="1:29" ht="15">
      <c r="A17" s="62"/>
      <c r="B17" s="62"/>
      <c r="C17" s="62"/>
      <c r="D17" s="68"/>
      <c r="E17" s="62"/>
      <c r="F17" s="62"/>
      <c r="G17" s="62"/>
      <c r="H17" s="62"/>
      <c r="I17" s="62"/>
      <c r="J17" s="62"/>
      <c r="K17" s="62"/>
      <c r="L17" s="62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</row>
    <row r="18" spans="1:29" ht="15.75">
      <c r="A18" s="62"/>
      <c r="B18" s="62"/>
      <c r="C18" s="62"/>
      <c r="D18" s="69" t="s">
        <v>124</v>
      </c>
      <c r="E18" s="62"/>
      <c r="F18" s="62"/>
      <c r="G18" s="62"/>
      <c r="H18" s="62"/>
      <c r="I18" s="62"/>
      <c r="J18" s="62"/>
      <c r="K18" s="62"/>
      <c r="L18" s="62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</row>
    <row r="19" spans="1:29" ht="15.75">
      <c r="A19" s="62"/>
      <c r="B19" s="62"/>
      <c r="C19" s="62"/>
      <c r="D19" s="70" t="s">
        <v>125</v>
      </c>
      <c r="E19" s="62"/>
      <c r="F19" s="62"/>
      <c r="G19" s="62"/>
      <c r="H19" s="62"/>
      <c r="I19" s="62"/>
      <c r="J19" s="62"/>
      <c r="K19" s="62"/>
      <c r="L19" s="62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</row>
    <row r="20" spans="1:29" ht="15.75">
      <c r="A20" s="62"/>
      <c r="B20" s="62"/>
      <c r="C20" s="62"/>
      <c r="D20" s="71" t="s">
        <v>126</v>
      </c>
      <c r="E20" s="62"/>
      <c r="F20" s="62"/>
      <c r="G20" s="62"/>
      <c r="H20" s="62"/>
      <c r="I20" s="62"/>
      <c r="J20" s="62"/>
      <c r="K20" s="62"/>
      <c r="L20" s="62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</row>
    <row r="21" spans="1:29" ht="15.75">
      <c r="A21" s="62"/>
      <c r="B21" s="62"/>
      <c r="C21" s="62"/>
      <c r="D21" s="72" t="s">
        <v>127</v>
      </c>
      <c r="E21" s="62"/>
      <c r="F21" s="62"/>
      <c r="G21" s="62"/>
      <c r="H21" s="62"/>
      <c r="I21" s="62"/>
      <c r="J21" s="62"/>
      <c r="K21" s="62"/>
      <c r="L21" s="62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</row>
    <row r="22" spans="1:29" ht="15.75">
      <c r="A22" s="62"/>
      <c r="B22" s="62"/>
      <c r="C22" s="62"/>
      <c r="D22" s="73" t="s">
        <v>128</v>
      </c>
      <c r="E22" s="62"/>
      <c r="F22" s="62"/>
      <c r="G22" s="62"/>
      <c r="H22" s="62"/>
      <c r="I22" s="62"/>
      <c r="J22" s="62"/>
      <c r="K22" s="62"/>
      <c r="L22" s="62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</row>
    <row r="23" spans="1:29" ht="15">
      <c r="A23" s="62"/>
      <c r="B23" s="62"/>
      <c r="C23" s="62"/>
      <c r="D23" s="68"/>
      <c r="E23" s="62"/>
      <c r="F23" s="62"/>
      <c r="G23" s="62"/>
      <c r="H23" s="62"/>
      <c r="I23" s="62"/>
      <c r="J23" s="62"/>
      <c r="K23" s="62"/>
      <c r="L23" s="62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</row>
    <row r="24" spans="1:29">
      <c r="A24" s="62"/>
      <c r="B24" s="62"/>
      <c r="C24" s="62"/>
      <c r="D24" s="185" t="s">
        <v>309</v>
      </c>
      <c r="E24" s="62"/>
      <c r="F24" s="62"/>
      <c r="G24" s="62"/>
      <c r="H24" s="62"/>
      <c r="I24" s="62"/>
      <c r="J24" s="62"/>
      <c r="K24" s="62"/>
      <c r="L24" s="62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</row>
    <row r="25" spans="1:29">
      <c r="A25" s="62"/>
      <c r="B25" s="62"/>
      <c r="C25" s="62"/>
      <c r="D25" s="185" t="s">
        <v>310</v>
      </c>
      <c r="E25" s="62"/>
      <c r="F25" s="62"/>
      <c r="G25" s="62"/>
      <c r="H25" s="62"/>
      <c r="I25" s="62"/>
      <c r="J25" s="62"/>
      <c r="K25" s="62"/>
      <c r="L25" s="62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</row>
    <row r="26" spans="1:29">
      <c r="A26" s="62"/>
      <c r="B26" s="62"/>
      <c r="C26" s="62"/>
      <c r="D26" s="185" t="s">
        <v>311</v>
      </c>
      <c r="E26" s="62"/>
      <c r="F26" s="62"/>
      <c r="G26" s="62"/>
      <c r="H26" s="62"/>
      <c r="I26" s="62"/>
      <c r="J26" s="62"/>
      <c r="K26" s="62"/>
      <c r="L26" s="62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</row>
    <row r="27" spans="1:29">
      <c r="A27" s="62"/>
      <c r="B27" s="62"/>
      <c r="C27" s="62"/>
      <c r="D27" s="185" t="s">
        <v>312</v>
      </c>
      <c r="E27" s="62"/>
      <c r="F27" s="62"/>
      <c r="G27" s="62"/>
      <c r="H27" s="62"/>
      <c r="I27" s="62"/>
      <c r="J27" s="62"/>
      <c r="K27" s="62"/>
      <c r="L27" s="62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</row>
    <row r="28" spans="1:29">
      <c r="A28" s="62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</row>
    <row r="29" spans="1:29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</row>
    <row r="30" spans="1:29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</row>
    <row r="31" spans="1:29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</row>
    <row r="32" spans="1:29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</row>
    <row r="33" spans="1:29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</row>
    <row r="34" spans="1:29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</row>
    <row r="35" spans="1:29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</row>
    <row r="36" spans="1:29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</row>
    <row r="37" spans="1:29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</row>
    <row r="38" spans="1:29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</row>
    <row r="39" spans="1:29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</row>
    <row r="40" spans="1:29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</row>
    <row r="41" spans="1:29">
      <c r="A41" s="74"/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</row>
    <row r="42" spans="1:29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</row>
    <row r="43" spans="1:29">
      <c r="A43" s="74"/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</row>
    <row r="44" spans="1:29">
      <c r="A44" s="74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</row>
    <row r="45" spans="1:29">
      <c r="A45" s="74"/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</row>
    <row r="46" spans="1:29">
      <c r="A46" s="74"/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</row>
    <row r="47" spans="1:29">
      <c r="A47" s="74"/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</row>
    <row r="48" spans="1:29">
      <c r="A48" s="74"/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</row>
    <row r="49" spans="1:12">
      <c r="A49" s="74"/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</row>
    <row r="50" spans="1:12">
      <c r="A50" s="74"/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</row>
    <row r="51" spans="1:12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</row>
    <row r="52" spans="1:12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</row>
    <row r="53" spans="1:12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</row>
    <row r="54" spans="1:12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</row>
    <row r="55" spans="1:12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</row>
    <row r="56" spans="1:12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</row>
    <row r="57" spans="1:12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</row>
    <row r="58" spans="1:12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</row>
    <row r="59" spans="1:12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</row>
    <row r="60" spans="1:12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</row>
    <row r="61" spans="1:12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</row>
    <row r="62" spans="1:12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</row>
    <row r="63" spans="1:12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</row>
    <row r="64" spans="1:12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</row>
    <row r="65" spans="1:12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</row>
    <row r="66" spans="1:12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</row>
    <row r="67" spans="1:12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</row>
    <row r="68" spans="1:12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</row>
    <row r="69" spans="1:12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</row>
    <row r="70" spans="1:12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</row>
    <row r="71" spans="1:12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</row>
    <row r="72" spans="1:12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</row>
    <row r="73" spans="1:12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</row>
    <row r="74" spans="1:12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</row>
    <row r="75" spans="1:12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</row>
    <row r="76" spans="1:12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</row>
    <row r="77" spans="1:12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</row>
    <row r="78" spans="1:12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</row>
    <row r="79" spans="1:12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</row>
    <row r="80" spans="1:12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</row>
    <row r="81" spans="1:1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</row>
    <row r="82" spans="1:1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</row>
    <row r="83" spans="1:1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</row>
    <row r="84" spans="1:1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</row>
    <row r="85" spans="1:1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</row>
    <row r="86" spans="1:1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</row>
    <row r="87" spans="1:12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</row>
    <row r="88" spans="1:12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</row>
    <row r="89" spans="1:12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</row>
    <row r="90" spans="1:12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</row>
    <row r="91" spans="1:12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</row>
    <row r="92" spans="1:12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</row>
    <row r="93" spans="1:12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</row>
    <row r="94" spans="1:12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</row>
    <row r="95" spans="1:12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</row>
    <row r="96" spans="1:12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</row>
    <row r="97" spans="1:12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</row>
    <row r="98" spans="1:12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</row>
    <row r="99" spans="1:12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</row>
    <row r="100" spans="1:12">
      <c r="A100" s="74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</row>
    <row r="101" spans="1:12">
      <c r="A101" s="74"/>
      <c r="B101" s="74"/>
      <c r="C101" s="74"/>
      <c r="D101" s="74"/>
      <c r="E101" s="74"/>
      <c r="F101" s="74"/>
      <c r="G101" s="74"/>
      <c r="H101" s="74"/>
      <c r="I101" s="74"/>
      <c r="J101" s="74"/>
      <c r="K101" s="74"/>
      <c r="L101" s="74"/>
    </row>
    <row r="102" spans="1:12">
      <c r="A102" s="74"/>
      <c r="B102" s="74"/>
      <c r="C102" s="74"/>
      <c r="D102" s="74"/>
      <c r="E102" s="74"/>
      <c r="F102" s="74"/>
      <c r="G102" s="74"/>
      <c r="H102" s="74"/>
      <c r="I102" s="74"/>
      <c r="J102" s="74"/>
      <c r="K102" s="74"/>
      <c r="L102" s="74"/>
    </row>
    <row r="103" spans="1:12">
      <c r="A103" s="74"/>
      <c r="B103" s="74"/>
      <c r="C103" s="74"/>
      <c r="D103" s="74"/>
      <c r="E103" s="74"/>
      <c r="F103" s="74"/>
      <c r="G103" s="74"/>
      <c r="H103" s="74"/>
      <c r="I103" s="74"/>
      <c r="J103" s="74"/>
      <c r="K103" s="74"/>
      <c r="L103" s="74"/>
    </row>
    <row r="104" spans="1:12">
      <c r="A104" s="74"/>
      <c r="B104" s="74"/>
      <c r="C104" s="74"/>
      <c r="D104" s="74"/>
      <c r="E104" s="74"/>
      <c r="F104" s="74"/>
      <c r="G104" s="74"/>
      <c r="H104" s="74"/>
      <c r="I104" s="74"/>
      <c r="J104" s="74"/>
      <c r="K104" s="74"/>
      <c r="L104" s="74"/>
    </row>
    <row r="105" spans="1:12">
      <c r="A105" s="74"/>
      <c r="B105" s="74"/>
      <c r="C105" s="74"/>
      <c r="D105" s="74"/>
      <c r="E105" s="74"/>
      <c r="F105" s="74"/>
      <c r="G105" s="74"/>
      <c r="H105" s="74"/>
      <c r="I105" s="74"/>
      <c r="J105" s="74"/>
      <c r="K105" s="74"/>
      <c r="L105" s="74"/>
    </row>
    <row r="106" spans="1:12">
      <c r="A106" s="74"/>
      <c r="B106" s="74"/>
      <c r="C106" s="74"/>
      <c r="D106" s="74"/>
      <c r="E106" s="74"/>
      <c r="F106" s="74"/>
      <c r="G106" s="74"/>
      <c r="H106" s="74"/>
      <c r="I106" s="74"/>
      <c r="J106" s="74"/>
      <c r="K106" s="74"/>
      <c r="L106" s="74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76"/>
  <sheetViews>
    <sheetView zoomScaleNormal="100" workbookViewId="0"/>
  </sheetViews>
  <sheetFormatPr defaultRowHeight="12.75"/>
  <cols>
    <col min="2" max="2" width="3.140625" customWidth="1"/>
    <col min="3" max="3" width="25.140625" customWidth="1"/>
    <col min="4" max="4" width="18.140625" customWidth="1"/>
    <col min="5" max="5" width="3" customWidth="1"/>
    <col min="6" max="6" width="18.140625" customWidth="1"/>
    <col min="7" max="7" width="20.7109375" customWidth="1"/>
    <col min="8" max="8" width="18.140625" customWidth="1"/>
    <col min="9" max="9" width="3.140625" customWidth="1"/>
  </cols>
  <sheetData>
    <row r="1" spans="1:10" ht="18">
      <c r="A1" s="1"/>
      <c r="B1" s="1"/>
      <c r="C1" s="139" t="s">
        <v>313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69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3" t="s">
        <v>1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">
      <c r="A6" s="1"/>
      <c r="B6" s="4"/>
      <c r="C6" s="5"/>
      <c r="D6" s="6"/>
      <c r="E6" s="7"/>
      <c r="F6" s="1"/>
      <c r="G6" s="1"/>
      <c r="H6" s="1"/>
      <c r="I6" s="1"/>
      <c r="J6" s="1"/>
    </row>
    <row r="7" spans="1:10" ht="15">
      <c r="A7" s="1"/>
      <c r="B7" s="8"/>
      <c r="C7" s="34" t="s">
        <v>70</v>
      </c>
      <c r="D7" s="28"/>
      <c r="E7" s="10"/>
      <c r="F7" s="1"/>
      <c r="G7" s="1"/>
      <c r="H7" s="1"/>
      <c r="I7" s="1"/>
      <c r="J7" s="1"/>
    </row>
    <row r="8" spans="1:10" ht="15">
      <c r="A8" s="1"/>
      <c r="B8" s="8"/>
      <c r="C8" s="9" t="s">
        <v>71</v>
      </c>
      <c r="D8" s="75">
        <v>750000</v>
      </c>
      <c r="E8" s="10"/>
      <c r="F8" s="1"/>
      <c r="G8" s="1"/>
      <c r="H8" s="1"/>
      <c r="I8" s="1"/>
      <c r="J8" s="1"/>
    </row>
    <row r="9" spans="1:10" ht="15">
      <c r="A9" s="1"/>
      <c r="B9" s="8"/>
      <c r="C9" s="34" t="s">
        <v>72</v>
      </c>
      <c r="D9" s="75"/>
      <c r="E9" s="10"/>
      <c r="F9" s="1"/>
      <c r="G9" s="1"/>
      <c r="H9" s="1"/>
      <c r="I9" s="1"/>
      <c r="J9" s="1"/>
    </row>
    <row r="10" spans="1:10" ht="15">
      <c r="A10" s="1"/>
      <c r="B10" s="8"/>
      <c r="C10" s="9" t="s">
        <v>73</v>
      </c>
      <c r="D10" s="75">
        <v>375000</v>
      </c>
      <c r="E10" s="10"/>
      <c r="F10" s="1"/>
      <c r="G10" s="1"/>
      <c r="H10" s="1"/>
      <c r="I10" s="1"/>
      <c r="J10" s="1"/>
    </row>
    <row r="11" spans="1:10" ht="15">
      <c r="A11" s="1"/>
      <c r="B11" s="8"/>
      <c r="C11" s="9" t="s">
        <v>6</v>
      </c>
      <c r="D11" s="76">
        <v>0.08</v>
      </c>
      <c r="E11" s="10"/>
      <c r="F11" s="1"/>
      <c r="G11" s="1"/>
      <c r="H11" s="1"/>
      <c r="I11" s="1"/>
      <c r="J11" s="1"/>
    </row>
    <row r="12" spans="1:10" ht="15">
      <c r="A12" s="1"/>
      <c r="B12" s="8"/>
      <c r="C12" s="9"/>
      <c r="D12" s="75"/>
      <c r="E12" s="10"/>
      <c r="F12" s="1"/>
      <c r="G12" s="1"/>
      <c r="H12" s="1"/>
      <c r="I12" s="1"/>
      <c r="J12" s="1"/>
    </row>
    <row r="13" spans="1:10" ht="15">
      <c r="A13" s="1"/>
      <c r="B13" s="8"/>
      <c r="C13" s="9" t="s">
        <v>4</v>
      </c>
      <c r="D13" s="75">
        <v>86000</v>
      </c>
      <c r="E13" s="10"/>
      <c r="F13" s="1"/>
      <c r="G13" s="1"/>
      <c r="H13" s="1"/>
      <c r="I13" s="1"/>
      <c r="J13" s="1"/>
    </row>
    <row r="14" spans="1:10" ht="15">
      <c r="A14" s="1"/>
      <c r="B14" s="8"/>
      <c r="C14" s="9"/>
      <c r="D14" s="76"/>
      <c r="E14" s="10"/>
      <c r="F14" s="1"/>
      <c r="G14" s="1"/>
      <c r="H14" s="1"/>
      <c r="I14" s="1"/>
      <c r="J14" s="1"/>
    </row>
    <row r="15" spans="1:10" ht="15">
      <c r="A15" s="1"/>
      <c r="B15" s="8"/>
      <c r="C15" s="34" t="s">
        <v>149</v>
      </c>
      <c r="D15" s="77"/>
      <c r="E15" s="10"/>
      <c r="F15" s="1"/>
      <c r="G15" s="1"/>
      <c r="H15" s="1"/>
      <c r="I15" s="1"/>
      <c r="J15" s="1"/>
    </row>
    <row r="16" spans="1:10" ht="15">
      <c r="A16" s="1"/>
      <c r="B16" s="8"/>
      <c r="C16" s="9" t="s">
        <v>74</v>
      </c>
      <c r="D16" s="75">
        <v>30000</v>
      </c>
      <c r="E16" s="10"/>
      <c r="F16" s="1"/>
      <c r="G16" s="1"/>
      <c r="H16" s="1"/>
      <c r="I16" s="1"/>
      <c r="J16" s="1"/>
    </row>
    <row r="17" spans="1:10" ht="15.75" thickBot="1">
      <c r="A17" s="1"/>
      <c r="B17" s="11"/>
      <c r="C17" s="12"/>
      <c r="D17" s="13"/>
      <c r="E17" s="14"/>
      <c r="F17" s="1"/>
      <c r="G17" s="1"/>
      <c r="H17" s="1"/>
      <c r="I17" s="1"/>
      <c r="J17" s="1"/>
    </row>
    <row r="18" spans="1:10" ht="1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15">
      <c r="A19" s="1"/>
      <c r="B19" s="1"/>
      <c r="C19" s="3" t="s">
        <v>2</v>
      </c>
      <c r="D19" s="1"/>
      <c r="E19" s="1"/>
      <c r="F19" s="1"/>
      <c r="G19" s="1"/>
      <c r="H19" s="1"/>
      <c r="I19" s="1"/>
      <c r="J19" s="1"/>
    </row>
    <row r="20" spans="1:10" ht="15.75" thickBot="1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ht="15">
      <c r="A21" s="1"/>
      <c r="B21" s="15"/>
      <c r="C21" s="16"/>
      <c r="D21" s="16"/>
      <c r="E21" s="17"/>
      <c r="F21" s="35"/>
      <c r="G21" s="35"/>
      <c r="H21" s="35"/>
      <c r="I21" s="35"/>
      <c r="J21" s="47"/>
    </row>
    <row r="22" spans="1:10" ht="15">
      <c r="A22" s="1"/>
      <c r="B22" s="88" t="s">
        <v>137</v>
      </c>
      <c r="C22" s="22" t="s">
        <v>317</v>
      </c>
      <c r="D22" s="120">
        <f>D13-(D11*D10)</f>
        <v>56000</v>
      </c>
      <c r="E22" s="43"/>
      <c r="F22" s="42"/>
      <c r="G22" s="36"/>
      <c r="H22" s="42"/>
      <c r="I22" s="35"/>
      <c r="J22" s="47"/>
    </row>
    <row r="23" spans="1:10" ht="15">
      <c r="A23" s="1"/>
      <c r="B23" s="88"/>
      <c r="C23" s="22" t="s">
        <v>150</v>
      </c>
      <c r="D23" s="92">
        <f>D22*(D16/D10)</f>
        <v>4480</v>
      </c>
      <c r="E23" s="38"/>
      <c r="F23" s="36"/>
      <c r="G23" s="36"/>
      <c r="H23" s="36"/>
      <c r="I23" s="35"/>
      <c r="J23" s="47"/>
    </row>
    <row r="24" spans="1:10" ht="15.75">
      <c r="A24" s="1"/>
      <c r="B24" s="88"/>
      <c r="C24" s="22" t="s">
        <v>151</v>
      </c>
      <c r="D24" s="121">
        <f>D23/D16</f>
        <v>0.14933333333333335</v>
      </c>
      <c r="E24" s="38"/>
      <c r="F24" s="36"/>
      <c r="G24" s="36"/>
      <c r="H24" s="36"/>
      <c r="I24" s="35"/>
      <c r="J24" s="47"/>
    </row>
    <row r="25" spans="1:10" ht="15">
      <c r="A25" s="1"/>
      <c r="B25" s="88"/>
      <c r="C25" s="22"/>
      <c r="D25" s="31"/>
      <c r="E25" s="38"/>
      <c r="F25" s="36"/>
      <c r="G25" s="36"/>
      <c r="H25" s="36"/>
      <c r="I25" s="35"/>
      <c r="J25" s="47"/>
    </row>
    <row r="26" spans="1:10" ht="15">
      <c r="A26" s="1"/>
      <c r="B26" s="88" t="s">
        <v>138</v>
      </c>
      <c r="C26" s="22" t="s">
        <v>152</v>
      </c>
      <c r="D26" s="92">
        <f>D16</f>
        <v>30000</v>
      </c>
      <c r="E26" s="38"/>
      <c r="F26" s="36"/>
      <c r="G26" s="36"/>
      <c r="H26" s="36"/>
      <c r="I26" s="35"/>
      <c r="J26" s="47"/>
    </row>
    <row r="27" spans="1:10" ht="15">
      <c r="A27" s="1"/>
      <c r="B27" s="88"/>
      <c r="C27" s="117" t="s">
        <v>154</v>
      </c>
      <c r="D27" s="123">
        <f>D26</f>
        <v>30000</v>
      </c>
      <c r="E27" s="38"/>
      <c r="F27" s="36"/>
      <c r="G27" s="36"/>
      <c r="H27" s="36"/>
      <c r="I27" s="35"/>
      <c r="J27" s="47"/>
    </row>
    <row r="28" spans="1:10" ht="15">
      <c r="A28" s="1"/>
      <c r="B28" s="88"/>
      <c r="C28" s="117" t="s">
        <v>153</v>
      </c>
      <c r="D28" s="122">
        <f>D11</f>
        <v>0.08</v>
      </c>
      <c r="E28" s="38"/>
      <c r="F28" s="36"/>
      <c r="G28" s="36"/>
      <c r="H28" s="36"/>
      <c r="I28" s="35"/>
      <c r="J28" s="47"/>
    </row>
    <row r="29" spans="1:10" ht="15">
      <c r="A29" s="1"/>
      <c r="B29" s="88"/>
      <c r="C29" s="22" t="s">
        <v>155</v>
      </c>
      <c r="D29" s="116">
        <f>-D27*D11</f>
        <v>-2400</v>
      </c>
      <c r="E29" s="38"/>
      <c r="F29" s="36"/>
      <c r="G29" s="36"/>
      <c r="H29" s="36"/>
      <c r="I29" s="35"/>
      <c r="J29" s="47"/>
    </row>
    <row r="30" spans="1:10" ht="15">
      <c r="A30" s="1"/>
      <c r="B30" s="88"/>
      <c r="C30" s="22" t="s">
        <v>76</v>
      </c>
      <c r="D30" s="32"/>
      <c r="E30" s="38"/>
      <c r="F30" s="36"/>
      <c r="G30" s="36"/>
      <c r="H30" s="36"/>
      <c r="I30" s="35"/>
      <c r="J30" s="47"/>
    </row>
    <row r="31" spans="1:10" ht="15.75">
      <c r="A31" s="1"/>
      <c r="B31" s="88"/>
      <c r="C31" s="22" t="s">
        <v>156</v>
      </c>
      <c r="D31" s="51"/>
      <c r="E31" s="38"/>
      <c r="F31" s="36"/>
      <c r="G31" s="36"/>
      <c r="H31" s="36"/>
      <c r="I31" s="35"/>
      <c r="J31" s="47"/>
    </row>
    <row r="32" spans="1:10" ht="15">
      <c r="A32" s="1"/>
      <c r="B32" s="88"/>
      <c r="C32" s="22" t="s">
        <v>77</v>
      </c>
      <c r="D32" s="31"/>
      <c r="E32" s="38"/>
      <c r="F32" s="36"/>
      <c r="G32" s="36"/>
      <c r="H32" s="36"/>
      <c r="I32" s="35"/>
      <c r="J32" s="47"/>
    </row>
    <row r="33" spans="1:10" ht="15">
      <c r="A33" s="1"/>
      <c r="B33" s="88"/>
      <c r="C33" s="22" t="s">
        <v>157</v>
      </c>
      <c r="D33" s="92">
        <f>D13*((D26+D27)/D8)</f>
        <v>6880</v>
      </c>
      <c r="E33" s="38"/>
      <c r="F33" s="36"/>
      <c r="G33" s="36"/>
      <c r="H33" s="36"/>
      <c r="I33" s="35"/>
      <c r="J33" s="47"/>
    </row>
    <row r="34" spans="1:10" ht="15">
      <c r="A34" s="1"/>
      <c r="B34" s="88"/>
      <c r="C34" s="22" t="s">
        <v>63</v>
      </c>
      <c r="D34" s="92">
        <f>D33+D29</f>
        <v>4480</v>
      </c>
      <c r="E34" s="38"/>
      <c r="F34" s="36"/>
      <c r="G34" s="36"/>
      <c r="H34" s="36"/>
      <c r="I34" s="35"/>
      <c r="J34" s="47"/>
    </row>
    <row r="35" spans="1:10" ht="15.75">
      <c r="A35" s="1"/>
      <c r="B35" s="88"/>
      <c r="C35" s="22" t="s">
        <v>75</v>
      </c>
      <c r="D35" s="121">
        <f>D34/D26</f>
        <v>0.14933333333333335</v>
      </c>
      <c r="E35" s="38"/>
      <c r="F35" s="36"/>
      <c r="G35" s="36"/>
      <c r="H35" s="36"/>
      <c r="I35" s="35"/>
      <c r="J35" s="47"/>
    </row>
    <row r="36" spans="1:10" ht="15">
      <c r="A36" s="1"/>
      <c r="B36" s="88"/>
      <c r="C36" s="22"/>
      <c r="D36" s="31"/>
      <c r="E36" s="38"/>
      <c r="F36" s="36"/>
      <c r="G36" s="36"/>
      <c r="H36" s="36"/>
      <c r="I36" s="35"/>
      <c r="J36" s="47"/>
    </row>
    <row r="37" spans="1:10" ht="19.5">
      <c r="A37" s="1"/>
      <c r="B37" s="88" t="s">
        <v>139</v>
      </c>
      <c r="C37" s="22" t="s">
        <v>158</v>
      </c>
      <c r="D37" s="121">
        <f>D13/D8</f>
        <v>0.11466666666666667</v>
      </c>
      <c r="E37" s="38"/>
      <c r="F37" s="36"/>
      <c r="G37" s="36"/>
      <c r="H37" s="36"/>
      <c r="I37" s="35"/>
      <c r="J37" s="47"/>
    </row>
    <row r="38" spans="1:10" ht="19.5">
      <c r="A38" s="1"/>
      <c r="B38" s="88"/>
      <c r="C38" s="22" t="s">
        <v>159</v>
      </c>
      <c r="D38" s="121">
        <f>D37+(D37-D11)*(1)*(1)</f>
        <v>0.14933333333333332</v>
      </c>
      <c r="E38" s="38"/>
      <c r="F38" s="36"/>
      <c r="G38" s="36"/>
      <c r="H38" s="36"/>
      <c r="I38" s="35"/>
      <c r="J38" s="47"/>
    </row>
    <row r="39" spans="1:10" ht="15">
      <c r="A39" s="1"/>
      <c r="B39" s="88"/>
      <c r="C39" s="22"/>
      <c r="D39" s="31"/>
      <c r="E39" s="38"/>
      <c r="F39" s="36"/>
      <c r="G39" s="36"/>
      <c r="H39" s="36"/>
      <c r="I39" s="35"/>
      <c r="J39" s="47"/>
    </row>
    <row r="40" spans="1:10" ht="15.75">
      <c r="A40" s="1"/>
      <c r="B40" s="88" t="s">
        <v>140</v>
      </c>
      <c r="C40" s="22" t="s">
        <v>160</v>
      </c>
      <c r="D40" s="121">
        <f>((1)*(D37))+((0)*(D11))</f>
        <v>0.11466666666666667</v>
      </c>
      <c r="E40" s="38"/>
      <c r="F40" s="36"/>
      <c r="G40" s="36"/>
      <c r="H40" s="36"/>
      <c r="I40" s="35"/>
      <c r="J40" s="47"/>
    </row>
    <row r="41" spans="1:10" ht="15.75">
      <c r="A41" s="1"/>
      <c r="B41" s="88"/>
      <c r="C41" s="22" t="s">
        <v>161</v>
      </c>
      <c r="D41" s="121">
        <f>((0.5)*(D38))+((0.5)*(D11))</f>
        <v>0.11466666666666667</v>
      </c>
      <c r="E41" s="38"/>
      <c r="F41" s="36"/>
      <c r="G41" s="36"/>
      <c r="H41" s="36"/>
      <c r="I41" s="35"/>
      <c r="J41" s="47"/>
    </row>
    <row r="42" spans="1:10" ht="15">
      <c r="A42" s="1"/>
      <c r="B42" s="88"/>
      <c r="C42" s="22" t="s">
        <v>79</v>
      </c>
      <c r="D42" s="31"/>
      <c r="E42" s="38"/>
      <c r="F42" s="36"/>
      <c r="G42" s="36"/>
      <c r="H42" s="36"/>
      <c r="I42" s="35"/>
      <c r="J42" s="47"/>
    </row>
    <row r="43" spans="1:10" ht="15">
      <c r="A43" s="1"/>
      <c r="B43" s="88"/>
      <c r="C43" s="22" t="s">
        <v>80</v>
      </c>
      <c r="D43" s="31"/>
      <c r="E43" s="38"/>
      <c r="F43" s="36"/>
      <c r="G43" s="36"/>
      <c r="H43" s="36"/>
      <c r="I43" s="35"/>
      <c r="J43" s="47"/>
    </row>
    <row r="44" spans="1:10" ht="15">
      <c r="A44" s="1"/>
      <c r="B44" s="88"/>
      <c r="C44" s="22" t="s">
        <v>81</v>
      </c>
      <c r="D44" s="31"/>
      <c r="E44" s="38"/>
      <c r="F44" s="36"/>
      <c r="G44" s="36"/>
      <c r="H44" s="36"/>
      <c r="I44" s="35"/>
      <c r="J44" s="47"/>
    </row>
    <row r="45" spans="1:10" ht="15">
      <c r="A45" s="1"/>
      <c r="B45" s="88"/>
      <c r="C45" s="22" t="s">
        <v>82</v>
      </c>
      <c r="D45" s="31"/>
      <c r="E45" s="38"/>
      <c r="F45" s="36"/>
      <c r="G45" s="36"/>
      <c r="H45" s="36"/>
      <c r="I45" s="35"/>
      <c r="J45" s="47"/>
    </row>
    <row r="46" spans="1:10" ht="15.75" thickBot="1">
      <c r="A46" s="1"/>
      <c r="B46" s="20"/>
      <c r="C46" s="23"/>
      <c r="D46" s="48"/>
      <c r="E46" s="49"/>
      <c r="F46" s="37"/>
      <c r="G46" s="36"/>
      <c r="H46" s="37"/>
      <c r="I46" s="35"/>
      <c r="J46" s="47"/>
    </row>
    <row r="47" spans="1:10" ht="15">
      <c r="A47" s="1"/>
      <c r="B47" s="1"/>
      <c r="C47" s="47"/>
      <c r="D47" s="47"/>
      <c r="E47" s="47"/>
      <c r="F47" s="47"/>
      <c r="G47" s="47"/>
      <c r="H47" s="47"/>
      <c r="I47" s="1"/>
      <c r="J47" s="1"/>
    </row>
    <row r="48" spans="1:10" ht="15">
      <c r="A48" s="1"/>
      <c r="B48" s="1"/>
      <c r="C48" s="47"/>
      <c r="D48" s="47"/>
      <c r="E48" s="47"/>
      <c r="F48" s="47"/>
      <c r="G48" s="47"/>
      <c r="H48" s="47"/>
      <c r="I48" s="1"/>
      <c r="J48" s="1"/>
    </row>
    <row r="49" spans="1:10" ht="15">
      <c r="A49" s="1"/>
      <c r="B49" s="1"/>
      <c r="C49" s="47"/>
      <c r="D49" s="47"/>
      <c r="E49" s="47"/>
      <c r="F49" s="47"/>
      <c r="G49" s="47"/>
      <c r="H49" s="47"/>
      <c r="I49" s="1"/>
      <c r="J49" s="1"/>
    </row>
    <row r="50" spans="1:10" ht="15">
      <c r="A50" s="1"/>
      <c r="B50" s="1"/>
      <c r="C50" s="47"/>
      <c r="D50" s="47"/>
      <c r="E50" s="47"/>
      <c r="F50" s="47"/>
      <c r="G50" s="47"/>
      <c r="H50" s="47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5">
      <c r="A76" s="1"/>
      <c r="B76" s="1"/>
      <c r="C76" s="1"/>
      <c r="D76" s="1"/>
      <c r="E76" s="1"/>
      <c r="F76" s="1"/>
      <c r="G76" s="1"/>
      <c r="H76" s="1"/>
      <c r="I76" s="1"/>
      <c r="J76" s="1"/>
    </row>
  </sheetData>
  <phoneticPr fontId="0" type="noConversion"/>
  <pageMargins left="0.75" right="0.75" top="1" bottom="1" header="0.5" footer="0.5"/>
  <pageSetup scale="94" orientation="portrait" horizontalDpi="360" verticalDpi="36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45"/>
  <sheetViews>
    <sheetView workbookViewId="0"/>
  </sheetViews>
  <sheetFormatPr defaultRowHeight="12.75"/>
  <cols>
    <col min="2" max="2" width="3.140625" customWidth="1"/>
    <col min="3" max="4" width="18.140625" customWidth="1"/>
    <col min="5" max="5" width="3" customWidth="1"/>
    <col min="6" max="7" width="18.140625" customWidth="1"/>
    <col min="8" max="8" width="3.140625" customWidth="1"/>
    <col min="9" max="9" width="11.85546875" customWidth="1"/>
  </cols>
  <sheetData>
    <row r="1" spans="1:10" ht="18">
      <c r="A1" s="1"/>
      <c r="B1" s="1"/>
      <c r="C1" s="139" t="s">
        <v>313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83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3" t="s">
        <v>1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">
      <c r="A6" s="1"/>
      <c r="B6" s="4"/>
      <c r="C6" s="5"/>
      <c r="D6" s="6"/>
      <c r="E6" s="7"/>
      <c r="F6" s="1"/>
      <c r="G6" s="1"/>
      <c r="H6" s="1"/>
      <c r="I6" s="1"/>
      <c r="J6" s="1"/>
    </row>
    <row r="7" spans="1:10" ht="15">
      <c r="A7" s="1"/>
      <c r="B7" s="8"/>
      <c r="C7" s="9" t="s">
        <v>78</v>
      </c>
      <c r="D7" s="76">
        <v>0.09</v>
      </c>
      <c r="E7" s="10"/>
      <c r="F7" s="1"/>
      <c r="G7" s="1"/>
      <c r="H7" s="1"/>
      <c r="I7" s="1"/>
      <c r="J7" s="1"/>
    </row>
    <row r="8" spans="1:10" ht="15">
      <c r="A8" s="1"/>
      <c r="B8" s="8"/>
      <c r="C8" s="9" t="s">
        <v>84</v>
      </c>
      <c r="D8" s="75">
        <v>37000000</v>
      </c>
      <c r="E8" s="10"/>
      <c r="F8" s="1"/>
      <c r="G8" s="1"/>
      <c r="H8" s="1"/>
      <c r="I8" s="1"/>
      <c r="J8" s="1"/>
    </row>
    <row r="9" spans="1:10" ht="15.75" thickBot="1">
      <c r="A9" s="1"/>
      <c r="B9" s="11"/>
      <c r="C9" s="12"/>
      <c r="D9" s="13"/>
      <c r="E9" s="14"/>
      <c r="F9" s="1"/>
      <c r="G9" s="1"/>
      <c r="H9" s="1"/>
      <c r="I9" s="1"/>
      <c r="J9" s="1"/>
    </row>
    <row r="10" spans="1:10" ht="15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 ht="15">
      <c r="A11" s="1"/>
      <c r="B11" s="1"/>
      <c r="C11" s="3" t="s">
        <v>2</v>
      </c>
      <c r="D11" s="1"/>
      <c r="E11" s="1"/>
      <c r="F11" s="1"/>
      <c r="G11" s="1"/>
      <c r="H11" s="1"/>
      <c r="I11" s="1"/>
      <c r="J11" s="1"/>
    </row>
    <row r="12" spans="1:10" ht="15.75" thickBot="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 ht="15">
      <c r="A13" s="1"/>
      <c r="B13" s="15"/>
      <c r="C13" s="16"/>
      <c r="D13" s="16"/>
      <c r="E13" s="17"/>
      <c r="F13" s="35"/>
      <c r="G13" s="35"/>
      <c r="H13" s="35"/>
      <c r="I13" s="35"/>
      <c r="J13" s="47"/>
    </row>
    <row r="14" spans="1:10" ht="15.75">
      <c r="A14" s="1"/>
      <c r="B14" s="18"/>
      <c r="C14" s="22" t="s">
        <v>4</v>
      </c>
      <c r="D14" s="53">
        <f>D7*D8</f>
        <v>3330000</v>
      </c>
      <c r="E14" s="43"/>
      <c r="F14" s="42"/>
      <c r="G14" s="36"/>
      <c r="H14" s="42"/>
      <c r="I14" s="35"/>
      <c r="J14" s="47"/>
    </row>
    <row r="15" spans="1:10" ht="15.75" thickBot="1">
      <c r="A15" s="1"/>
      <c r="B15" s="20"/>
      <c r="C15" s="23"/>
      <c r="D15" s="48"/>
      <c r="E15" s="49"/>
      <c r="F15" s="37"/>
      <c r="G15" s="36"/>
      <c r="H15" s="37"/>
      <c r="I15" s="35"/>
      <c r="J15" s="47"/>
    </row>
    <row r="16" spans="1:10" ht="15">
      <c r="A16" s="1"/>
      <c r="B16" s="1"/>
      <c r="C16" s="47"/>
      <c r="D16" s="47"/>
      <c r="E16" s="47"/>
      <c r="F16" s="47"/>
      <c r="G16" s="47"/>
      <c r="H16" s="47"/>
      <c r="I16" s="1"/>
      <c r="J16" s="1"/>
    </row>
    <row r="17" spans="1:10" ht="15">
      <c r="A17" s="1"/>
      <c r="B17" s="1"/>
      <c r="C17" s="47"/>
      <c r="D17" s="47"/>
      <c r="E17" s="47"/>
      <c r="F17" s="47"/>
      <c r="G17" s="47"/>
      <c r="H17" s="47"/>
      <c r="I17" s="1"/>
      <c r="J17" s="1"/>
    </row>
    <row r="18" spans="1:10" ht="15">
      <c r="A18" s="1"/>
      <c r="B18" s="1"/>
      <c r="C18" s="47"/>
      <c r="D18" s="47"/>
      <c r="E18" s="47"/>
      <c r="F18" s="47"/>
      <c r="G18" s="47"/>
      <c r="H18" s="47"/>
      <c r="I18" s="1"/>
      <c r="J18" s="1"/>
    </row>
    <row r="19" spans="1:10" ht="15">
      <c r="A19" s="1"/>
      <c r="B19" s="1"/>
      <c r="C19" s="47"/>
      <c r="D19" s="47"/>
      <c r="E19" s="47"/>
      <c r="F19" s="47"/>
      <c r="G19" s="47"/>
      <c r="H19" s="47"/>
      <c r="I19" s="1"/>
      <c r="J19" s="1"/>
    </row>
    <row r="20" spans="1:10" ht="1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ht="1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ht="1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ht="1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">
      <c r="A45" s="1"/>
      <c r="B45" s="1"/>
      <c r="C45" s="1"/>
      <c r="D45" s="1"/>
      <c r="E45" s="1"/>
      <c r="F45" s="1"/>
      <c r="G45" s="1"/>
      <c r="H45" s="1"/>
      <c r="I45" s="1"/>
      <c r="J45" s="1"/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50"/>
  <sheetViews>
    <sheetView workbookViewId="0"/>
  </sheetViews>
  <sheetFormatPr defaultRowHeight="12.75"/>
  <cols>
    <col min="2" max="2" width="3.140625" customWidth="1"/>
    <col min="3" max="3" width="19.5703125" customWidth="1"/>
    <col min="4" max="4" width="18.140625" customWidth="1"/>
    <col min="5" max="5" width="3" customWidth="1"/>
    <col min="6" max="7" width="18.140625" customWidth="1"/>
    <col min="8" max="8" width="3.140625" customWidth="1"/>
    <col min="9" max="9" width="15.42578125" customWidth="1"/>
  </cols>
  <sheetData>
    <row r="1" spans="1:10" ht="18">
      <c r="A1" s="1"/>
      <c r="B1" s="1"/>
      <c r="C1" s="139" t="s">
        <v>313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85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3" t="s">
        <v>1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">
      <c r="A6" s="1"/>
      <c r="B6" s="4"/>
      <c r="C6" s="5"/>
      <c r="D6" s="6"/>
      <c r="E6" s="7"/>
      <c r="F6" s="1"/>
      <c r="G6" s="1"/>
      <c r="H6" s="1"/>
      <c r="I6" s="1"/>
      <c r="J6" s="1"/>
    </row>
    <row r="7" spans="1:10" ht="15">
      <c r="A7" s="1"/>
      <c r="B7" s="8"/>
      <c r="C7" s="9" t="s">
        <v>78</v>
      </c>
      <c r="D7" s="83">
        <f ca="1">'#10'!D7</f>
        <v>0.09</v>
      </c>
      <c r="E7" s="10"/>
      <c r="F7" s="1"/>
      <c r="G7" s="1"/>
      <c r="H7" s="1"/>
      <c r="I7" s="1"/>
      <c r="J7" s="1"/>
    </row>
    <row r="8" spans="1:10" ht="15">
      <c r="A8" s="1"/>
      <c r="B8" s="8"/>
      <c r="C8" s="9" t="s">
        <v>84</v>
      </c>
      <c r="D8" s="82">
        <f ca="1">'#10'!D8</f>
        <v>37000000</v>
      </c>
      <c r="E8" s="10"/>
      <c r="F8" s="1"/>
      <c r="G8" s="1"/>
      <c r="H8" s="1"/>
      <c r="I8" s="1"/>
      <c r="J8" s="1"/>
    </row>
    <row r="9" spans="1:10" ht="15">
      <c r="A9" s="1"/>
      <c r="B9" s="8"/>
      <c r="C9" s="9" t="s">
        <v>86</v>
      </c>
      <c r="D9" s="76">
        <v>0.35</v>
      </c>
      <c r="E9" s="10"/>
      <c r="F9" s="1"/>
      <c r="G9" s="1"/>
      <c r="H9" s="1"/>
      <c r="I9" s="1"/>
      <c r="J9" s="1"/>
    </row>
    <row r="10" spans="1:10" ht="15.75" thickBot="1">
      <c r="A10" s="1"/>
      <c r="B10" s="11"/>
      <c r="C10" s="12"/>
      <c r="D10" s="13"/>
      <c r="E10" s="14"/>
      <c r="F10" s="1"/>
      <c r="G10" s="1"/>
      <c r="H10" s="1"/>
      <c r="I10" s="1"/>
      <c r="J10" s="1"/>
    </row>
    <row r="11" spans="1:10" ht="15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5">
      <c r="A12" s="1"/>
      <c r="B12" s="1"/>
      <c r="C12" s="3" t="s">
        <v>2</v>
      </c>
      <c r="D12" s="1"/>
      <c r="E12" s="1"/>
      <c r="F12" s="1"/>
      <c r="G12" s="1"/>
      <c r="H12" s="1"/>
      <c r="I12" s="1"/>
      <c r="J12" s="1"/>
    </row>
    <row r="13" spans="1:10" ht="15.75" thickBot="1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5">
      <c r="A14" s="1"/>
      <c r="B14" s="15"/>
      <c r="C14" s="16"/>
      <c r="D14" s="16"/>
      <c r="E14" s="17"/>
      <c r="F14" s="35"/>
      <c r="G14" s="35"/>
      <c r="H14" s="35"/>
      <c r="I14" s="35"/>
      <c r="J14" s="47"/>
    </row>
    <row r="15" spans="1:10" ht="15.75">
      <c r="A15" s="1"/>
      <c r="B15" s="18"/>
      <c r="C15" s="22" t="s">
        <v>4</v>
      </c>
      <c r="D15" s="58">
        <f>D8*D7/(1-D9)</f>
        <v>5123076.923076923</v>
      </c>
      <c r="E15" s="43"/>
      <c r="F15" s="42"/>
      <c r="G15" s="36"/>
      <c r="H15" s="42"/>
      <c r="I15" s="35"/>
      <c r="J15" s="47"/>
    </row>
    <row r="16" spans="1:10" ht="15.75">
      <c r="A16" s="1"/>
      <c r="B16" s="18"/>
      <c r="C16" s="22" t="s">
        <v>78</v>
      </c>
      <c r="D16" s="124">
        <f>D7</f>
        <v>0.09</v>
      </c>
      <c r="E16" s="43"/>
      <c r="F16" s="42"/>
      <c r="G16" s="36"/>
      <c r="H16" s="42"/>
      <c r="I16" s="35"/>
      <c r="J16" s="47"/>
    </row>
    <row r="17" spans="1:10" ht="15">
      <c r="A17" s="1"/>
      <c r="B17" s="18"/>
      <c r="C17" s="22" t="s">
        <v>87</v>
      </c>
      <c r="D17" s="50"/>
      <c r="E17" s="43"/>
      <c r="F17" s="42"/>
      <c r="G17" s="36"/>
      <c r="H17" s="42"/>
      <c r="I17" s="35"/>
      <c r="J17" s="47"/>
    </row>
    <row r="18" spans="1:10" ht="15">
      <c r="A18" s="1"/>
      <c r="B18" s="18"/>
      <c r="C18" s="22" t="s">
        <v>88</v>
      </c>
      <c r="D18" s="50"/>
      <c r="E18" s="43"/>
      <c r="F18" s="42"/>
      <c r="G18" s="36"/>
      <c r="H18" s="42"/>
      <c r="I18" s="35"/>
      <c r="J18" s="47"/>
    </row>
    <row r="19" spans="1:10" ht="15">
      <c r="A19" s="1"/>
      <c r="B19" s="18"/>
      <c r="C19" s="22" t="s">
        <v>89</v>
      </c>
      <c r="D19" s="120">
        <f>D8</f>
        <v>37000000</v>
      </c>
      <c r="E19" s="43"/>
      <c r="F19" s="42"/>
      <c r="G19" s="36"/>
      <c r="H19" s="42"/>
      <c r="I19" s="35"/>
      <c r="J19" s="47"/>
    </row>
    <row r="20" spans="1:10" ht="15.75" thickBot="1">
      <c r="A20" s="1"/>
      <c r="B20" s="20"/>
      <c r="C20" s="23"/>
      <c r="D20" s="48"/>
      <c r="E20" s="49"/>
      <c r="F20" s="37"/>
      <c r="G20" s="36"/>
      <c r="H20" s="37"/>
      <c r="I20" s="35"/>
      <c r="J20" s="47"/>
    </row>
    <row r="21" spans="1:10" ht="15">
      <c r="A21" s="1"/>
      <c r="B21" s="1"/>
      <c r="C21" s="47"/>
      <c r="D21" s="47"/>
      <c r="E21" s="47"/>
      <c r="F21" s="47"/>
      <c r="G21" s="47"/>
      <c r="H21" s="47"/>
      <c r="I21" s="1"/>
      <c r="J21" s="1"/>
    </row>
    <row r="22" spans="1:10" ht="15">
      <c r="A22" s="1"/>
      <c r="B22" s="1"/>
      <c r="C22" s="47"/>
      <c r="D22" s="47"/>
      <c r="E22" s="47"/>
      <c r="F22" s="47"/>
      <c r="G22" s="47"/>
      <c r="H22" s="47"/>
      <c r="I22" s="1"/>
      <c r="J22" s="1"/>
    </row>
    <row r="23" spans="1:10" ht="15">
      <c r="A23" s="1"/>
      <c r="B23" s="1"/>
      <c r="C23" s="47"/>
      <c r="D23" s="47"/>
      <c r="E23" s="47"/>
      <c r="F23" s="47"/>
      <c r="G23" s="47"/>
      <c r="H23" s="47"/>
      <c r="I23" s="1"/>
      <c r="J23" s="1"/>
    </row>
    <row r="24" spans="1:10" ht="15">
      <c r="A24" s="1"/>
      <c r="B24" s="1"/>
      <c r="C24" s="47"/>
      <c r="D24" s="47"/>
      <c r="E24" s="47"/>
      <c r="F24" s="47"/>
      <c r="G24" s="47"/>
      <c r="H24" s="47"/>
      <c r="I24" s="1"/>
      <c r="J24" s="1"/>
    </row>
    <row r="25" spans="1:10" ht="1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J56"/>
  <sheetViews>
    <sheetView workbookViewId="0"/>
  </sheetViews>
  <sheetFormatPr defaultRowHeight="12.75"/>
  <cols>
    <col min="2" max="2" width="3.140625" customWidth="1"/>
    <col min="3" max="4" width="18.140625" customWidth="1"/>
    <col min="5" max="5" width="3" customWidth="1"/>
    <col min="6" max="7" width="18.140625" customWidth="1"/>
    <col min="8" max="8" width="3.140625" customWidth="1"/>
    <col min="9" max="9" width="15.42578125" customWidth="1"/>
  </cols>
  <sheetData>
    <row r="1" spans="1:10" ht="18">
      <c r="A1" s="1"/>
      <c r="B1" s="1"/>
      <c r="C1" s="139" t="s">
        <v>313</v>
      </c>
      <c r="D1" s="1"/>
      <c r="E1" s="1"/>
      <c r="F1" s="1"/>
      <c r="G1" s="1"/>
      <c r="H1" s="1"/>
      <c r="I1" s="1"/>
      <c r="J1" s="1"/>
    </row>
    <row r="2" spans="1:10" ht="15.75" customHeight="1">
      <c r="A2" s="1"/>
      <c r="B2" s="1"/>
      <c r="C2" s="1" t="s">
        <v>90</v>
      </c>
      <c r="D2" s="1"/>
      <c r="E2" s="1"/>
      <c r="F2" s="1"/>
      <c r="G2" s="1"/>
      <c r="H2" s="1"/>
      <c r="I2" s="1"/>
      <c r="J2" s="1"/>
    </row>
    <row r="3" spans="1:10" ht="15.75" customHeight="1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.75" customHeight="1">
      <c r="A4" s="1"/>
      <c r="B4" s="1"/>
      <c r="C4" s="3" t="s">
        <v>1</v>
      </c>
      <c r="D4" s="1"/>
      <c r="E4" s="1"/>
      <c r="F4" s="1"/>
      <c r="G4" s="1"/>
      <c r="H4" s="1"/>
      <c r="I4" s="1"/>
      <c r="J4" s="1"/>
    </row>
    <row r="5" spans="1:10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.75" customHeight="1">
      <c r="A6" s="1"/>
      <c r="B6" s="4"/>
      <c r="C6" s="5"/>
      <c r="D6" s="6"/>
      <c r="E6" s="7"/>
      <c r="F6" s="1"/>
      <c r="G6" s="1"/>
      <c r="H6" s="1"/>
      <c r="I6" s="1"/>
      <c r="J6" s="1"/>
    </row>
    <row r="7" spans="1:10" ht="15.75" customHeight="1">
      <c r="A7" s="1"/>
      <c r="B7" s="8"/>
      <c r="C7" s="9" t="s">
        <v>164</v>
      </c>
      <c r="D7" s="125">
        <v>1.5</v>
      </c>
      <c r="E7" s="10"/>
      <c r="F7" s="1"/>
      <c r="G7" s="1"/>
      <c r="H7" s="1"/>
      <c r="I7" s="1"/>
      <c r="J7" s="1"/>
    </row>
    <row r="8" spans="1:10" ht="15.75" customHeight="1">
      <c r="A8" s="1"/>
      <c r="B8" s="8"/>
      <c r="C8" s="9" t="s">
        <v>78</v>
      </c>
      <c r="D8" s="76">
        <v>0.11</v>
      </c>
      <c r="E8" s="10"/>
      <c r="F8" s="1"/>
      <c r="G8" s="1"/>
      <c r="H8" s="1"/>
      <c r="I8" s="1"/>
      <c r="J8" s="1"/>
    </row>
    <row r="9" spans="1:10" ht="15.75" customHeight="1">
      <c r="A9" s="1"/>
      <c r="B9" s="8"/>
      <c r="C9" s="9" t="s">
        <v>91</v>
      </c>
      <c r="D9" s="76">
        <v>7.0000000000000007E-2</v>
      </c>
      <c r="E9" s="10"/>
      <c r="F9" s="1"/>
      <c r="G9" s="1"/>
      <c r="H9" s="1"/>
      <c r="I9" s="1"/>
      <c r="J9" s="1"/>
    </row>
    <row r="10" spans="1:10" ht="15.75" customHeight="1">
      <c r="A10" s="1"/>
      <c r="B10" s="8"/>
      <c r="C10" s="9" t="s">
        <v>86</v>
      </c>
      <c r="D10" s="76">
        <v>0.35</v>
      </c>
      <c r="E10" s="10"/>
      <c r="F10" s="1"/>
      <c r="G10" s="1"/>
      <c r="H10" s="1"/>
      <c r="I10" s="1"/>
      <c r="J10" s="1"/>
    </row>
    <row r="11" spans="1:10" ht="15.75" customHeight="1">
      <c r="A11" s="1"/>
      <c r="B11" s="106" t="s">
        <v>139</v>
      </c>
      <c r="C11" s="9" t="s">
        <v>109</v>
      </c>
      <c r="D11" s="127">
        <v>2</v>
      </c>
      <c r="E11" s="10"/>
      <c r="F11" s="1"/>
      <c r="G11" s="1"/>
      <c r="H11" s="1"/>
      <c r="I11" s="1"/>
      <c r="J11" s="1"/>
    </row>
    <row r="12" spans="1:10" ht="15.75" customHeight="1">
      <c r="A12" s="1"/>
      <c r="B12" s="8"/>
      <c r="C12" s="9" t="s">
        <v>109</v>
      </c>
      <c r="D12" s="127">
        <v>1</v>
      </c>
      <c r="E12" s="10"/>
      <c r="F12" s="1"/>
      <c r="G12" s="1"/>
      <c r="H12" s="1"/>
      <c r="I12" s="1"/>
      <c r="J12" s="1"/>
    </row>
    <row r="13" spans="1:10" ht="15.75" customHeight="1">
      <c r="A13" s="1"/>
      <c r="B13" s="8"/>
      <c r="C13" s="9" t="s">
        <v>109</v>
      </c>
      <c r="D13" s="127">
        <v>0</v>
      </c>
      <c r="E13" s="10"/>
      <c r="F13" s="1"/>
      <c r="G13" s="1"/>
      <c r="H13" s="1"/>
      <c r="I13" s="1"/>
      <c r="J13" s="1"/>
    </row>
    <row r="14" spans="1:10" ht="15.75" customHeight="1" thickBot="1">
      <c r="A14" s="1"/>
      <c r="B14" s="11"/>
      <c r="C14" s="12"/>
      <c r="D14" s="13"/>
      <c r="E14" s="14"/>
      <c r="F14" s="1"/>
      <c r="G14" s="1"/>
      <c r="H14" s="1"/>
      <c r="I14" s="1"/>
      <c r="J14" s="1"/>
    </row>
    <row r="15" spans="1:10" ht="15.75" customHeight="1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15.75" customHeight="1">
      <c r="A16" s="1"/>
      <c r="B16" s="1"/>
      <c r="C16" s="3" t="s">
        <v>2</v>
      </c>
      <c r="D16" s="1"/>
      <c r="E16" s="1"/>
      <c r="F16" s="1"/>
      <c r="G16" s="1"/>
      <c r="H16" s="1"/>
      <c r="I16" s="1"/>
      <c r="J16" s="1"/>
    </row>
    <row r="17" spans="1:10" ht="15.75" customHeight="1" thickBot="1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5.75" customHeight="1">
      <c r="A18" s="1"/>
      <c r="B18" s="15"/>
      <c r="C18" s="16"/>
      <c r="D18" s="16"/>
      <c r="E18" s="17"/>
      <c r="F18" s="35"/>
      <c r="G18" s="35"/>
      <c r="H18" s="35"/>
      <c r="I18" s="35"/>
      <c r="J18" s="47"/>
    </row>
    <row r="19" spans="1:10" ht="15.75" customHeight="1">
      <c r="A19" s="1"/>
      <c r="B19" s="88" t="s">
        <v>137</v>
      </c>
      <c r="C19" s="22" t="s">
        <v>162</v>
      </c>
      <c r="D19" s="55">
        <f>((D8-(D7/(1+D7))*(D9)*(1-D10))/(1/(1+D7)))</f>
        <v>0.20674999999999999</v>
      </c>
      <c r="E19" s="43"/>
      <c r="F19" s="42"/>
      <c r="G19" s="36"/>
      <c r="H19" s="42"/>
      <c r="I19" s="35"/>
      <c r="J19" s="47"/>
    </row>
    <row r="20" spans="1:10" ht="15.75" customHeight="1">
      <c r="A20" s="1"/>
      <c r="B20" s="88"/>
      <c r="C20" s="22"/>
      <c r="D20" s="54"/>
      <c r="E20" s="43"/>
      <c r="F20" s="42"/>
      <c r="G20" s="36"/>
      <c r="H20" s="42"/>
      <c r="I20" s="35"/>
      <c r="J20" s="47"/>
    </row>
    <row r="21" spans="1:10" ht="15.75" customHeight="1">
      <c r="A21" s="1"/>
      <c r="B21" s="88" t="s">
        <v>138</v>
      </c>
      <c r="C21" s="22" t="s">
        <v>163</v>
      </c>
      <c r="D21" s="124">
        <f>(D19+(D9*D7*(1-D10)))/((D7*(1-D10))+1)</f>
        <v>0.13924050632911392</v>
      </c>
      <c r="E21" s="43"/>
      <c r="F21" s="42"/>
      <c r="G21" s="36"/>
      <c r="H21" s="42"/>
      <c r="I21" s="35"/>
      <c r="J21" s="47"/>
    </row>
    <row r="22" spans="1:10" ht="15.75" customHeight="1">
      <c r="A22" s="1"/>
      <c r="B22" s="88"/>
      <c r="C22" s="22"/>
      <c r="D22" s="50"/>
      <c r="E22" s="43"/>
      <c r="F22" s="42"/>
      <c r="G22" s="36"/>
      <c r="H22" s="42"/>
      <c r="I22" s="35"/>
      <c r="J22" s="47"/>
    </row>
    <row r="23" spans="1:10" ht="15.75" customHeight="1">
      <c r="A23" s="1"/>
      <c r="B23" s="88" t="s">
        <v>139</v>
      </c>
      <c r="C23" s="22" t="s">
        <v>165</v>
      </c>
      <c r="D23" s="55">
        <f>D21+((D21-D9)*D11*(1-D10))</f>
        <v>0.22925316455696199</v>
      </c>
      <c r="E23" s="43"/>
      <c r="F23" s="42"/>
      <c r="G23" s="36"/>
      <c r="H23" s="42"/>
      <c r="I23" s="35"/>
      <c r="J23" s="47"/>
    </row>
    <row r="24" spans="1:10" ht="15.75" customHeight="1">
      <c r="A24" s="1"/>
      <c r="B24" s="88"/>
      <c r="C24" s="22" t="s">
        <v>166</v>
      </c>
      <c r="D24" s="55">
        <f>D21+((D21-D9)*D12*(1-D10))</f>
        <v>0.18424683544303797</v>
      </c>
      <c r="E24" s="43"/>
      <c r="F24" s="42"/>
      <c r="G24" s="36"/>
      <c r="H24" s="42"/>
      <c r="I24" s="35"/>
      <c r="J24" s="47"/>
    </row>
    <row r="25" spans="1:10" ht="15.75" customHeight="1">
      <c r="A25" s="1"/>
      <c r="B25" s="18"/>
      <c r="C25" s="22" t="s">
        <v>167</v>
      </c>
      <c r="D25" s="55">
        <f>D21+((D21-D9)*D13*(1-D10))</f>
        <v>0.13924050632911392</v>
      </c>
      <c r="E25" s="43"/>
      <c r="F25" s="42"/>
      <c r="G25" s="36"/>
      <c r="H25" s="42"/>
      <c r="I25" s="35"/>
      <c r="J25" s="47"/>
    </row>
    <row r="26" spans="1:10" ht="15.75" customHeight="1" thickBot="1">
      <c r="A26" s="1"/>
      <c r="B26" s="20"/>
      <c r="C26" s="23"/>
      <c r="D26" s="48"/>
      <c r="E26" s="49"/>
      <c r="F26" s="37"/>
      <c r="G26" s="36"/>
      <c r="H26" s="37"/>
      <c r="I26" s="35"/>
      <c r="J26" s="47"/>
    </row>
    <row r="27" spans="1:10" ht="15.75" customHeight="1">
      <c r="A27" s="1"/>
      <c r="B27" s="1"/>
      <c r="C27" s="47"/>
      <c r="D27" s="47"/>
      <c r="E27" s="47"/>
      <c r="F27" s="47"/>
      <c r="G27" s="47"/>
      <c r="H27" s="47"/>
      <c r="I27" s="1"/>
      <c r="J27" s="1"/>
    </row>
    <row r="28" spans="1:10" ht="15.75" customHeight="1">
      <c r="A28" s="1"/>
      <c r="B28" s="1"/>
      <c r="C28" s="47"/>
      <c r="D28" s="47"/>
      <c r="E28" s="47"/>
      <c r="F28" s="47"/>
      <c r="G28" s="47"/>
      <c r="H28" s="47"/>
      <c r="I28" s="1"/>
      <c r="J28" s="1"/>
    </row>
    <row r="29" spans="1:10" ht="15.75" customHeight="1">
      <c r="A29" s="1"/>
      <c r="B29" s="1"/>
      <c r="C29" s="47"/>
      <c r="D29" s="47"/>
      <c r="E29" s="47"/>
      <c r="F29" s="47"/>
      <c r="G29" s="47"/>
      <c r="H29" s="47"/>
      <c r="I29" s="1"/>
      <c r="J29" s="1"/>
    </row>
    <row r="30" spans="1:10" ht="15.75" customHeight="1">
      <c r="A30" s="1"/>
      <c r="B30" s="1"/>
      <c r="C30" s="47"/>
      <c r="D30" s="47"/>
      <c r="E30" s="47"/>
      <c r="F30" s="47"/>
      <c r="G30" s="47"/>
      <c r="H30" s="47"/>
      <c r="I30" s="1"/>
      <c r="J30" s="1"/>
    </row>
    <row r="31" spans="1:10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J52"/>
  <sheetViews>
    <sheetView workbookViewId="0"/>
  </sheetViews>
  <sheetFormatPr defaultRowHeight="12.75"/>
  <cols>
    <col min="2" max="2" width="3.140625" customWidth="1"/>
    <col min="3" max="3" width="19.28515625" bestFit="1" customWidth="1"/>
    <col min="4" max="4" width="18.140625" customWidth="1"/>
    <col min="5" max="5" width="3" customWidth="1"/>
    <col min="6" max="7" width="18.140625" customWidth="1"/>
    <col min="8" max="8" width="3.140625" customWidth="1"/>
    <col min="9" max="9" width="15.42578125" customWidth="1"/>
  </cols>
  <sheetData>
    <row r="1" spans="1:10" ht="18">
      <c r="A1" s="1"/>
      <c r="B1" s="1"/>
      <c r="C1" s="139" t="s">
        <v>313</v>
      </c>
      <c r="D1" s="1"/>
      <c r="E1" s="1"/>
      <c r="F1" s="1"/>
      <c r="G1" s="1"/>
      <c r="H1" s="1"/>
      <c r="I1" s="1"/>
      <c r="J1" s="1"/>
    </row>
    <row r="2" spans="1:10" ht="15.75" customHeight="1">
      <c r="A2" s="1"/>
      <c r="B2" s="1"/>
      <c r="C2" s="1" t="s">
        <v>92</v>
      </c>
      <c r="D2" s="1"/>
      <c r="E2" s="1"/>
      <c r="F2" s="1"/>
      <c r="G2" s="1"/>
      <c r="H2" s="1"/>
      <c r="I2" s="1"/>
      <c r="J2" s="1"/>
    </row>
    <row r="3" spans="1:10" ht="15.75" customHeight="1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.75" customHeight="1">
      <c r="A4" s="1"/>
      <c r="B4" s="1"/>
      <c r="C4" s="3" t="s">
        <v>1</v>
      </c>
      <c r="D4" s="1"/>
      <c r="E4" s="1"/>
      <c r="F4" s="1"/>
      <c r="G4" s="1"/>
      <c r="H4" s="1"/>
      <c r="I4" s="1"/>
      <c r="J4" s="1"/>
    </row>
    <row r="5" spans="1:10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.75" customHeight="1">
      <c r="A6" s="1"/>
      <c r="B6" s="4"/>
      <c r="C6" s="5"/>
      <c r="D6" s="6"/>
      <c r="E6" s="7"/>
      <c r="F6" s="1"/>
      <c r="G6" s="1"/>
      <c r="H6" s="1"/>
      <c r="I6" s="1"/>
      <c r="J6" s="1"/>
    </row>
    <row r="7" spans="1:10" ht="15.75" customHeight="1">
      <c r="A7" s="1"/>
      <c r="B7" s="8"/>
      <c r="C7" s="9" t="s">
        <v>6</v>
      </c>
      <c r="D7" s="76">
        <v>0.08</v>
      </c>
      <c r="E7" s="10"/>
      <c r="F7" s="1"/>
      <c r="G7" s="1"/>
      <c r="H7" s="1"/>
      <c r="I7" s="1"/>
      <c r="J7" s="1"/>
    </row>
    <row r="8" spans="1:10" ht="15.75" customHeight="1">
      <c r="A8" s="1"/>
      <c r="B8" s="8"/>
      <c r="C8" s="9" t="s">
        <v>78</v>
      </c>
      <c r="D8" s="76">
        <v>0.11</v>
      </c>
      <c r="E8" s="10"/>
      <c r="F8" s="1"/>
      <c r="G8" s="1"/>
      <c r="H8" s="1"/>
      <c r="I8" s="1"/>
      <c r="J8" s="1"/>
    </row>
    <row r="9" spans="1:10" ht="15.75" customHeight="1">
      <c r="A9" s="1"/>
      <c r="B9" s="8"/>
      <c r="C9" s="9" t="s">
        <v>86</v>
      </c>
      <c r="D9" s="76">
        <v>0.35</v>
      </c>
      <c r="E9" s="10"/>
      <c r="F9" s="1"/>
      <c r="G9" s="1"/>
      <c r="H9" s="1"/>
      <c r="I9" s="1"/>
      <c r="J9" s="1"/>
    </row>
    <row r="10" spans="1:10" ht="15.75" customHeight="1">
      <c r="A10" s="1"/>
      <c r="B10" s="106" t="s">
        <v>138</v>
      </c>
      <c r="C10" s="9" t="s">
        <v>93</v>
      </c>
      <c r="D10" s="76">
        <v>0.25</v>
      </c>
      <c r="E10" s="10"/>
      <c r="F10" s="1"/>
      <c r="G10" s="1"/>
      <c r="H10" s="1"/>
      <c r="I10" s="1"/>
      <c r="J10" s="1"/>
    </row>
    <row r="11" spans="1:10" ht="15.75" customHeight="1">
      <c r="A11" s="1"/>
      <c r="B11" s="106" t="s">
        <v>139</v>
      </c>
      <c r="C11" s="9" t="s">
        <v>93</v>
      </c>
      <c r="D11" s="76">
        <v>0.5</v>
      </c>
      <c r="E11" s="10"/>
      <c r="F11" s="1"/>
      <c r="G11" s="1"/>
      <c r="H11" s="1"/>
      <c r="I11" s="1"/>
      <c r="J11" s="1"/>
    </row>
    <row r="12" spans="1:10" ht="15.75" customHeight="1" thickBot="1">
      <c r="A12" s="1"/>
      <c r="B12" s="128"/>
      <c r="C12" s="12"/>
      <c r="D12" s="13"/>
      <c r="E12" s="14"/>
      <c r="F12" s="1"/>
      <c r="G12" s="1"/>
      <c r="H12" s="1"/>
      <c r="I12" s="1"/>
      <c r="J12" s="1"/>
    </row>
    <row r="13" spans="1:10" ht="15.75" customHeight="1">
      <c r="A13" s="1"/>
      <c r="B13" s="3"/>
      <c r="C13" s="1"/>
      <c r="D13" s="1"/>
      <c r="E13" s="1"/>
      <c r="F13" s="1"/>
      <c r="G13" s="1"/>
      <c r="H13" s="1"/>
      <c r="I13" s="1"/>
      <c r="J13" s="1"/>
    </row>
    <row r="14" spans="1:10" ht="15.75" customHeight="1">
      <c r="A14" s="1"/>
      <c r="B14" s="3"/>
      <c r="C14" s="3" t="s">
        <v>2</v>
      </c>
      <c r="D14" s="1"/>
      <c r="E14" s="1"/>
      <c r="F14" s="1"/>
      <c r="G14" s="1"/>
      <c r="H14" s="1"/>
      <c r="I14" s="1"/>
      <c r="J14" s="1"/>
    </row>
    <row r="15" spans="1:10" ht="15.75" customHeight="1" thickBot="1">
      <c r="A15" s="1"/>
      <c r="B15" s="3"/>
      <c r="C15" s="1"/>
      <c r="D15" s="1"/>
      <c r="E15" s="1"/>
      <c r="F15" s="1"/>
      <c r="G15" s="1"/>
      <c r="H15" s="1"/>
      <c r="I15" s="1"/>
      <c r="J15" s="1"/>
    </row>
    <row r="16" spans="1:10" ht="15.75" customHeight="1">
      <c r="A16" s="1"/>
      <c r="B16" s="87"/>
      <c r="C16" s="16"/>
      <c r="D16" s="16"/>
      <c r="E16" s="17"/>
      <c r="F16" s="35"/>
      <c r="G16" s="35"/>
      <c r="H16" s="35"/>
      <c r="I16" s="35"/>
      <c r="J16" s="47"/>
    </row>
    <row r="17" spans="1:10" ht="15.75" customHeight="1">
      <c r="A17" s="1"/>
      <c r="B17" s="88" t="s">
        <v>137</v>
      </c>
      <c r="C17" s="22" t="s">
        <v>94</v>
      </c>
      <c r="D17" s="55">
        <f>D8</f>
        <v>0.11</v>
      </c>
      <c r="E17" s="43"/>
      <c r="F17" s="42"/>
      <c r="G17" s="36"/>
      <c r="H17" s="42"/>
      <c r="I17" s="35"/>
      <c r="J17" s="47"/>
    </row>
    <row r="18" spans="1:10" ht="15.75" customHeight="1">
      <c r="A18" s="1"/>
      <c r="B18" s="88" t="s">
        <v>138</v>
      </c>
      <c r="C18" s="22" t="s">
        <v>162</v>
      </c>
      <c r="D18" s="55">
        <f>$D$8+(($D$8-$D$7)*(D10/(1-D10))*(1-$D$9))</f>
        <v>0.11649999999999999</v>
      </c>
      <c r="E18" s="43"/>
      <c r="F18" s="42"/>
      <c r="G18" s="36"/>
      <c r="H18" s="42"/>
      <c r="I18" s="35"/>
      <c r="J18" s="47"/>
    </row>
    <row r="19" spans="1:10" ht="15.75" customHeight="1">
      <c r="A19" s="1"/>
      <c r="B19" s="88" t="s">
        <v>139</v>
      </c>
      <c r="C19" s="22" t="s">
        <v>162</v>
      </c>
      <c r="D19" s="55">
        <f>$D$8+(($D$8-$D$7)*(D11/(1-D11))*(1-$D$9))</f>
        <v>0.1295</v>
      </c>
      <c r="E19" s="43"/>
      <c r="F19" s="42"/>
      <c r="G19" s="36"/>
      <c r="H19" s="42"/>
      <c r="I19" s="35"/>
      <c r="J19" s="47"/>
    </row>
    <row r="20" spans="1:10" ht="15.75" customHeight="1">
      <c r="A20" s="1"/>
      <c r="B20" s="88" t="s">
        <v>140</v>
      </c>
      <c r="C20" s="22" t="s">
        <v>95</v>
      </c>
      <c r="D20" s="55">
        <f>((1-D10)*(D18))+((D10)*($D$7)*(1-$D$9))</f>
        <v>0.10037499999999999</v>
      </c>
      <c r="E20" s="43"/>
      <c r="F20" s="42"/>
      <c r="G20" s="36"/>
      <c r="H20" s="42"/>
      <c r="I20" s="35"/>
      <c r="J20" s="47"/>
    </row>
    <row r="21" spans="1:10" ht="15.75" customHeight="1">
      <c r="A21" s="1"/>
      <c r="B21" s="18"/>
      <c r="C21" s="22" t="s">
        <v>96</v>
      </c>
      <c r="D21" s="55">
        <f>((1-D11)*(D19))+((D11)*($D$7)*(1-$D$9))</f>
        <v>9.0749999999999997E-2</v>
      </c>
      <c r="E21" s="43"/>
      <c r="F21" s="42"/>
      <c r="G21" s="36"/>
      <c r="H21" s="42"/>
      <c r="I21" s="35"/>
      <c r="J21" s="47"/>
    </row>
    <row r="22" spans="1:10" ht="15.75" customHeight="1" thickBot="1">
      <c r="A22" s="1"/>
      <c r="B22" s="20"/>
      <c r="C22" s="23"/>
      <c r="D22" s="48"/>
      <c r="E22" s="49"/>
      <c r="F22" s="37"/>
      <c r="G22" s="36"/>
      <c r="H22" s="37"/>
      <c r="I22" s="35"/>
      <c r="J22" s="47"/>
    </row>
    <row r="23" spans="1:10" ht="15.75" customHeight="1">
      <c r="A23" s="1"/>
      <c r="B23" s="1"/>
      <c r="C23" s="47"/>
      <c r="D23" s="47"/>
      <c r="E23" s="47"/>
      <c r="F23" s="47"/>
      <c r="G23" s="47"/>
      <c r="H23" s="47"/>
      <c r="I23" s="1"/>
      <c r="J23" s="1"/>
    </row>
    <row r="24" spans="1:10" ht="15.75" customHeight="1">
      <c r="A24" s="1"/>
      <c r="B24" s="1"/>
      <c r="C24" s="47"/>
      <c r="D24" s="47"/>
      <c r="E24" s="47"/>
      <c r="F24" s="47"/>
      <c r="G24" s="47"/>
      <c r="H24" s="47"/>
      <c r="I24" s="1"/>
      <c r="J24" s="1"/>
    </row>
    <row r="25" spans="1:10" ht="15.75" customHeight="1">
      <c r="A25" s="1"/>
      <c r="B25" s="1"/>
      <c r="C25" s="47"/>
      <c r="D25" s="47"/>
      <c r="E25" s="47"/>
      <c r="F25" s="47"/>
      <c r="G25" s="47"/>
      <c r="H25" s="47"/>
      <c r="I25" s="1"/>
      <c r="J25" s="1"/>
    </row>
    <row r="26" spans="1:10" ht="15.75" customHeight="1">
      <c r="A26" s="1"/>
      <c r="B26" s="1"/>
      <c r="C26" s="47"/>
      <c r="D26" s="47"/>
      <c r="E26" s="47"/>
      <c r="F26" s="47"/>
      <c r="G26" s="47"/>
      <c r="H26" s="47"/>
      <c r="I26" s="1"/>
      <c r="J26" s="1"/>
    </row>
    <row r="27" spans="1:10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J49"/>
  <sheetViews>
    <sheetView workbookViewId="0"/>
  </sheetViews>
  <sheetFormatPr defaultRowHeight="12.75"/>
  <cols>
    <col min="2" max="2" width="3.140625" customWidth="1"/>
    <col min="3" max="3" width="19.28515625" bestFit="1" customWidth="1"/>
    <col min="4" max="4" width="18.140625" customWidth="1"/>
    <col min="5" max="5" width="3" customWidth="1"/>
    <col min="6" max="7" width="18.140625" customWidth="1"/>
    <col min="8" max="8" width="3.140625" customWidth="1"/>
    <col min="9" max="9" width="15.42578125" customWidth="1"/>
  </cols>
  <sheetData>
    <row r="1" spans="1:10" ht="18">
      <c r="A1" s="1"/>
      <c r="B1" s="1"/>
      <c r="C1" s="139" t="s">
        <v>313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97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3" t="s">
        <v>1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.75" customHeight="1">
      <c r="A6" s="1"/>
      <c r="B6" s="4"/>
      <c r="C6" s="5"/>
      <c r="D6" s="6"/>
      <c r="E6" s="7"/>
      <c r="F6" s="1"/>
      <c r="G6" s="1"/>
      <c r="H6" s="1"/>
      <c r="I6" s="1"/>
      <c r="J6" s="1"/>
    </row>
    <row r="7" spans="1:10" ht="15">
      <c r="A7" s="1"/>
      <c r="B7" s="8"/>
      <c r="C7" s="9" t="s">
        <v>4</v>
      </c>
      <c r="D7" s="75">
        <v>185000</v>
      </c>
      <c r="E7" s="10"/>
      <c r="F7" s="1"/>
      <c r="G7" s="1"/>
      <c r="H7" s="1"/>
      <c r="I7" s="1"/>
      <c r="J7" s="1"/>
    </row>
    <row r="8" spans="1:10" ht="15">
      <c r="A8" s="1"/>
      <c r="B8" s="8"/>
      <c r="C8" s="9" t="s">
        <v>6</v>
      </c>
      <c r="D8" s="76">
        <v>0.09</v>
      </c>
      <c r="E8" s="10"/>
      <c r="F8" s="1"/>
      <c r="G8" s="1"/>
      <c r="H8" s="1"/>
      <c r="I8" s="1"/>
      <c r="J8" s="1"/>
    </row>
    <row r="9" spans="1:10" ht="15">
      <c r="A9" s="1"/>
      <c r="B9" s="8"/>
      <c r="C9" s="9" t="s">
        <v>98</v>
      </c>
      <c r="D9" s="76">
        <v>0.16</v>
      </c>
      <c r="E9" s="10"/>
      <c r="F9" s="1"/>
      <c r="G9" s="1"/>
      <c r="H9" s="1"/>
      <c r="I9" s="1"/>
      <c r="J9" s="1"/>
    </row>
    <row r="10" spans="1:10" ht="15">
      <c r="A10" s="1"/>
      <c r="B10" s="8"/>
      <c r="C10" s="9" t="s">
        <v>86</v>
      </c>
      <c r="D10" s="76">
        <v>0.35</v>
      </c>
      <c r="E10" s="10"/>
      <c r="F10" s="1"/>
      <c r="G10" s="1"/>
      <c r="H10" s="1"/>
      <c r="I10" s="1"/>
      <c r="J10" s="1"/>
    </row>
    <row r="11" spans="1:10" ht="15">
      <c r="A11" s="1"/>
      <c r="B11" s="8"/>
      <c r="C11" s="9" t="s">
        <v>169</v>
      </c>
      <c r="D11" s="75">
        <v>135000</v>
      </c>
      <c r="E11" s="10"/>
      <c r="F11" s="1"/>
      <c r="G11" s="1"/>
      <c r="H11" s="1"/>
      <c r="I11" s="1"/>
      <c r="J11" s="1"/>
    </row>
    <row r="12" spans="1:10" ht="15.75" thickBot="1">
      <c r="A12" s="1"/>
      <c r="B12" s="11"/>
      <c r="C12" s="12"/>
      <c r="D12" s="13"/>
      <c r="E12" s="14"/>
      <c r="F12" s="1"/>
      <c r="G12" s="1"/>
      <c r="H12" s="1"/>
      <c r="I12" s="1"/>
      <c r="J12" s="1"/>
    </row>
    <row r="13" spans="1:10" ht="15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5">
      <c r="A14" s="1"/>
      <c r="B14" s="1"/>
      <c r="C14" s="3" t="s">
        <v>2</v>
      </c>
      <c r="D14" s="1"/>
      <c r="E14" s="1"/>
      <c r="F14" s="1"/>
      <c r="G14" s="1"/>
      <c r="H14" s="1"/>
      <c r="I14" s="1"/>
      <c r="J14" s="1"/>
    </row>
    <row r="15" spans="1:10" ht="15.75" thickBot="1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15">
      <c r="A16" s="1"/>
      <c r="B16" s="15"/>
      <c r="C16" s="16"/>
      <c r="D16" s="16"/>
      <c r="E16" s="17"/>
      <c r="F16" s="35"/>
      <c r="G16" s="35"/>
      <c r="H16" s="35"/>
      <c r="I16" s="35"/>
      <c r="J16" s="47"/>
    </row>
    <row r="17" spans="1:10" ht="19.5">
      <c r="A17" s="1"/>
      <c r="B17" s="18"/>
      <c r="C17" s="22" t="s">
        <v>168</v>
      </c>
      <c r="D17" s="56">
        <f>D7*(1-D10)/D9</f>
        <v>751562.5</v>
      </c>
      <c r="E17" s="43"/>
      <c r="F17" s="42"/>
      <c r="G17" s="36"/>
      <c r="H17" s="42"/>
      <c r="I17" s="35"/>
      <c r="J17" s="47"/>
    </row>
    <row r="18" spans="1:10" ht="15.75">
      <c r="A18" s="1"/>
      <c r="B18" s="18"/>
      <c r="C18" s="22" t="s">
        <v>58</v>
      </c>
      <c r="D18" s="56">
        <f>D17+(D10*D11)</f>
        <v>798812.5</v>
      </c>
      <c r="E18" s="43"/>
      <c r="F18" s="42"/>
      <c r="G18" s="36"/>
      <c r="H18" s="42"/>
      <c r="I18" s="35"/>
      <c r="J18" s="47"/>
    </row>
    <row r="19" spans="1:10" ht="15.75" thickBot="1">
      <c r="A19" s="1"/>
      <c r="B19" s="20"/>
      <c r="C19" s="23"/>
      <c r="D19" s="48"/>
      <c r="E19" s="49"/>
      <c r="F19" s="37"/>
      <c r="G19" s="36"/>
      <c r="H19" s="37"/>
      <c r="I19" s="35"/>
      <c r="J19" s="47"/>
    </row>
    <row r="20" spans="1:10" ht="15">
      <c r="A20" s="1"/>
      <c r="B20" s="1"/>
      <c r="C20" s="47"/>
      <c r="D20" s="47"/>
      <c r="E20" s="47"/>
      <c r="F20" s="47"/>
      <c r="G20" s="47"/>
      <c r="H20" s="47"/>
      <c r="I20" s="1"/>
      <c r="J20" s="1"/>
    </row>
    <row r="21" spans="1:10" ht="15">
      <c r="A21" s="1"/>
      <c r="B21" s="1"/>
      <c r="C21" s="47"/>
      <c r="D21" s="47"/>
      <c r="E21" s="47"/>
      <c r="F21" s="47"/>
      <c r="G21" s="47"/>
      <c r="H21" s="47"/>
      <c r="I21" s="1"/>
      <c r="J21" s="1"/>
    </row>
    <row r="22" spans="1:10" ht="15">
      <c r="A22" s="1"/>
      <c r="B22" s="1"/>
      <c r="C22" s="47"/>
      <c r="D22" s="47"/>
      <c r="E22" s="47"/>
      <c r="F22" s="47"/>
      <c r="G22" s="47"/>
      <c r="H22" s="47"/>
      <c r="I22" s="1"/>
      <c r="J22" s="1"/>
    </row>
    <row r="23" spans="1:10" ht="15">
      <c r="A23" s="1"/>
      <c r="B23" s="1"/>
      <c r="C23" s="47"/>
      <c r="D23" s="47"/>
      <c r="E23" s="47"/>
      <c r="F23" s="47"/>
      <c r="G23" s="47"/>
      <c r="H23" s="47"/>
      <c r="I23" s="1"/>
      <c r="J23" s="1"/>
    </row>
    <row r="24" spans="1:10" ht="1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J57"/>
  <sheetViews>
    <sheetView workbookViewId="0"/>
  </sheetViews>
  <sheetFormatPr defaultRowHeight="12.75"/>
  <cols>
    <col min="2" max="2" width="3.140625" customWidth="1"/>
    <col min="3" max="3" width="23.28515625" customWidth="1"/>
    <col min="4" max="4" width="21.7109375" customWidth="1"/>
    <col min="5" max="5" width="3.140625" customWidth="1"/>
    <col min="6" max="7" width="18.140625" customWidth="1"/>
    <col min="8" max="8" width="3.140625" customWidth="1"/>
    <col min="9" max="9" width="15.42578125" customWidth="1"/>
  </cols>
  <sheetData>
    <row r="1" spans="1:10" ht="18">
      <c r="A1" s="1"/>
      <c r="B1" s="1"/>
      <c r="C1" s="139" t="s">
        <v>313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100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3" t="s">
        <v>1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.75" customHeight="1">
      <c r="A6" s="1"/>
      <c r="B6" s="4"/>
      <c r="C6" s="5"/>
      <c r="D6" s="6"/>
      <c r="E6" s="7"/>
      <c r="F6" s="1"/>
      <c r="G6" s="1"/>
      <c r="H6" s="1"/>
      <c r="I6" s="1"/>
      <c r="J6" s="1"/>
    </row>
    <row r="7" spans="1:10" ht="15">
      <c r="A7" s="1"/>
      <c r="B7" s="8"/>
      <c r="C7" s="9" t="s">
        <v>4</v>
      </c>
      <c r="D7" s="82">
        <f ca="1">'#14'!D7</f>
        <v>185000</v>
      </c>
      <c r="E7" s="10"/>
      <c r="F7" s="1"/>
      <c r="G7" s="1"/>
      <c r="H7" s="1"/>
      <c r="I7" s="1"/>
      <c r="J7" s="1"/>
    </row>
    <row r="8" spans="1:10" ht="15">
      <c r="A8" s="1"/>
      <c r="B8" s="8"/>
      <c r="C8" s="9" t="s">
        <v>86</v>
      </c>
      <c r="D8" s="83">
        <f ca="1">'#14'!D10</f>
        <v>0.35</v>
      </c>
      <c r="E8" s="10"/>
      <c r="F8" s="1"/>
      <c r="G8" s="1"/>
      <c r="H8" s="1"/>
      <c r="I8" s="1"/>
      <c r="J8" s="1"/>
    </row>
    <row r="9" spans="1:10" ht="15">
      <c r="A9" s="1"/>
      <c r="B9" s="8"/>
      <c r="C9" s="9" t="s">
        <v>6</v>
      </c>
      <c r="D9" s="83">
        <f ca="1">'#14'!D8</f>
        <v>0.09</v>
      </c>
      <c r="E9" s="10"/>
      <c r="F9" s="1"/>
      <c r="G9" s="1"/>
      <c r="H9" s="1"/>
      <c r="I9" s="1"/>
      <c r="J9" s="1"/>
    </row>
    <row r="10" spans="1:10" ht="15">
      <c r="A10" s="1"/>
      <c r="B10" s="8"/>
      <c r="C10" s="9" t="s">
        <v>98</v>
      </c>
      <c r="D10" s="83">
        <f ca="1">'#14'!D9</f>
        <v>0.16</v>
      </c>
      <c r="E10" s="10"/>
      <c r="F10" s="1"/>
      <c r="G10" s="1"/>
      <c r="H10" s="1"/>
      <c r="I10" s="1"/>
      <c r="J10" s="1"/>
    </row>
    <row r="11" spans="1:10" ht="15">
      <c r="A11" s="1"/>
      <c r="B11" s="8"/>
      <c r="C11" s="9" t="s">
        <v>99</v>
      </c>
      <c r="D11" s="82">
        <f ca="1">'#14'!D11</f>
        <v>135000</v>
      </c>
      <c r="E11" s="10"/>
      <c r="F11" s="1"/>
      <c r="G11" s="1"/>
      <c r="H11" s="1"/>
      <c r="I11" s="1"/>
      <c r="J11" s="1"/>
    </row>
    <row r="12" spans="1:10" ht="19.5">
      <c r="A12" s="1"/>
      <c r="B12" s="8"/>
      <c r="C12" s="9" t="s">
        <v>168</v>
      </c>
      <c r="D12" s="82">
        <f ca="1">'#14'!D17</f>
        <v>751562.5</v>
      </c>
      <c r="E12" s="10"/>
      <c r="F12" s="1"/>
      <c r="G12" s="1"/>
      <c r="H12" s="1"/>
      <c r="I12" s="1"/>
      <c r="J12" s="1"/>
    </row>
    <row r="13" spans="1:10" ht="15">
      <c r="A13" s="1"/>
      <c r="B13" s="8"/>
      <c r="C13" s="9" t="s">
        <v>58</v>
      </c>
      <c r="D13" s="82">
        <f ca="1">'#14'!D18</f>
        <v>798812.5</v>
      </c>
      <c r="E13" s="10"/>
      <c r="F13" s="1"/>
      <c r="G13" s="1"/>
      <c r="H13" s="1"/>
      <c r="I13" s="1"/>
      <c r="J13" s="1"/>
    </row>
    <row r="14" spans="1:10" ht="15.75" thickBot="1">
      <c r="A14" s="1"/>
      <c r="B14" s="11"/>
      <c r="C14" s="12"/>
      <c r="D14" s="13"/>
      <c r="E14" s="14"/>
      <c r="F14" s="1"/>
      <c r="G14" s="1"/>
      <c r="H14" s="1"/>
      <c r="I14" s="1"/>
      <c r="J14" s="1"/>
    </row>
    <row r="15" spans="1:10" ht="1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15">
      <c r="A16" s="1"/>
      <c r="B16" s="1"/>
      <c r="C16" s="3" t="s">
        <v>2</v>
      </c>
      <c r="D16" s="1"/>
      <c r="E16" s="1"/>
      <c r="F16" s="1"/>
      <c r="G16" s="1"/>
      <c r="H16" s="1"/>
      <c r="I16" s="1"/>
      <c r="J16" s="1"/>
    </row>
    <row r="17" spans="1:10" ht="15.75" thickBot="1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5">
      <c r="A18" s="1"/>
      <c r="B18" s="15"/>
      <c r="C18" s="16"/>
      <c r="D18" s="16"/>
      <c r="E18" s="17"/>
      <c r="F18" s="35"/>
      <c r="G18" s="35"/>
      <c r="H18" s="35"/>
      <c r="I18" s="35"/>
      <c r="J18" s="47"/>
    </row>
    <row r="19" spans="1:10" ht="15">
      <c r="A19" s="1"/>
      <c r="B19" s="18"/>
      <c r="C19" s="29" t="s">
        <v>84</v>
      </c>
      <c r="D19" s="218">
        <f>D13-D11</f>
        <v>663812.5</v>
      </c>
      <c r="E19" s="19"/>
      <c r="F19" s="35"/>
      <c r="G19" s="35"/>
      <c r="H19" s="35"/>
      <c r="I19" s="35"/>
      <c r="J19" s="47"/>
    </row>
    <row r="20" spans="1:10" ht="19.5">
      <c r="A20" s="1"/>
      <c r="B20" s="18"/>
      <c r="C20" s="22" t="s">
        <v>162</v>
      </c>
      <c r="D20" s="124">
        <f>D10+(D10-D9)*(D11/(D13-D11))*(1-D8)</f>
        <v>0.16925336597307222</v>
      </c>
      <c r="E20" s="43"/>
      <c r="F20" s="42"/>
      <c r="G20" s="36"/>
      <c r="H20" s="42"/>
      <c r="I20" s="35"/>
      <c r="J20" s="47"/>
    </row>
    <row r="21" spans="1:10" ht="15.75">
      <c r="A21" s="1"/>
      <c r="B21" s="18"/>
      <c r="C21" s="22" t="s">
        <v>78</v>
      </c>
      <c r="D21" s="124">
        <f>(D20*((D13-D11)/D13))+(D9*(1-D8)*(D11/D13))</f>
        <v>0.15053595180345827</v>
      </c>
      <c r="E21" s="43"/>
      <c r="F21" s="42"/>
      <c r="G21" s="36"/>
      <c r="H21" s="42"/>
      <c r="I21" s="35"/>
      <c r="J21" s="47"/>
    </row>
    <row r="22" spans="1:10" ht="15.75">
      <c r="A22" s="1"/>
      <c r="B22" s="18"/>
      <c r="C22" s="22" t="s">
        <v>101</v>
      </c>
      <c r="D22" s="57"/>
      <c r="E22" s="43"/>
      <c r="F22" s="42"/>
      <c r="G22" s="36"/>
      <c r="H22" s="42"/>
      <c r="I22" s="35"/>
      <c r="J22" s="47"/>
    </row>
    <row r="23" spans="1:10" ht="15.75">
      <c r="A23" s="1"/>
      <c r="B23" s="18"/>
      <c r="C23" s="22" t="s">
        <v>102</v>
      </c>
      <c r="D23" s="57"/>
      <c r="E23" s="43"/>
      <c r="F23" s="42"/>
      <c r="G23" s="36"/>
      <c r="H23" s="42"/>
      <c r="I23" s="35"/>
      <c r="J23" s="47"/>
    </row>
    <row r="24" spans="1:10" ht="15.75">
      <c r="A24" s="1"/>
      <c r="B24" s="18"/>
      <c r="C24" s="22" t="s">
        <v>103</v>
      </c>
      <c r="D24" s="57"/>
      <c r="E24" s="43"/>
      <c r="F24" s="42"/>
      <c r="G24" s="36"/>
      <c r="H24" s="42"/>
      <c r="I24" s="35"/>
      <c r="J24" s="47"/>
    </row>
    <row r="25" spans="1:10" ht="15.75">
      <c r="A25" s="1"/>
      <c r="B25" s="18"/>
      <c r="C25" s="22" t="s">
        <v>104</v>
      </c>
      <c r="D25" s="57"/>
      <c r="E25" s="43"/>
      <c r="F25" s="42"/>
      <c r="G25" s="36"/>
      <c r="H25" s="42"/>
      <c r="I25" s="35"/>
      <c r="J25" s="47"/>
    </row>
    <row r="26" spans="1:10" ht="15.75">
      <c r="A26" s="1"/>
      <c r="B26" s="18"/>
      <c r="C26" s="22" t="s">
        <v>105</v>
      </c>
      <c r="D26" s="57"/>
      <c r="E26" s="43"/>
      <c r="F26" s="42"/>
      <c r="G26" s="36"/>
      <c r="H26" s="42"/>
      <c r="I26" s="35"/>
      <c r="J26" s="47"/>
    </row>
    <row r="27" spans="1:10" ht="15.75" thickBot="1">
      <c r="A27" s="1"/>
      <c r="B27" s="20"/>
      <c r="C27" s="23"/>
      <c r="D27" s="48"/>
      <c r="E27" s="49"/>
      <c r="F27" s="37"/>
      <c r="G27" s="36"/>
      <c r="H27" s="37"/>
      <c r="I27" s="35"/>
      <c r="J27" s="47"/>
    </row>
    <row r="28" spans="1:10" ht="15">
      <c r="A28" s="1"/>
      <c r="B28" s="1"/>
      <c r="C28" s="47"/>
      <c r="D28" s="47"/>
      <c r="E28" s="47"/>
      <c r="F28" s="47"/>
      <c r="G28" s="47"/>
      <c r="H28" s="47"/>
      <c r="I28" s="1"/>
      <c r="J28" s="1"/>
    </row>
    <row r="29" spans="1:10" ht="15">
      <c r="A29" s="1"/>
      <c r="B29" s="1"/>
      <c r="C29" s="47"/>
      <c r="D29" s="47"/>
      <c r="E29" s="47"/>
      <c r="F29" s="47"/>
      <c r="G29" s="47"/>
      <c r="H29" s="47"/>
      <c r="I29" s="1"/>
      <c r="J29" s="1"/>
    </row>
    <row r="30" spans="1:10" ht="15">
      <c r="A30" s="1"/>
      <c r="B30" s="1"/>
      <c r="C30" s="47"/>
      <c r="D30" s="47"/>
      <c r="E30" s="47"/>
      <c r="F30" s="47"/>
      <c r="G30" s="47"/>
      <c r="H30" s="47"/>
      <c r="I30" s="1"/>
      <c r="J30" s="1"/>
    </row>
    <row r="31" spans="1:10" ht="15">
      <c r="A31" s="1"/>
      <c r="B31" s="1"/>
      <c r="C31" s="47"/>
      <c r="D31" s="47"/>
      <c r="E31" s="47"/>
      <c r="F31" s="47"/>
      <c r="G31" s="47"/>
      <c r="H31" s="47"/>
      <c r="I31" s="1"/>
      <c r="J31" s="1"/>
    </row>
    <row r="32" spans="1:10" ht="1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J61"/>
  <sheetViews>
    <sheetView workbookViewId="0"/>
  </sheetViews>
  <sheetFormatPr defaultRowHeight="12.75"/>
  <cols>
    <col min="2" max="2" width="3.140625" customWidth="1"/>
    <col min="3" max="3" width="30.5703125" customWidth="1"/>
    <col min="4" max="4" width="22.85546875" customWidth="1"/>
    <col min="5" max="5" width="3.7109375" customWidth="1"/>
    <col min="6" max="7" width="18.140625" customWidth="1"/>
    <col min="8" max="8" width="3.140625" customWidth="1"/>
    <col min="9" max="9" width="15.42578125" customWidth="1"/>
  </cols>
  <sheetData>
    <row r="1" spans="1:10" ht="18">
      <c r="A1" s="1"/>
      <c r="B1" s="1"/>
      <c r="C1" s="139" t="s">
        <v>313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106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3" t="s">
        <v>1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.75" customHeight="1">
      <c r="A6" s="1"/>
      <c r="B6" s="4"/>
      <c r="C6" s="5"/>
      <c r="D6" s="6"/>
      <c r="E6" s="7"/>
      <c r="F6" s="1"/>
      <c r="G6" s="1"/>
      <c r="H6" s="1"/>
      <c r="I6" s="1"/>
      <c r="J6" s="1"/>
    </row>
    <row r="7" spans="1:10" ht="15">
      <c r="A7" s="1"/>
      <c r="B7" s="8"/>
      <c r="C7" s="9" t="s">
        <v>170</v>
      </c>
      <c r="D7" s="75">
        <v>29000000</v>
      </c>
      <c r="E7" s="10"/>
      <c r="F7" s="1"/>
      <c r="G7" s="1"/>
      <c r="H7" s="1"/>
      <c r="I7" s="1"/>
      <c r="J7" s="1"/>
    </row>
    <row r="8" spans="1:10" ht="15">
      <c r="A8" s="1"/>
      <c r="B8" s="8"/>
      <c r="C8" s="9" t="s">
        <v>199</v>
      </c>
      <c r="D8" s="145">
        <v>91000000</v>
      </c>
      <c r="E8" s="10"/>
      <c r="F8" s="1"/>
      <c r="G8" s="1"/>
      <c r="H8" s="1"/>
      <c r="I8" s="1"/>
      <c r="J8" s="1"/>
    </row>
    <row r="9" spans="1:10" ht="15">
      <c r="A9" s="1"/>
      <c r="B9" s="8"/>
      <c r="C9" s="9" t="s">
        <v>91</v>
      </c>
      <c r="D9" s="76">
        <v>0.08</v>
      </c>
      <c r="E9" s="10"/>
      <c r="F9" s="1"/>
      <c r="G9" s="1"/>
      <c r="H9" s="1"/>
      <c r="I9" s="1"/>
      <c r="J9" s="1"/>
    </row>
    <row r="10" spans="1:10" ht="15">
      <c r="A10" s="1"/>
      <c r="B10" s="8"/>
      <c r="C10" s="9" t="s">
        <v>195</v>
      </c>
      <c r="D10" s="144">
        <v>2300000</v>
      </c>
      <c r="E10" s="10"/>
      <c r="F10" s="1"/>
      <c r="G10" s="1"/>
      <c r="H10" s="1"/>
      <c r="I10" s="1"/>
      <c r="J10" s="1"/>
    </row>
    <row r="11" spans="1:10" ht="15">
      <c r="A11" s="1"/>
      <c r="B11" s="8"/>
      <c r="C11" s="9" t="s">
        <v>196</v>
      </c>
      <c r="D11" s="145">
        <v>105</v>
      </c>
      <c r="E11" s="10"/>
      <c r="F11" s="1"/>
      <c r="G11" s="1"/>
      <c r="H11" s="1"/>
      <c r="I11" s="1"/>
      <c r="J11" s="1"/>
    </row>
    <row r="12" spans="1:10" ht="15">
      <c r="A12" s="1"/>
      <c r="B12" s="8"/>
      <c r="C12" s="9" t="s">
        <v>197</v>
      </c>
      <c r="D12" s="144">
        <v>4500000</v>
      </c>
      <c r="E12" s="10"/>
      <c r="F12" s="1"/>
      <c r="G12" s="1"/>
      <c r="H12" s="1"/>
      <c r="I12" s="1"/>
      <c r="J12" s="1"/>
    </row>
    <row r="13" spans="1:10" ht="15">
      <c r="A13" s="1"/>
      <c r="B13" s="8"/>
      <c r="C13" s="9" t="s">
        <v>198</v>
      </c>
      <c r="D13" s="145">
        <v>80</v>
      </c>
      <c r="E13" s="10"/>
      <c r="F13" s="1"/>
      <c r="G13" s="1"/>
      <c r="H13" s="1"/>
      <c r="I13" s="1"/>
      <c r="J13" s="1"/>
    </row>
    <row r="14" spans="1:10" ht="15.75" thickBot="1">
      <c r="A14" s="1"/>
      <c r="B14" s="11"/>
      <c r="C14" s="12"/>
      <c r="D14" s="13"/>
      <c r="E14" s="14"/>
      <c r="F14" s="1"/>
      <c r="G14" s="1"/>
      <c r="H14" s="1"/>
      <c r="I14" s="1"/>
      <c r="J14" s="1"/>
    </row>
    <row r="15" spans="1:10" ht="1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15">
      <c r="A16" s="1"/>
      <c r="B16" s="1"/>
      <c r="C16" s="3" t="s">
        <v>2</v>
      </c>
      <c r="D16" s="1"/>
      <c r="E16" s="1"/>
      <c r="F16" s="1"/>
      <c r="G16" s="1"/>
      <c r="H16" s="1"/>
      <c r="I16" s="1"/>
      <c r="J16" s="1"/>
    </row>
    <row r="17" spans="1:10" ht="15.75" thickBot="1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5">
      <c r="A18" s="1"/>
      <c r="B18" s="15"/>
      <c r="C18" s="16"/>
      <c r="D18" s="16"/>
      <c r="E18" s="17"/>
      <c r="F18" s="35"/>
      <c r="G18" s="35"/>
      <c r="H18" s="35"/>
      <c r="I18" s="35"/>
      <c r="J18" s="47"/>
    </row>
    <row r="19" spans="1:10" ht="19.5">
      <c r="A19" s="1"/>
      <c r="B19" s="18"/>
      <c r="C19" s="22" t="s">
        <v>168</v>
      </c>
      <c r="D19" s="146">
        <f>D12*D13</f>
        <v>360000000</v>
      </c>
      <c r="E19" s="19"/>
      <c r="F19" s="35"/>
      <c r="G19" s="35"/>
      <c r="H19" s="35"/>
      <c r="I19" s="35"/>
      <c r="J19" s="47"/>
    </row>
    <row r="20" spans="1:10" ht="15">
      <c r="A20" s="1"/>
      <c r="B20" s="18"/>
      <c r="C20" s="22"/>
      <c r="D20" s="142"/>
      <c r="E20" s="43"/>
      <c r="F20" s="42"/>
      <c r="G20" s="36"/>
      <c r="H20" s="42"/>
      <c r="I20" s="35"/>
      <c r="J20" s="47"/>
    </row>
    <row r="21" spans="1:10" ht="15">
      <c r="A21" s="1"/>
      <c r="B21" s="18"/>
      <c r="C21" s="22" t="s">
        <v>200</v>
      </c>
      <c r="D21" s="147">
        <f>D10*D11</f>
        <v>241500000</v>
      </c>
      <c r="E21" s="43"/>
      <c r="F21" s="42"/>
      <c r="G21" s="36"/>
      <c r="H21" s="42"/>
      <c r="I21" s="35"/>
      <c r="J21" s="47"/>
    </row>
    <row r="22" spans="1:10" ht="15">
      <c r="A22" s="1"/>
      <c r="B22" s="18"/>
      <c r="C22" s="22"/>
      <c r="D22" s="131"/>
      <c r="E22" s="43"/>
      <c r="F22" s="42"/>
      <c r="G22" s="36"/>
      <c r="H22" s="42"/>
      <c r="I22" s="35"/>
      <c r="J22" s="47"/>
    </row>
    <row r="23" spans="1:10" ht="15">
      <c r="A23" s="1"/>
      <c r="B23" s="18"/>
      <c r="C23" s="22" t="s">
        <v>201</v>
      </c>
      <c r="D23" s="147">
        <f>D8+D21</f>
        <v>332500000</v>
      </c>
      <c r="E23" s="43"/>
      <c r="F23" s="42"/>
      <c r="G23" s="36"/>
      <c r="H23" s="42"/>
      <c r="I23" s="35"/>
      <c r="J23" s="47"/>
    </row>
    <row r="24" spans="1:10" ht="15.75">
      <c r="A24" s="1"/>
      <c r="B24" s="18"/>
      <c r="C24" s="22"/>
      <c r="D24" s="57"/>
      <c r="E24" s="43"/>
      <c r="F24" s="42"/>
      <c r="G24" s="36"/>
      <c r="H24" s="42"/>
      <c r="I24" s="35"/>
      <c r="J24" s="47"/>
    </row>
    <row r="25" spans="1:10" ht="15.75">
      <c r="A25" s="1"/>
      <c r="B25" s="18"/>
      <c r="C25" s="22" t="s">
        <v>202</v>
      </c>
      <c r="D25" s="57" t="str">
        <f>IF(D23&lt;D19,"underpriced.","overpriced.")</f>
        <v>underpriced.</v>
      </c>
      <c r="E25" s="43"/>
      <c r="F25" s="42"/>
      <c r="G25" s="36"/>
      <c r="H25" s="42"/>
      <c r="I25" s="35"/>
      <c r="J25" s="47"/>
    </row>
    <row r="26" spans="1:10" ht="15.75">
      <c r="A26" s="1"/>
      <c r="B26" s="18"/>
      <c r="C26" s="22"/>
      <c r="D26" s="57"/>
      <c r="E26" s="43"/>
      <c r="F26" s="42"/>
      <c r="G26" s="36"/>
      <c r="H26" s="42"/>
      <c r="I26" s="35"/>
      <c r="J26" s="47"/>
    </row>
    <row r="27" spans="1:10" ht="15.75">
      <c r="A27" s="1"/>
      <c r="B27" s="18"/>
      <c r="C27" s="22" t="s">
        <v>203</v>
      </c>
      <c r="D27" s="57"/>
      <c r="E27" s="43"/>
      <c r="F27" s="42"/>
      <c r="G27" s="36"/>
      <c r="H27" s="42"/>
      <c r="I27" s="35"/>
      <c r="J27" s="47"/>
    </row>
    <row r="28" spans="1:10" ht="15.75">
      <c r="A28" s="1"/>
      <c r="B28" s="18"/>
      <c r="C28" s="22" t="s">
        <v>204</v>
      </c>
      <c r="D28" s="57"/>
      <c r="E28" s="43"/>
      <c r="F28" s="42"/>
      <c r="G28" s="36"/>
      <c r="H28" s="42"/>
      <c r="I28" s="35"/>
      <c r="J28" s="47"/>
    </row>
    <row r="29" spans="1:10" ht="15.75">
      <c r="A29" s="1"/>
      <c r="B29" s="18"/>
      <c r="C29" s="22" t="s">
        <v>205</v>
      </c>
      <c r="D29" s="57"/>
      <c r="E29" s="43"/>
      <c r="F29" s="42"/>
      <c r="G29" s="36"/>
      <c r="H29" s="42"/>
      <c r="I29" s="35"/>
      <c r="J29" s="47"/>
    </row>
    <row r="30" spans="1:10" ht="15.75">
      <c r="A30" s="1"/>
      <c r="B30" s="18"/>
      <c r="C30" s="149" t="str">
        <f>IF(D23&lt;D19,"increase by","decrease by")</f>
        <v>increase by</v>
      </c>
      <c r="D30" s="148">
        <f>ABS(D19-D23)</f>
        <v>27500000</v>
      </c>
      <c r="E30" s="43"/>
      <c r="F30" s="42"/>
      <c r="G30" s="36"/>
      <c r="H30" s="42"/>
      <c r="I30" s="35"/>
      <c r="J30" s="47"/>
    </row>
    <row r="31" spans="1:10" ht="15.75" thickBot="1">
      <c r="A31" s="1"/>
      <c r="B31" s="20"/>
      <c r="C31" s="23"/>
      <c r="D31" s="48"/>
      <c r="E31" s="49"/>
      <c r="F31" s="37"/>
      <c r="G31" s="36"/>
      <c r="H31" s="37"/>
      <c r="I31" s="35"/>
      <c r="J31" s="47"/>
    </row>
    <row r="32" spans="1:10" ht="15">
      <c r="A32" s="1"/>
      <c r="B32" s="1"/>
      <c r="C32" s="47"/>
      <c r="D32" s="47"/>
      <c r="E32" s="47"/>
      <c r="F32" s="47"/>
      <c r="G32" s="47"/>
      <c r="H32" s="47"/>
      <c r="I32" s="1"/>
      <c r="J32" s="1"/>
    </row>
    <row r="33" spans="1:10" ht="15">
      <c r="A33" s="1"/>
      <c r="B33" s="1"/>
      <c r="C33" s="47"/>
      <c r="D33" s="47"/>
      <c r="E33" s="47"/>
      <c r="F33" s="47"/>
      <c r="G33" s="47"/>
      <c r="H33" s="47"/>
      <c r="I33" s="1"/>
      <c r="J33" s="1"/>
    </row>
    <row r="34" spans="1:10" ht="15">
      <c r="A34" s="1"/>
      <c r="B34" s="1"/>
      <c r="C34" s="47"/>
      <c r="D34" s="47"/>
      <c r="E34" s="47"/>
      <c r="F34" s="47"/>
      <c r="G34" s="47"/>
      <c r="H34" s="47"/>
      <c r="I34" s="1"/>
      <c r="J34" s="1"/>
    </row>
    <row r="35" spans="1:10" ht="15">
      <c r="A35" s="1"/>
      <c r="B35" s="1"/>
      <c r="C35" s="47"/>
      <c r="D35" s="47"/>
      <c r="E35" s="47"/>
      <c r="F35" s="47"/>
      <c r="G35" s="47"/>
      <c r="H35" s="47"/>
      <c r="I35" s="1"/>
      <c r="J35" s="1"/>
    </row>
    <row r="36" spans="1:10" ht="1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">
      <c r="A61" s="1"/>
      <c r="B61" s="1"/>
      <c r="C61" s="1"/>
      <c r="D61" s="1"/>
      <c r="E61" s="1"/>
      <c r="F61" s="1"/>
      <c r="G61" s="1"/>
      <c r="H61" s="1"/>
      <c r="I61" s="1"/>
      <c r="J61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J57"/>
  <sheetViews>
    <sheetView workbookViewId="0"/>
  </sheetViews>
  <sheetFormatPr defaultRowHeight="12.75"/>
  <cols>
    <col min="2" max="2" width="3.140625" customWidth="1"/>
    <col min="3" max="3" width="25.28515625" customWidth="1"/>
    <col min="4" max="4" width="22.85546875" customWidth="1"/>
    <col min="5" max="5" width="3.7109375" customWidth="1"/>
    <col min="6" max="7" width="18.140625" customWidth="1"/>
    <col min="8" max="8" width="3.140625" customWidth="1"/>
    <col min="9" max="9" width="15.42578125" customWidth="1"/>
  </cols>
  <sheetData>
    <row r="1" spans="1:10" ht="18">
      <c r="A1" s="1"/>
      <c r="B1" s="1"/>
      <c r="C1" s="139" t="s">
        <v>313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115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3" t="s">
        <v>1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.75" customHeight="1">
      <c r="A6" s="1"/>
      <c r="B6" s="4"/>
      <c r="C6" s="5"/>
      <c r="D6" s="6"/>
      <c r="E6" s="7"/>
      <c r="F6" s="1"/>
      <c r="G6" s="1"/>
      <c r="H6" s="1"/>
      <c r="I6" s="1"/>
      <c r="J6" s="1"/>
    </row>
    <row r="7" spans="1:10" ht="15">
      <c r="A7" s="1"/>
      <c r="B7" s="8"/>
      <c r="C7" s="9" t="s">
        <v>170</v>
      </c>
      <c r="D7" s="75">
        <v>57000</v>
      </c>
      <c r="E7" s="10"/>
      <c r="F7" s="1"/>
      <c r="G7" s="1"/>
      <c r="H7" s="1"/>
      <c r="I7" s="1"/>
      <c r="J7" s="1"/>
    </row>
    <row r="8" spans="1:10" ht="15">
      <c r="A8" s="1"/>
      <c r="B8" s="8"/>
      <c r="C8" s="9" t="s">
        <v>86</v>
      </c>
      <c r="D8" s="76">
        <v>0.35</v>
      </c>
      <c r="E8" s="10"/>
      <c r="F8" s="1"/>
      <c r="G8" s="1"/>
      <c r="H8" s="1"/>
      <c r="I8" s="1"/>
      <c r="J8" s="1"/>
    </row>
    <row r="9" spans="1:10" ht="15">
      <c r="A9" s="1"/>
      <c r="B9" s="8"/>
      <c r="C9" s="9" t="s">
        <v>108</v>
      </c>
      <c r="D9" s="129">
        <v>90000</v>
      </c>
      <c r="E9" s="10"/>
      <c r="F9" s="1"/>
      <c r="G9" s="1"/>
      <c r="H9" s="1"/>
      <c r="I9" s="1"/>
      <c r="J9" s="1"/>
    </row>
    <row r="10" spans="1:10" ht="15">
      <c r="A10" s="1"/>
      <c r="B10" s="8"/>
      <c r="C10" s="9" t="s">
        <v>6</v>
      </c>
      <c r="D10" s="130">
        <v>0.08</v>
      </c>
      <c r="E10" s="10"/>
      <c r="F10" s="1"/>
      <c r="G10" s="1"/>
      <c r="H10" s="1"/>
      <c r="I10" s="1"/>
      <c r="J10" s="1"/>
    </row>
    <row r="11" spans="1:10" ht="15">
      <c r="A11" s="1"/>
      <c r="B11" s="8"/>
      <c r="C11" s="9" t="s">
        <v>190</v>
      </c>
      <c r="D11" s="130">
        <v>0.15</v>
      </c>
      <c r="E11" s="10"/>
      <c r="F11" s="1"/>
      <c r="G11" s="1"/>
      <c r="H11" s="1"/>
      <c r="I11" s="1"/>
      <c r="J11" s="1"/>
    </row>
    <row r="12" spans="1:10" ht="15.75" thickBot="1">
      <c r="A12" s="1"/>
      <c r="B12" s="11"/>
      <c r="C12" s="12"/>
      <c r="D12" s="13"/>
      <c r="E12" s="14"/>
      <c r="F12" s="1"/>
      <c r="G12" s="1"/>
      <c r="H12" s="1"/>
      <c r="I12" s="1"/>
      <c r="J12" s="1"/>
    </row>
    <row r="13" spans="1:10" ht="15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5">
      <c r="A14" s="1"/>
      <c r="B14" s="1"/>
      <c r="C14" s="3" t="s">
        <v>2</v>
      </c>
      <c r="D14" s="1"/>
      <c r="E14" s="1"/>
      <c r="F14" s="1"/>
      <c r="G14" s="1"/>
      <c r="H14" s="1"/>
      <c r="I14" s="1"/>
      <c r="J14" s="1"/>
    </row>
    <row r="15" spans="1:10" ht="15.75" thickBot="1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15">
      <c r="A16" s="1"/>
      <c r="B16" s="15"/>
      <c r="C16" s="16"/>
      <c r="D16" s="16"/>
      <c r="E16" s="17"/>
      <c r="F16" s="35"/>
      <c r="G16" s="35"/>
      <c r="H16" s="35"/>
      <c r="I16" s="35"/>
      <c r="J16" s="47"/>
    </row>
    <row r="17" spans="1:10" ht="19.5">
      <c r="A17" s="1"/>
      <c r="B17" s="18"/>
      <c r="C17" s="22" t="s">
        <v>168</v>
      </c>
      <c r="D17" s="143">
        <f>(D7*(1-D8))/D11</f>
        <v>247000</v>
      </c>
      <c r="E17" s="19"/>
      <c r="F17" s="35"/>
      <c r="G17" s="35"/>
      <c r="H17" s="35"/>
      <c r="I17" s="35"/>
      <c r="J17" s="47"/>
    </row>
    <row r="18" spans="1:10" ht="15">
      <c r="A18" s="1"/>
      <c r="B18" s="18"/>
      <c r="C18" s="22"/>
      <c r="D18" s="142"/>
      <c r="E18" s="43"/>
      <c r="F18" s="42"/>
      <c r="G18" s="36"/>
      <c r="H18" s="42"/>
      <c r="I18" s="35"/>
      <c r="J18" s="47"/>
    </row>
    <row r="19" spans="1:10" ht="19.5">
      <c r="A19" s="1"/>
      <c r="B19" s="18"/>
      <c r="C19" s="22" t="s">
        <v>172</v>
      </c>
      <c r="D19" s="58">
        <f>D17+(D8*D9)</f>
        <v>278500</v>
      </c>
      <c r="E19" s="43"/>
      <c r="F19" s="42"/>
      <c r="G19" s="36"/>
      <c r="H19" s="42"/>
      <c r="I19" s="35"/>
      <c r="J19" s="47"/>
    </row>
    <row r="20" spans="1:10" ht="15">
      <c r="A20" s="1"/>
      <c r="B20" s="18"/>
      <c r="C20" s="22"/>
      <c r="D20" s="131"/>
      <c r="E20" s="43"/>
      <c r="F20" s="42"/>
      <c r="G20" s="36"/>
      <c r="H20" s="42"/>
      <c r="I20" s="35"/>
      <c r="J20" s="47"/>
    </row>
    <row r="21" spans="1:10" ht="15.75">
      <c r="A21" s="1"/>
      <c r="B21" s="18"/>
      <c r="C21" s="22" t="s">
        <v>110</v>
      </c>
      <c r="D21" s="57"/>
      <c r="E21" s="43"/>
      <c r="F21" s="42"/>
      <c r="G21" s="36"/>
      <c r="H21" s="42"/>
      <c r="I21" s="35"/>
      <c r="J21" s="47"/>
    </row>
    <row r="22" spans="1:10" ht="15.75">
      <c r="A22" s="1"/>
      <c r="B22" s="18"/>
      <c r="C22" s="22" t="s">
        <v>111</v>
      </c>
      <c r="D22" s="57"/>
      <c r="E22" s="43"/>
      <c r="F22" s="42"/>
      <c r="G22" s="36"/>
      <c r="H22" s="42"/>
      <c r="I22" s="35"/>
      <c r="J22" s="47"/>
    </row>
    <row r="23" spans="1:10" ht="15.75">
      <c r="A23" s="1"/>
      <c r="B23" s="18"/>
      <c r="C23" s="22" t="s">
        <v>112</v>
      </c>
      <c r="D23" s="57"/>
      <c r="E23" s="43"/>
      <c r="F23" s="42"/>
      <c r="G23" s="36"/>
      <c r="H23" s="42"/>
      <c r="I23" s="35"/>
      <c r="J23" s="47"/>
    </row>
    <row r="24" spans="1:10" ht="15.75">
      <c r="A24" s="1"/>
      <c r="B24" s="18"/>
      <c r="C24" s="22" t="s">
        <v>171</v>
      </c>
      <c r="D24" s="57"/>
      <c r="E24" s="43"/>
      <c r="F24" s="42"/>
      <c r="G24" s="36"/>
      <c r="H24" s="42"/>
      <c r="I24" s="35"/>
      <c r="J24" s="47"/>
    </row>
    <row r="25" spans="1:10" ht="15.75">
      <c r="A25" s="1"/>
      <c r="B25" s="18"/>
      <c r="C25" s="22" t="s">
        <v>113</v>
      </c>
      <c r="D25" s="57"/>
      <c r="E25" s="43"/>
      <c r="F25" s="42"/>
      <c r="G25" s="36"/>
      <c r="H25" s="42"/>
      <c r="I25" s="35"/>
      <c r="J25" s="47"/>
    </row>
    <row r="26" spans="1:10" ht="15.75">
      <c r="A26" s="1"/>
      <c r="B26" s="18"/>
      <c r="C26" s="22" t="s">
        <v>114</v>
      </c>
      <c r="D26" s="57"/>
      <c r="E26" s="43"/>
      <c r="F26" s="42"/>
      <c r="G26" s="36"/>
      <c r="H26" s="42"/>
      <c r="I26" s="35"/>
      <c r="J26" s="47"/>
    </row>
    <row r="27" spans="1:10" ht="15.75" thickBot="1">
      <c r="A27" s="1"/>
      <c r="B27" s="20"/>
      <c r="C27" s="23"/>
      <c r="D27" s="48"/>
      <c r="E27" s="49"/>
      <c r="F27" s="37"/>
      <c r="G27" s="36"/>
      <c r="H27" s="37"/>
      <c r="I27" s="35"/>
      <c r="J27" s="47"/>
    </row>
    <row r="28" spans="1:10" ht="15">
      <c r="A28" s="1"/>
      <c r="B28" s="1"/>
      <c r="C28" s="47"/>
      <c r="D28" s="47"/>
      <c r="E28" s="47"/>
      <c r="F28" s="47"/>
      <c r="G28" s="47"/>
      <c r="H28" s="47"/>
      <c r="I28" s="1"/>
      <c r="J28" s="1"/>
    </row>
    <row r="29" spans="1:10" ht="15">
      <c r="A29" s="1"/>
      <c r="B29" s="1"/>
      <c r="C29" s="47"/>
      <c r="D29" s="47"/>
      <c r="E29" s="47"/>
      <c r="F29" s="47"/>
      <c r="G29" s="47"/>
      <c r="H29" s="47"/>
      <c r="I29" s="1"/>
      <c r="J29" s="1"/>
    </row>
    <row r="30" spans="1:10" ht="15">
      <c r="A30" s="1"/>
      <c r="B30" s="1"/>
      <c r="C30" s="47"/>
      <c r="D30" s="47"/>
      <c r="E30" s="47"/>
      <c r="F30" s="47"/>
      <c r="G30" s="47"/>
      <c r="H30" s="47"/>
      <c r="I30" s="1"/>
      <c r="J30" s="1"/>
    </row>
    <row r="31" spans="1:10" ht="15">
      <c r="A31" s="1"/>
      <c r="B31" s="1"/>
      <c r="C31" s="47"/>
      <c r="D31" s="47"/>
      <c r="E31" s="47"/>
      <c r="F31" s="47"/>
      <c r="G31" s="47"/>
      <c r="H31" s="47"/>
      <c r="I31" s="1"/>
      <c r="J31" s="1"/>
    </row>
    <row r="32" spans="1:10" ht="1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K57"/>
  <sheetViews>
    <sheetView workbookViewId="0"/>
  </sheetViews>
  <sheetFormatPr defaultRowHeight="12.75"/>
  <cols>
    <col min="1" max="1" width="9.140625" style="191"/>
    <col min="2" max="2" width="3.140625" style="191" customWidth="1"/>
    <col min="3" max="3" width="17.5703125" style="191" customWidth="1"/>
    <col min="4" max="4" width="8.140625" style="191" customWidth="1"/>
    <col min="5" max="5" width="21.7109375" style="191" customWidth="1"/>
    <col min="6" max="6" width="3.7109375" style="191" customWidth="1"/>
    <col min="7" max="8" width="18.140625" style="191" customWidth="1"/>
    <col min="9" max="9" width="3.140625" style="191" customWidth="1"/>
    <col min="10" max="10" width="15.42578125" style="191" customWidth="1"/>
    <col min="11" max="16384" width="9.140625" style="191"/>
  </cols>
  <sheetData>
    <row r="1" spans="1:11" ht="18">
      <c r="A1" s="188"/>
      <c r="B1" s="188"/>
      <c r="C1" s="189" t="s">
        <v>313</v>
      </c>
      <c r="D1" s="190"/>
      <c r="E1" s="188"/>
      <c r="F1" s="188"/>
      <c r="G1" s="188"/>
      <c r="H1" s="188"/>
      <c r="I1" s="188"/>
      <c r="J1" s="188"/>
      <c r="K1" s="188"/>
    </row>
    <row r="2" spans="1:11" ht="15">
      <c r="A2" s="188"/>
      <c r="B2" s="188"/>
      <c r="C2" s="188" t="s">
        <v>116</v>
      </c>
      <c r="D2" s="188"/>
      <c r="E2" s="188"/>
      <c r="F2" s="188"/>
      <c r="G2" s="188"/>
      <c r="H2" s="188"/>
      <c r="I2" s="188"/>
      <c r="J2" s="188"/>
      <c r="K2" s="188"/>
    </row>
    <row r="3" spans="1:11" ht="15">
      <c r="A3" s="188"/>
      <c r="B3" s="188"/>
      <c r="C3" s="188"/>
      <c r="D3" s="188"/>
      <c r="E3" s="188"/>
      <c r="F3" s="188"/>
      <c r="G3" s="188"/>
      <c r="H3" s="188"/>
      <c r="I3" s="188"/>
      <c r="J3" s="188"/>
      <c r="K3" s="188"/>
    </row>
    <row r="4" spans="1:11" ht="15">
      <c r="A4" s="188"/>
      <c r="B4" s="188"/>
      <c r="C4" s="192" t="s">
        <v>1</v>
      </c>
      <c r="D4" s="192"/>
      <c r="E4" s="188"/>
      <c r="F4" s="188"/>
      <c r="G4" s="188"/>
      <c r="H4" s="188"/>
      <c r="I4" s="188"/>
      <c r="J4" s="188"/>
      <c r="K4" s="188"/>
    </row>
    <row r="5" spans="1:11" ht="15.75" thickBot="1">
      <c r="A5" s="188"/>
      <c r="B5" s="188"/>
      <c r="C5" s="188"/>
      <c r="D5" s="188"/>
      <c r="E5" s="188"/>
      <c r="F5" s="188"/>
      <c r="G5" s="188"/>
      <c r="H5" s="188"/>
      <c r="I5" s="188"/>
      <c r="J5" s="188"/>
      <c r="K5" s="188"/>
    </row>
    <row r="6" spans="1:11" ht="15.75" customHeight="1">
      <c r="A6" s="188"/>
      <c r="B6" s="193"/>
      <c r="C6" s="194"/>
      <c r="D6" s="194"/>
      <c r="E6" s="195"/>
      <c r="F6" s="196"/>
      <c r="G6" s="188"/>
      <c r="H6" s="188"/>
      <c r="I6" s="188"/>
      <c r="J6" s="188"/>
      <c r="K6" s="188"/>
    </row>
    <row r="7" spans="1:11" ht="15">
      <c r="A7" s="188"/>
      <c r="B7" s="197"/>
      <c r="C7" s="198" t="s">
        <v>107</v>
      </c>
      <c r="D7" s="198"/>
      <c r="E7" s="75">
        <v>19750</v>
      </c>
      <c r="F7" s="199"/>
      <c r="G7" s="188"/>
      <c r="H7" s="188"/>
      <c r="I7" s="188"/>
      <c r="J7" s="188"/>
      <c r="K7" s="188"/>
    </row>
    <row r="8" spans="1:11" ht="15">
      <c r="A8" s="188"/>
      <c r="B8" s="197"/>
      <c r="C8" s="198" t="s">
        <v>98</v>
      </c>
      <c r="D8" s="198"/>
      <c r="E8" s="76">
        <v>0.15</v>
      </c>
      <c r="F8" s="199"/>
      <c r="G8" s="188"/>
      <c r="H8" s="188"/>
      <c r="I8" s="188"/>
      <c r="J8" s="188"/>
      <c r="K8" s="188"/>
    </row>
    <row r="9" spans="1:11" ht="15">
      <c r="A9" s="188"/>
      <c r="B9" s="197"/>
      <c r="C9" s="198" t="s">
        <v>6</v>
      </c>
      <c r="D9" s="198"/>
      <c r="E9" s="132">
        <v>0.1</v>
      </c>
      <c r="F9" s="199"/>
      <c r="G9" s="188"/>
      <c r="H9" s="188"/>
      <c r="I9" s="188"/>
      <c r="J9" s="188"/>
      <c r="K9" s="188"/>
    </row>
    <row r="10" spans="1:11" ht="15">
      <c r="A10" s="188"/>
      <c r="B10" s="197"/>
      <c r="C10" s="198" t="s">
        <v>86</v>
      </c>
      <c r="D10" s="198"/>
      <c r="E10" s="76">
        <v>0.35</v>
      </c>
      <c r="F10" s="199"/>
      <c r="G10" s="188"/>
      <c r="H10" s="188"/>
      <c r="I10" s="188"/>
      <c r="J10" s="188"/>
      <c r="K10" s="188"/>
    </row>
    <row r="11" spans="1:11" ht="15">
      <c r="A11" s="188"/>
      <c r="B11" s="197"/>
      <c r="C11" s="198" t="s">
        <v>93</v>
      </c>
      <c r="D11" s="198"/>
      <c r="E11" s="76">
        <v>0.5</v>
      </c>
      <c r="F11" s="199"/>
      <c r="G11" s="188"/>
      <c r="H11" s="188"/>
      <c r="I11" s="188"/>
      <c r="J11" s="188"/>
      <c r="K11" s="188"/>
    </row>
    <row r="12" spans="1:11" ht="15">
      <c r="A12" s="188"/>
      <c r="B12" s="197"/>
      <c r="C12" s="198" t="s">
        <v>93</v>
      </c>
      <c r="D12" s="198"/>
      <c r="E12" s="76">
        <v>1</v>
      </c>
      <c r="F12" s="199"/>
      <c r="G12" s="188"/>
      <c r="H12" s="188"/>
      <c r="I12" s="188"/>
      <c r="J12" s="188"/>
      <c r="K12" s="188"/>
    </row>
    <row r="13" spans="1:11" ht="15.75" thickBot="1">
      <c r="A13" s="188"/>
      <c r="B13" s="200"/>
      <c r="C13" s="201"/>
      <c r="D13" s="201"/>
      <c r="E13" s="202"/>
      <c r="F13" s="203"/>
      <c r="G13" s="188"/>
      <c r="H13" s="188"/>
      <c r="I13" s="188"/>
      <c r="J13" s="188"/>
      <c r="K13" s="188"/>
    </row>
    <row r="14" spans="1:11" ht="15">
      <c r="A14" s="188"/>
      <c r="B14" s="188"/>
      <c r="C14" s="188"/>
      <c r="D14" s="188"/>
      <c r="E14" s="188"/>
      <c r="F14" s="188"/>
      <c r="G14" s="188"/>
      <c r="H14" s="188"/>
      <c r="I14" s="188"/>
      <c r="J14" s="188"/>
      <c r="K14" s="188"/>
    </row>
    <row r="15" spans="1:11" ht="15">
      <c r="A15" s="188"/>
      <c r="B15" s="188"/>
      <c r="C15" s="192" t="s">
        <v>2</v>
      </c>
      <c r="D15" s="192"/>
      <c r="E15" s="188"/>
      <c r="F15" s="188"/>
      <c r="G15" s="188"/>
      <c r="H15" s="188"/>
      <c r="I15" s="188"/>
      <c r="J15" s="188"/>
      <c r="K15" s="188"/>
    </row>
    <row r="16" spans="1:11" ht="15.75" thickBot="1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</row>
    <row r="17" spans="1:11" ht="15">
      <c r="A17" s="188"/>
      <c r="B17" s="204"/>
      <c r="C17" s="205"/>
      <c r="D17" s="205"/>
      <c r="E17" s="205"/>
      <c r="F17" s="206"/>
      <c r="G17" s="207"/>
      <c r="H17" s="207"/>
      <c r="I17" s="207"/>
      <c r="J17" s="207"/>
      <c r="K17" s="208"/>
    </row>
    <row r="18" spans="1:11" ht="19.5">
      <c r="A18" s="188"/>
      <c r="B18" s="209" t="s">
        <v>137</v>
      </c>
      <c r="C18" s="210" t="s">
        <v>173</v>
      </c>
      <c r="D18" s="210"/>
      <c r="E18" s="58">
        <f>E7*(1-E10)/E8</f>
        <v>85583.333333333343</v>
      </c>
      <c r="F18" s="43"/>
      <c r="G18" s="42"/>
      <c r="H18" s="36"/>
      <c r="I18" s="42"/>
      <c r="J18" s="207"/>
      <c r="K18" s="208"/>
    </row>
    <row r="19" spans="1:11" ht="15.75">
      <c r="A19" s="188"/>
      <c r="B19" s="209"/>
      <c r="C19" s="210"/>
      <c r="D19" s="210"/>
      <c r="E19" s="211"/>
      <c r="F19" s="43"/>
      <c r="G19" s="42"/>
      <c r="H19" s="36"/>
      <c r="I19" s="42"/>
      <c r="J19" s="207"/>
      <c r="K19" s="208"/>
    </row>
    <row r="20" spans="1:11" ht="15.75">
      <c r="A20" s="188"/>
      <c r="B20" s="209" t="s">
        <v>138</v>
      </c>
      <c r="C20" s="210" t="s">
        <v>34</v>
      </c>
      <c r="D20" s="212">
        <f>E11</f>
        <v>0.5</v>
      </c>
      <c r="E20" s="58">
        <f>$E$18+($E$10*$E$18*E11)</f>
        <v>100560.41666666667</v>
      </c>
      <c r="F20" s="43"/>
      <c r="G20" s="42"/>
      <c r="H20" s="36"/>
      <c r="I20" s="42"/>
      <c r="J20" s="207"/>
      <c r="K20" s="208"/>
    </row>
    <row r="21" spans="1:11" ht="15.75">
      <c r="A21" s="188"/>
      <c r="B21" s="209"/>
      <c r="C21" s="210" t="s">
        <v>34</v>
      </c>
      <c r="D21" s="212">
        <f>E12</f>
        <v>1</v>
      </c>
      <c r="E21" s="58">
        <f>$E$18+($E$10*$E$18*E12)</f>
        <v>115537.50000000001</v>
      </c>
      <c r="F21" s="43"/>
      <c r="G21" s="42"/>
      <c r="H21" s="36"/>
      <c r="I21" s="42"/>
      <c r="J21" s="207"/>
      <c r="K21" s="208"/>
    </row>
    <row r="22" spans="1:11" ht="15.75">
      <c r="A22" s="188"/>
      <c r="B22" s="209"/>
      <c r="C22" s="210"/>
      <c r="D22" s="212"/>
      <c r="E22" s="158"/>
      <c r="F22" s="43"/>
      <c r="G22" s="42"/>
      <c r="H22" s="36"/>
      <c r="I22" s="42"/>
      <c r="J22" s="207"/>
      <c r="K22" s="208"/>
    </row>
    <row r="23" spans="1:11" ht="15">
      <c r="A23" s="188"/>
      <c r="B23" s="209" t="s">
        <v>139</v>
      </c>
      <c r="C23" s="210" t="s">
        <v>34</v>
      </c>
      <c r="D23" s="212">
        <f>E11</f>
        <v>0.5</v>
      </c>
      <c r="E23" s="213" t="s">
        <v>315</v>
      </c>
      <c r="F23" s="43"/>
      <c r="G23" s="42"/>
      <c r="H23" s="36"/>
      <c r="I23" s="42"/>
      <c r="J23" s="207"/>
      <c r="K23" s="208"/>
    </row>
    <row r="24" spans="1:11" ht="15.75">
      <c r="A24" s="188"/>
      <c r="B24" s="209"/>
      <c r="C24" s="210" t="s">
        <v>316</v>
      </c>
      <c r="D24" s="214"/>
      <c r="E24" s="58">
        <f>E18/(1-(E10*E11))</f>
        <v>103737.37373737375</v>
      </c>
      <c r="F24" s="43"/>
      <c r="G24" s="42"/>
      <c r="H24" s="36"/>
      <c r="I24" s="42"/>
      <c r="J24" s="207"/>
      <c r="K24" s="208"/>
    </row>
    <row r="25" spans="1:11" ht="15.75">
      <c r="A25" s="188"/>
      <c r="B25" s="209"/>
      <c r="C25" s="210"/>
      <c r="D25" s="214"/>
      <c r="E25" s="158"/>
      <c r="F25" s="43"/>
      <c r="G25" s="42"/>
      <c r="H25" s="36"/>
      <c r="I25" s="42"/>
      <c r="J25" s="207"/>
      <c r="K25" s="208"/>
    </row>
    <row r="26" spans="1:11" ht="15.75">
      <c r="A26" s="188"/>
      <c r="B26" s="209"/>
      <c r="C26" s="210" t="s">
        <v>316</v>
      </c>
      <c r="D26" s="214"/>
      <c r="E26" s="58">
        <f>E18/(1-(E10*E12))</f>
        <v>131666.66666666669</v>
      </c>
      <c r="F26" s="43"/>
      <c r="G26" s="42"/>
      <c r="H26" s="36"/>
      <c r="I26" s="42"/>
      <c r="J26" s="207"/>
      <c r="K26" s="208"/>
    </row>
    <row r="27" spans="1:11" ht="15.75" thickBot="1">
      <c r="A27" s="188"/>
      <c r="B27" s="215"/>
      <c r="C27" s="216"/>
      <c r="D27" s="216"/>
      <c r="E27" s="48"/>
      <c r="F27" s="49"/>
      <c r="G27" s="37"/>
      <c r="H27" s="36"/>
      <c r="I27" s="37"/>
      <c r="J27" s="207"/>
      <c r="K27" s="208"/>
    </row>
    <row r="28" spans="1:11" ht="15">
      <c r="A28" s="188"/>
      <c r="B28" s="188"/>
      <c r="C28" s="208"/>
      <c r="D28" s="208"/>
      <c r="E28" s="208"/>
      <c r="F28" s="208"/>
      <c r="G28" s="208"/>
      <c r="H28" s="208"/>
      <c r="I28" s="208"/>
      <c r="J28" s="188"/>
      <c r="K28" s="188"/>
    </row>
    <row r="29" spans="1:11" ht="15">
      <c r="A29" s="188"/>
      <c r="B29" s="188"/>
      <c r="C29" s="208"/>
      <c r="D29" s="208"/>
      <c r="E29" s="208"/>
      <c r="F29" s="208"/>
      <c r="G29" s="208"/>
      <c r="H29" s="208"/>
      <c r="I29" s="208"/>
      <c r="J29" s="188"/>
      <c r="K29" s="188"/>
    </row>
    <row r="30" spans="1:11" ht="15">
      <c r="A30" s="188"/>
      <c r="B30" s="188"/>
      <c r="C30" s="208"/>
      <c r="D30" s="208"/>
      <c r="E30" s="208"/>
      <c r="F30" s="208"/>
      <c r="G30" s="208"/>
      <c r="H30" s="208"/>
      <c r="I30" s="208"/>
      <c r="J30" s="188"/>
      <c r="K30" s="188"/>
    </row>
    <row r="31" spans="1:11" ht="15">
      <c r="A31" s="188"/>
      <c r="B31" s="188"/>
      <c r="C31" s="208"/>
      <c r="D31" s="208"/>
      <c r="E31" s="208"/>
      <c r="F31" s="208"/>
      <c r="G31" s="208"/>
      <c r="H31" s="208"/>
      <c r="I31" s="208"/>
      <c r="J31" s="188"/>
      <c r="K31" s="188"/>
    </row>
    <row r="32" spans="1:11" ht="15">
      <c r="A32" s="188"/>
      <c r="B32" s="188"/>
      <c r="C32" s="188"/>
      <c r="D32" s="188"/>
      <c r="E32" s="188"/>
      <c r="F32" s="188"/>
      <c r="G32" s="188"/>
      <c r="H32" s="188"/>
      <c r="I32" s="188"/>
      <c r="J32" s="188"/>
      <c r="K32" s="188"/>
    </row>
    <row r="33" spans="1:11" ht="15">
      <c r="A33" s="188"/>
      <c r="B33" s="188"/>
      <c r="C33" s="188"/>
      <c r="D33" s="188"/>
      <c r="E33" s="188"/>
      <c r="F33" s="188"/>
      <c r="G33" s="188"/>
      <c r="H33" s="188"/>
      <c r="I33" s="188"/>
      <c r="J33" s="188"/>
      <c r="K33" s="188"/>
    </row>
    <row r="34" spans="1:11" ht="15">
      <c r="A34" s="188"/>
      <c r="B34" s="188"/>
      <c r="C34" s="188"/>
      <c r="D34" s="188"/>
      <c r="E34" s="188"/>
      <c r="F34" s="188"/>
      <c r="G34" s="188"/>
      <c r="H34" s="188"/>
      <c r="I34" s="188"/>
      <c r="J34" s="188"/>
      <c r="K34" s="188"/>
    </row>
    <row r="35" spans="1:11" ht="15">
      <c r="A35" s="188"/>
      <c r="B35" s="188"/>
      <c r="C35" s="188"/>
      <c r="D35" s="188"/>
      <c r="E35" s="188"/>
      <c r="F35" s="188"/>
      <c r="G35" s="188"/>
      <c r="H35" s="188"/>
      <c r="I35" s="188"/>
      <c r="J35" s="188"/>
      <c r="K35" s="188"/>
    </row>
    <row r="36" spans="1:11" ht="15">
      <c r="A36" s="188"/>
      <c r="B36" s="188"/>
      <c r="C36" s="188"/>
      <c r="D36" s="188"/>
      <c r="E36" s="188"/>
      <c r="F36" s="188"/>
      <c r="G36" s="188"/>
      <c r="H36" s="188"/>
      <c r="I36" s="188"/>
      <c r="J36" s="188"/>
      <c r="K36" s="188"/>
    </row>
    <row r="37" spans="1:11" ht="15">
      <c r="A37" s="188"/>
      <c r="B37" s="188"/>
      <c r="C37" s="188"/>
      <c r="D37" s="188"/>
      <c r="E37" s="188"/>
      <c r="F37" s="188"/>
      <c r="G37" s="188"/>
      <c r="H37" s="188"/>
      <c r="I37" s="188"/>
      <c r="J37" s="188"/>
      <c r="K37" s="188"/>
    </row>
    <row r="38" spans="1:11" ht="15">
      <c r="A38" s="188"/>
      <c r="B38" s="188"/>
      <c r="C38" s="188"/>
      <c r="D38" s="188"/>
      <c r="E38" s="188"/>
      <c r="F38" s="188"/>
      <c r="G38" s="188"/>
      <c r="H38" s="188"/>
      <c r="I38" s="188"/>
      <c r="J38" s="188"/>
      <c r="K38" s="188"/>
    </row>
    <row r="39" spans="1:11" ht="15">
      <c r="A39" s="188"/>
      <c r="B39" s="188"/>
      <c r="C39" s="188"/>
      <c r="D39" s="188"/>
      <c r="E39" s="188"/>
      <c r="F39" s="188"/>
      <c r="G39" s="188"/>
      <c r="H39" s="188"/>
      <c r="I39" s="188"/>
      <c r="J39" s="188"/>
      <c r="K39" s="188"/>
    </row>
    <row r="40" spans="1:11" ht="15">
      <c r="A40" s="188"/>
      <c r="B40" s="188"/>
      <c r="C40" s="188"/>
      <c r="D40" s="188"/>
      <c r="E40" s="188"/>
      <c r="F40" s="188"/>
      <c r="G40" s="188"/>
      <c r="H40" s="188"/>
      <c r="I40" s="188"/>
      <c r="J40" s="188"/>
      <c r="K40" s="188"/>
    </row>
    <row r="41" spans="1:11" ht="15">
      <c r="A41" s="188"/>
      <c r="B41" s="188"/>
      <c r="C41" s="188"/>
      <c r="D41" s="188"/>
      <c r="E41" s="188"/>
      <c r="F41" s="188"/>
      <c r="G41" s="188"/>
      <c r="H41" s="188"/>
      <c r="I41" s="188"/>
      <c r="J41" s="188"/>
      <c r="K41" s="188"/>
    </row>
    <row r="42" spans="1:11" ht="15">
      <c r="A42" s="188"/>
      <c r="B42" s="188"/>
      <c r="C42" s="188"/>
      <c r="D42" s="188"/>
      <c r="E42" s="188"/>
      <c r="F42" s="188"/>
      <c r="G42" s="188"/>
      <c r="H42" s="188"/>
      <c r="I42" s="188"/>
      <c r="J42" s="188"/>
      <c r="K42" s="188"/>
    </row>
    <row r="43" spans="1:11" ht="15">
      <c r="A43" s="188"/>
      <c r="B43" s="188"/>
      <c r="C43" s="188"/>
      <c r="D43" s="188"/>
      <c r="E43" s="188"/>
      <c r="F43" s="188"/>
      <c r="G43" s="188"/>
      <c r="H43" s="188"/>
      <c r="I43" s="188"/>
      <c r="J43" s="188"/>
      <c r="K43" s="188"/>
    </row>
    <row r="44" spans="1:11" ht="15">
      <c r="A44" s="188"/>
      <c r="B44" s="188"/>
      <c r="C44" s="188"/>
      <c r="D44" s="188"/>
      <c r="E44" s="188"/>
      <c r="F44" s="188"/>
      <c r="G44" s="188"/>
      <c r="H44" s="188"/>
      <c r="I44" s="188"/>
      <c r="J44" s="188"/>
      <c r="K44" s="188"/>
    </row>
    <row r="45" spans="1:11" ht="15">
      <c r="A45" s="188"/>
      <c r="B45" s="188"/>
      <c r="C45" s="188"/>
      <c r="D45" s="188"/>
      <c r="E45" s="188"/>
      <c r="F45" s="188"/>
      <c r="G45" s="188"/>
      <c r="H45" s="188"/>
      <c r="I45" s="188"/>
      <c r="J45" s="188"/>
      <c r="K45" s="188"/>
    </row>
    <row r="46" spans="1:11" ht="15">
      <c r="A46" s="188"/>
      <c r="B46" s="188"/>
      <c r="C46" s="188"/>
      <c r="D46" s="188"/>
      <c r="E46" s="188"/>
      <c r="F46" s="188"/>
      <c r="G46" s="188"/>
      <c r="H46" s="188"/>
      <c r="I46" s="188"/>
      <c r="J46" s="188"/>
      <c r="K46" s="188"/>
    </row>
    <row r="47" spans="1:11" ht="15">
      <c r="A47" s="188"/>
      <c r="B47" s="188"/>
      <c r="C47" s="188"/>
      <c r="D47" s="188"/>
      <c r="E47" s="188"/>
      <c r="F47" s="188"/>
      <c r="G47" s="188"/>
      <c r="H47" s="188"/>
      <c r="I47" s="188"/>
      <c r="J47" s="188"/>
      <c r="K47" s="188"/>
    </row>
    <row r="48" spans="1:11" ht="15">
      <c r="A48" s="188"/>
      <c r="B48" s="188"/>
      <c r="C48" s="188"/>
      <c r="D48" s="188"/>
      <c r="E48" s="188"/>
      <c r="F48" s="188"/>
      <c r="G48" s="188"/>
      <c r="H48" s="188"/>
      <c r="I48" s="188"/>
      <c r="J48" s="188"/>
      <c r="K48" s="188"/>
    </row>
    <row r="49" spans="1:11" ht="15">
      <c r="A49" s="188"/>
      <c r="B49" s="188"/>
      <c r="C49" s="188"/>
      <c r="D49" s="188"/>
      <c r="E49" s="188"/>
      <c r="F49" s="188"/>
      <c r="G49" s="188"/>
      <c r="H49" s="188"/>
      <c r="I49" s="188"/>
      <c r="J49" s="188"/>
      <c r="K49" s="188"/>
    </row>
    <row r="50" spans="1:11" ht="15">
      <c r="A50" s="188"/>
      <c r="B50" s="188"/>
      <c r="C50" s="188"/>
      <c r="D50" s="188"/>
      <c r="E50" s="188"/>
      <c r="F50" s="188"/>
      <c r="G50" s="188"/>
      <c r="H50" s="188"/>
      <c r="I50" s="188"/>
      <c r="J50" s="188"/>
      <c r="K50" s="188"/>
    </row>
    <row r="51" spans="1:11" ht="15">
      <c r="A51" s="188"/>
      <c r="B51" s="188"/>
      <c r="C51" s="188"/>
      <c r="D51" s="188"/>
      <c r="E51" s="188"/>
      <c r="F51" s="188"/>
      <c r="G51" s="188"/>
      <c r="H51" s="188"/>
      <c r="I51" s="188"/>
      <c r="J51" s="188"/>
      <c r="K51" s="188"/>
    </row>
    <row r="52" spans="1:11" ht="15">
      <c r="A52" s="188"/>
      <c r="B52" s="188"/>
      <c r="C52" s="188"/>
      <c r="D52" s="188"/>
      <c r="E52" s="188"/>
      <c r="F52" s="188"/>
      <c r="G52" s="188"/>
      <c r="H52" s="188"/>
      <c r="I52" s="188"/>
      <c r="J52" s="188"/>
      <c r="K52" s="188"/>
    </row>
    <row r="53" spans="1:11" ht="15">
      <c r="A53" s="188"/>
      <c r="B53" s="188"/>
      <c r="C53" s="188"/>
      <c r="D53" s="188"/>
      <c r="E53" s="188"/>
      <c r="F53" s="188"/>
      <c r="G53" s="188"/>
      <c r="H53" s="188"/>
      <c r="I53" s="188"/>
      <c r="J53" s="188"/>
      <c r="K53" s="188"/>
    </row>
    <row r="54" spans="1:11" ht="15">
      <c r="A54" s="188"/>
      <c r="B54" s="188"/>
      <c r="C54" s="188"/>
      <c r="D54" s="188"/>
      <c r="E54" s="188"/>
      <c r="F54" s="188"/>
      <c r="G54" s="188"/>
      <c r="H54" s="188"/>
      <c r="I54" s="188"/>
      <c r="J54" s="188"/>
      <c r="K54" s="188"/>
    </row>
    <row r="55" spans="1:11" ht="15">
      <c r="A55" s="188"/>
      <c r="B55" s="188"/>
      <c r="C55" s="188"/>
      <c r="D55" s="188"/>
      <c r="E55" s="188"/>
      <c r="F55" s="188"/>
      <c r="G55" s="188"/>
      <c r="H55" s="188"/>
      <c r="I55" s="188"/>
      <c r="J55" s="188"/>
      <c r="K55" s="188"/>
    </row>
    <row r="56" spans="1:11" ht="15">
      <c r="A56" s="188"/>
      <c r="B56" s="188"/>
      <c r="C56" s="188"/>
      <c r="D56" s="188"/>
      <c r="E56" s="188"/>
      <c r="F56" s="188"/>
      <c r="G56" s="188"/>
      <c r="H56" s="188"/>
      <c r="I56" s="188"/>
      <c r="J56" s="188"/>
      <c r="K56" s="188"/>
    </row>
    <row r="57" spans="1:11" ht="15">
      <c r="A57" s="188"/>
      <c r="B57" s="188"/>
      <c r="C57" s="188"/>
      <c r="D57" s="188"/>
      <c r="E57" s="188"/>
      <c r="F57" s="188"/>
      <c r="G57" s="188"/>
      <c r="H57" s="188"/>
      <c r="I57" s="188"/>
      <c r="J57" s="188"/>
      <c r="K57" s="188"/>
    </row>
  </sheetData>
  <phoneticPr fontId="32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94"/>
  <sheetViews>
    <sheetView zoomScaleNormal="100" workbookViewId="0"/>
  </sheetViews>
  <sheetFormatPr defaultRowHeight="12.75"/>
  <cols>
    <col min="2" max="2" width="3.140625" customWidth="1"/>
    <col min="3" max="3" width="22.85546875" customWidth="1"/>
    <col min="4" max="4" width="18.140625" customWidth="1"/>
    <col min="5" max="5" width="3" customWidth="1"/>
    <col min="6" max="6" width="18.140625" customWidth="1"/>
    <col min="7" max="7" width="3.140625" customWidth="1"/>
    <col min="8" max="8" width="18.140625" customWidth="1"/>
    <col min="9" max="9" width="3.140625" customWidth="1"/>
  </cols>
  <sheetData>
    <row r="1" spans="1:10" ht="18">
      <c r="A1" s="1"/>
      <c r="B1" s="1"/>
      <c r="C1" s="139" t="s">
        <v>313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0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3" t="s">
        <v>1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">
      <c r="A6" s="1"/>
      <c r="B6" s="4"/>
      <c r="C6" s="5"/>
      <c r="D6" s="6"/>
      <c r="E6" s="7"/>
      <c r="F6" s="1"/>
      <c r="G6" s="1"/>
      <c r="H6" s="1"/>
      <c r="I6" s="1"/>
      <c r="J6" s="1"/>
    </row>
    <row r="7" spans="1:10" ht="15">
      <c r="A7" s="1"/>
      <c r="B7" s="8"/>
      <c r="C7" s="9" t="s">
        <v>3</v>
      </c>
      <c r="D7" s="75">
        <v>275000</v>
      </c>
      <c r="E7" s="10"/>
      <c r="F7" s="1"/>
      <c r="G7" s="1"/>
      <c r="H7" s="1"/>
      <c r="I7" s="1"/>
      <c r="J7" s="1"/>
    </row>
    <row r="8" spans="1:10" ht="15">
      <c r="A8" s="1"/>
      <c r="B8" s="8"/>
      <c r="C8" s="9" t="s">
        <v>4</v>
      </c>
      <c r="D8" s="75">
        <v>21000</v>
      </c>
      <c r="E8" s="10"/>
      <c r="F8" s="1"/>
      <c r="G8" s="1"/>
      <c r="H8" s="1"/>
      <c r="I8" s="1"/>
      <c r="J8" s="1"/>
    </row>
    <row r="9" spans="1:10" ht="15">
      <c r="A9" s="1"/>
      <c r="B9" s="8"/>
      <c r="C9" s="9" t="s">
        <v>8</v>
      </c>
      <c r="D9" s="76">
        <v>0.25</v>
      </c>
      <c r="E9" s="10"/>
      <c r="F9" s="1"/>
      <c r="G9" s="1"/>
      <c r="H9" s="1"/>
      <c r="I9" s="1"/>
      <c r="J9" s="1"/>
    </row>
    <row r="10" spans="1:10" ht="15">
      <c r="A10" s="1"/>
      <c r="B10" s="8"/>
      <c r="C10" s="9" t="s">
        <v>9</v>
      </c>
      <c r="D10" s="76">
        <v>0.4</v>
      </c>
      <c r="E10" s="10"/>
      <c r="F10" s="1"/>
      <c r="G10" s="1"/>
      <c r="H10" s="1"/>
      <c r="I10" s="1"/>
      <c r="J10" s="1"/>
    </row>
    <row r="11" spans="1:10" ht="15">
      <c r="A11" s="1"/>
      <c r="B11" s="8"/>
      <c r="C11" s="9" t="s">
        <v>5</v>
      </c>
      <c r="D11" s="75">
        <v>99000</v>
      </c>
      <c r="E11" s="10"/>
      <c r="F11" s="1"/>
      <c r="G11" s="1"/>
      <c r="H11" s="1"/>
      <c r="I11" s="1"/>
      <c r="J11" s="1"/>
    </row>
    <row r="12" spans="1:10" ht="15">
      <c r="A12" s="1"/>
      <c r="B12" s="8"/>
      <c r="C12" s="9" t="s">
        <v>6</v>
      </c>
      <c r="D12" s="76">
        <v>0.08</v>
      </c>
      <c r="E12" s="10"/>
      <c r="F12" s="1"/>
      <c r="G12" s="1"/>
      <c r="H12" s="1"/>
      <c r="I12" s="1"/>
      <c r="J12" s="1"/>
    </row>
    <row r="13" spans="1:10" ht="15">
      <c r="A13" s="1"/>
      <c r="B13" s="8"/>
      <c r="C13" s="9" t="s">
        <v>7</v>
      </c>
      <c r="D13" s="77">
        <v>5000</v>
      </c>
      <c r="E13" s="10"/>
      <c r="F13" s="1"/>
      <c r="G13" s="1"/>
      <c r="H13" s="1"/>
      <c r="I13" s="1"/>
      <c r="J13" s="1"/>
    </row>
    <row r="14" spans="1:10" ht="15.75" thickBot="1">
      <c r="A14" s="1"/>
      <c r="B14" s="11"/>
      <c r="C14" s="12"/>
      <c r="D14" s="13"/>
      <c r="E14" s="14"/>
      <c r="F14" s="1"/>
      <c r="G14" s="1"/>
      <c r="H14" s="1"/>
      <c r="I14" s="1"/>
      <c r="J14" s="1"/>
    </row>
    <row r="15" spans="1:10" ht="1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15">
      <c r="A16" s="1"/>
      <c r="B16" s="1"/>
      <c r="C16" s="3" t="s">
        <v>2</v>
      </c>
      <c r="D16" s="1"/>
      <c r="E16" s="1"/>
      <c r="F16" s="1"/>
      <c r="G16" s="1"/>
      <c r="H16" s="1"/>
      <c r="I16" s="1"/>
      <c r="J16" s="1"/>
    </row>
    <row r="17" spans="1:10" ht="15.75" thickBot="1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5">
      <c r="A18" s="1"/>
      <c r="B18" s="15"/>
      <c r="C18" s="16"/>
      <c r="D18" s="16"/>
      <c r="E18" s="16"/>
      <c r="F18" s="16"/>
      <c r="G18" s="16"/>
      <c r="H18" s="16"/>
      <c r="I18" s="17"/>
      <c r="J18" s="1"/>
    </row>
    <row r="19" spans="1:10" ht="15">
      <c r="A19" s="1"/>
      <c r="B19" s="18"/>
      <c r="C19" s="78" t="s">
        <v>129</v>
      </c>
      <c r="D19" s="29"/>
      <c r="E19" s="29"/>
      <c r="F19" s="29"/>
      <c r="G19" s="29"/>
      <c r="H19" s="29"/>
      <c r="I19" s="19"/>
      <c r="J19" s="1"/>
    </row>
    <row r="20" spans="1:10" ht="15">
      <c r="A20" s="1"/>
      <c r="B20" s="18"/>
      <c r="C20" s="22" t="s">
        <v>4</v>
      </c>
      <c r="D20" s="92">
        <f>D8*(1-D10)</f>
        <v>12600</v>
      </c>
      <c r="E20" s="92"/>
      <c r="F20" s="92">
        <f>D8</f>
        <v>21000</v>
      </c>
      <c r="G20" s="92"/>
      <c r="H20" s="92">
        <f>D8*(1+D9)</f>
        <v>26250</v>
      </c>
      <c r="I20" s="19"/>
      <c r="J20" s="1"/>
    </row>
    <row r="21" spans="1:10" ht="15">
      <c r="A21" s="1"/>
      <c r="B21" s="18"/>
      <c r="C21" s="22" t="s">
        <v>10</v>
      </c>
      <c r="D21" s="93">
        <v>0</v>
      </c>
      <c r="E21" s="93"/>
      <c r="F21" s="93">
        <v>0</v>
      </c>
      <c r="G21" s="93"/>
      <c r="H21" s="93">
        <v>0</v>
      </c>
      <c r="I21" s="19"/>
      <c r="J21" s="1"/>
    </row>
    <row r="22" spans="1:10" ht="15.75" thickBot="1">
      <c r="A22" s="1"/>
      <c r="B22" s="18"/>
      <c r="C22" s="22" t="s">
        <v>11</v>
      </c>
      <c r="D22" s="94">
        <f>D20-D21</f>
        <v>12600</v>
      </c>
      <c r="E22" s="94"/>
      <c r="F22" s="94">
        <f>F20-F21</f>
        <v>21000</v>
      </c>
      <c r="G22" s="94"/>
      <c r="H22" s="94">
        <f>H20-H21</f>
        <v>26250</v>
      </c>
      <c r="I22" s="19"/>
      <c r="J22" s="1"/>
    </row>
    <row r="23" spans="1:10" ht="16.5" thickTop="1">
      <c r="A23" s="1"/>
      <c r="B23" s="18"/>
      <c r="C23" s="22" t="s">
        <v>12</v>
      </c>
      <c r="D23" s="51">
        <f>D22/D13</f>
        <v>2.52</v>
      </c>
      <c r="E23" s="46"/>
      <c r="F23" s="51">
        <f>F22/D13</f>
        <v>4.2</v>
      </c>
      <c r="G23" s="46"/>
      <c r="H23" s="51">
        <f>H22/D13</f>
        <v>5.25</v>
      </c>
      <c r="I23" s="19"/>
      <c r="J23" s="1"/>
    </row>
    <row r="24" spans="1:10" ht="15.75">
      <c r="A24" s="1"/>
      <c r="B24" s="18"/>
      <c r="C24" s="22" t="s">
        <v>13</v>
      </c>
      <c r="D24" s="99">
        <f>(D23-F23)/F23</f>
        <v>-0.4</v>
      </c>
      <c r="E24" s="99"/>
      <c r="F24" s="99">
        <f>(F23-F23)/F23</f>
        <v>0</v>
      </c>
      <c r="G24" s="99"/>
      <c r="H24" s="99">
        <f>(H23-F23)/F23</f>
        <v>0.24999999999999994</v>
      </c>
      <c r="I24" s="19"/>
      <c r="J24" s="1"/>
    </row>
    <row r="25" spans="1:10" ht="15">
      <c r="A25" s="1"/>
      <c r="B25" s="18"/>
      <c r="C25" s="22"/>
      <c r="D25" s="24"/>
      <c r="E25" s="29"/>
      <c r="F25" s="29"/>
      <c r="G25" s="29"/>
      <c r="H25" s="29"/>
      <c r="I25" s="19"/>
      <c r="J25" s="1"/>
    </row>
    <row r="26" spans="1:10" ht="15">
      <c r="A26" s="1"/>
      <c r="B26" s="18"/>
      <c r="C26" s="79" t="s">
        <v>130</v>
      </c>
      <c r="D26" s="24"/>
      <c r="E26" s="29"/>
      <c r="F26" s="29"/>
      <c r="G26" s="29"/>
      <c r="H26" s="29"/>
      <c r="I26" s="19"/>
      <c r="J26" s="1"/>
    </row>
    <row r="27" spans="1:10" ht="15">
      <c r="A27" s="1"/>
      <c r="B27" s="18"/>
      <c r="C27" s="22" t="s">
        <v>131</v>
      </c>
      <c r="D27" s="80">
        <f>D7/D13</f>
        <v>55</v>
      </c>
      <c r="E27" s="29"/>
      <c r="F27" s="29"/>
      <c r="G27" s="29"/>
      <c r="H27" s="29"/>
      <c r="I27" s="19"/>
      <c r="J27" s="1"/>
    </row>
    <row r="28" spans="1:10" ht="15">
      <c r="A28" s="1"/>
      <c r="B28" s="18"/>
      <c r="C28" s="22" t="s">
        <v>132</v>
      </c>
      <c r="D28" s="81">
        <f>D11/D27</f>
        <v>1800</v>
      </c>
      <c r="E28" s="29"/>
      <c r="F28" s="29"/>
      <c r="G28" s="29"/>
      <c r="H28" s="29"/>
      <c r="I28" s="19"/>
      <c r="J28" s="1"/>
    </row>
    <row r="29" spans="1:10" ht="15">
      <c r="A29" s="1"/>
      <c r="B29" s="18"/>
      <c r="C29" s="22"/>
      <c r="D29" s="24"/>
      <c r="E29" s="29"/>
      <c r="F29" s="29"/>
      <c r="G29" s="29"/>
      <c r="H29" s="29"/>
      <c r="I29" s="19"/>
      <c r="J29" s="1"/>
    </row>
    <row r="30" spans="1:10" ht="15">
      <c r="A30" s="1"/>
      <c r="B30" s="18"/>
      <c r="C30" s="22" t="s">
        <v>4</v>
      </c>
      <c r="D30" s="92">
        <f>D8*(1-D10)</f>
        <v>12600</v>
      </c>
      <c r="E30" s="92"/>
      <c r="F30" s="92">
        <f>D8</f>
        <v>21000</v>
      </c>
      <c r="G30" s="92"/>
      <c r="H30" s="92">
        <f>D8*(1+D9)</f>
        <v>26250</v>
      </c>
      <c r="I30" s="19"/>
      <c r="J30" s="1"/>
    </row>
    <row r="31" spans="1:10" ht="15">
      <c r="A31" s="1"/>
      <c r="B31" s="18"/>
      <c r="C31" s="22" t="s">
        <v>10</v>
      </c>
      <c r="D31" s="93">
        <f>$D$12*$D$11</f>
        <v>7920</v>
      </c>
      <c r="E31" s="93">
        <f>$D$12*$D$11</f>
        <v>7920</v>
      </c>
      <c r="F31" s="93">
        <f>$D$12*$D$11</f>
        <v>7920</v>
      </c>
      <c r="G31" s="93">
        <f>$D$12*$D$11</f>
        <v>7920</v>
      </c>
      <c r="H31" s="93">
        <f>$D$12*$D$11</f>
        <v>7920</v>
      </c>
      <c r="I31" s="19"/>
      <c r="J31" s="1"/>
    </row>
    <row r="32" spans="1:10" ht="15.75" thickBot="1">
      <c r="A32" s="1"/>
      <c r="B32" s="18"/>
      <c r="C32" s="22" t="s">
        <v>11</v>
      </c>
      <c r="D32" s="95">
        <f>D30-D31</f>
        <v>4680</v>
      </c>
      <c r="E32" s="96"/>
      <c r="F32" s="97">
        <f>F30-F31</f>
        <v>13080</v>
      </c>
      <c r="G32" s="96"/>
      <c r="H32" s="97">
        <f>H30-H31</f>
        <v>18330</v>
      </c>
      <c r="I32" s="19"/>
      <c r="J32" s="1"/>
    </row>
    <row r="33" spans="1:10" ht="16.5" thickTop="1">
      <c r="A33" s="1"/>
      <c r="B33" s="18"/>
      <c r="C33" s="22" t="s">
        <v>12</v>
      </c>
      <c r="D33" s="98">
        <f>D32/(D13-D28)</f>
        <v>1.4624999999999999</v>
      </c>
      <c r="E33" s="98"/>
      <c r="F33" s="98">
        <f>F32/(D13-D28)</f>
        <v>4.0875000000000004</v>
      </c>
      <c r="G33" s="98"/>
      <c r="H33" s="98">
        <f>H32/(D13-D28)</f>
        <v>5.7281250000000004</v>
      </c>
      <c r="I33" s="19"/>
      <c r="J33" s="1"/>
    </row>
    <row r="34" spans="1:10" ht="15.75">
      <c r="A34" s="1"/>
      <c r="B34" s="18"/>
      <c r="C34" s="22" t="s">
        <v>13</v>
      </c>
      <c r="D34" s="99">
        <f>(D33-F33)/F33</f>
        <v>-0.64220183486238536</v>
      </c>
      <c r="E34" s="100"/>
      <c r="F34" s="99">
        <f>(F23-F23)/F23</f>
        <v>0</v>
      </c>
      <c r="G34" s="99"/>
      <c r="H34" s="99">
        <f>(H33-F33)/F33</f>
        <v>0.40137614678899081</v>
      </c>
      <c r="I34" s="19"/>
      <c r="J34" s="1"/>
    </row>
    <row r="35" spans="1:10" ht="15.75" thickBot="1">
      <c r="A35" s="1"/>
      <c r="B35" s="20"/>
      <c r="C35" s="23"/>
      <c r="D35" s="25"/>
      <c r="E35" s="30"/>
      <c r="F35" s="30"/>
      <c r="G35" s="30"/>
      <c r="H35" s="30"/>
      <c r="I35" s="21"/>
      <c r="J35" s="1"/>
    </row>
    <row r="36" spans="1:10" ht="1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5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ht="15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ht="15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ht="15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ht="15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ht="15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ht="15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ht="15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ht="15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ht="15">
      <c r="A94" s="1"/>
      <c r="B94" s="1"/>
      <c r="C94" s="1"/>
      <c r="D94" s="1"/>
      <c r="E94" s="1"/>
      <c r="F94" s="1"/>
      <c r="G94" s="1"/>
      <c r="H94" s="1"/>
      <c r="I94" s="1"/>
      <c r="J94" s="1"/>
    </row>
  </sheetData>
  <phoneticPr fontId="18" type="noConversion"/>
  <pageMargins left="0.75" right="0.75" top="1" bottom="1" header="0.5" footer="0.5"/>
  <pageSetup scale="92" orientation="portrait" horizontalDpi="360" verticalDpi="36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I51"/>
  <sheetViews>
    <sheetView workbookViewId="0"/>
  </sheetViews>
  <sheetFormatPr defaultRowHeight="12.75"/>
  <cols>
    <col min="2" max="2" width="3.140625" customWidth="1"/>
    <col min="3" max="3" width="17.5703125" customWidth="1"/>
    <col min="4" max="4" width="21.7109375" customWidth="1"/>
    <col min="5" max="5" width="15" customWidth="1"/>
    <col min="6" max="6" width="18.140625" customWidth="1"/>
    <col min="7" max="7" width="3.140625" customWidth="1"/>
    <col min="8" max="8" width="15.42578125" customWidth="1"/>
  </cols>
  <sheetData>
    <row r="1" spans="1:9" ht="18">
      <c r="A1" s="1"/>
      <c r="B1" s="1"/>
      <c r="C1" s="139" t="s">
        <v>313</v>
      </c>
      <c r="D1" s="1"/>
      <c r="E1" s="1"/>
      <c r="F1" s="1"/>
      <c r="G1" s="1"/>
      <c r="H1" s="1"/>
      <c r="I1" s="1"/>
    </row>
    <row r="2" spans="1:9" ht="15">
      <c r="A2" s="1"/>
      <c r="B2" s="1"/>
      <c r="C2" s="1" t="s">
        <v>117</v>
      </c>
      <c r="D2" s="1"/>
      <c r="E2" s="1"/>
      <c r="F2" s="1"/>
      <c r="G2" s="1"/>
      <c r="H2" s="1"/>
      <c r="I2" s="1"/>
    </row>
    <row r="3" spans="1:9" ht="15">
      <c r="A3" s="1"/>
      <c r="B3" s="1"/>
      <c r="C3" s="1"/>
      <c r="D3" s="1"/>
      <c r="E3" s="1"/>
      <c r="F3" s="1"/>
      <c r="G3" s="1"/>
      <c r="H3" s="1"/>
      <c r="I3" s="1"/>
    </row>
    <row r="4" spans="1:9" ht="15">
      <c r="A4" s="1"/>
      <c r="B4" s="1"/>
      <c r="C4" s="3" t="s">
        <v>1</v>
      </c>
      <c r="D4" s="1"/>
      <c r="E4" s="1"/>
      <c r="F4" s="1"/>
      <c r="G4" s="1"/>
      <c r="H4" s="1"/>
      <c r="I4" s="1"/>
    </row>
    <row r="5" spans="1:9" ht="15.75" thickBot="1">
      <c r="A5" s="1"/>
      <c r="B5" s="1"/>
      <c r="C5" s="1"/>
      <c r="D5" s="1"/>
      <c r="E5" s="1"/>
      <c r="F5" s="1"/>
      <c r="G5" s="1"/>
      <c r="H5" s="1"/>
      <c r="I5" s="1"/>
    </row>
    <row r="6" spans="1:9" ht="15.75" customHeight="1">
      <c r="A6" s="1"/>
      <c r="B6" s="4"/>
      <c r="C6" s="5"/>
      <c r="D6" s="6"/>
      <c r="E6" s="7"/>
      <c r="F6" s="1"/>
      <c r="G6" s="1"/>
      <c r="H6" s="1"/>
      <c r="I6" s="1"/>
    </row>
    <row r="7" spans="1:9" ht="15">
      <c r="A7" s="1"/>
      <c r="B7" s="8"/>
      <c r="C7" s="9" t="s">
        <v>206</v>
      </c>
      <c r="D7" s="75">
        <v>1800000</v>
      </c>
      <c r="E7" s="10"/>
      <c r="F7" s="1"/>
      <c r="G7" s="1"/>
      <c r="H7" s="1"/>
      <c r="I7" s="1"/>
    </row>
    <row r="8" spans="1:9" ht="15">
      <c r="A8" s="1"/>
      <c r="B8" s="8"/>
      <c r="C8" s="9" t="s">
        <v>6</v>
      </c>
      <c r="D8" s="76">
        <v>0.08</v>
      </c>
      <c r="E8" s="10"/>
      <c r="F8" s="1"/>
      <c r="G8" s="1"/>
      <c r="H8" s="1"/>
      <c r="I8" s="1"/>
    </row>
    <row r="9" spans="1:9" ht="15">
      <c r="A9" s="1"/>
      <c r="B9" s="8"/>
      <c r="C9" s="9" t="s">
        <v>15</v>
      </c>
      <c r="D9" s="132">
        <v>0.35</v>
      </c>
      <c r="E9" s="10"/>
      <c r="F9" s="1"/>
      <c r="G9" s="1"/>
      <c r="H9" s="1"/>
      <c r="I9" s="1"/>
    </row>
    <row r="10" spans="1:9" ht="15.75" thickBot="1">
      <c r="A10" s="1"/>
      <c r="B10" s="11"/>
      <c r="C10" s="12"/>
      <c r="D10" s="13"/>
      <c r="E10" s="14"/>
      <c r="F10" s="1"/>
      <c r="G10" s="1"/>
      <c r="H10" s="1"/>
      <c r="I10" s="1"/>
    </row>
    <row r="11" spans="1:9" ht="15">
      <c r="A11" s="1"/>
      <c r="B11" s="1"/>
      <c r="C11" s="1"/>
      <c r="D11" s="1"/>
      <c r="E11" s="1"/>
      <c r="F11" s="1"/>
      <c r="G11" s="1"/>
      <c r="H11" s="1"/>
      <c r="I11" s="1"/>
    </row>
    <row r="12" spans="1:9" ht="15">
      <c r="A12" s="1"/>
      <c r="B12" s="1"/>
      <c r="C12" s="3" t="s">
        <v>2</v>
      </c>
      <c r="D12" s="1"/>
      <c r="E12" s="1"/>
      <c r="F12" s="1"/>
      <c r="G12" s="1"/>
      <c r="H12" s="1"/>
      <c r="I12" s="1"/>
    </row>
    <row r="13" spans="1:9" ht="15.75" thickBot="1">
      <c r="A13" s="1"/>
      <c r="B13" s="1"/>
      <c r="C13" s="1"/>
      <c r="D13" s="1"/>
      <c r="E13" s="1"/>
      <c r="F13" s="1"/>
      <c r="G13" s="1"/>
      <c r="H13" s="1"/>
      <c r="I13" s="1"/>
    </row>
    <row r="14" spans="1:9" ht="15">
      <c r="A14" s="1"/>
      <c r="B14" s="15"/>
      <c r="C14" s="16"/>
      <c r="D14" s="16"/>
      <c r="E14" s="16"/>
      <c r="F14" s="16"/>
      <c r="G14" s="17"/>
      <c r="H14" s="35"/>
      <c r="I14" s="47"/>
    </row>
    <row r="15" spans="1:9" ht="15">
      <c r="A15" s="1"/>
      <c r="B15" s="18"/>
      <c r="C15" s="152" t="s">
        <v>207</v>
      </c>
      <c r="D15" s="151" t="s">
        <v>208</v>
      </c>
      <c r="E15" s="153" t="s">
        <v>10</v>
      </c>
      <c r="F15" s="153" t="s">
        <v>209</v>
      </c>
      <c r="G15" s="43"/>
      <c r="H15" s="35"/>
      <c r="I15" s="47"/>
    </row>
    <row r="16" spans="1:9" ht="15">
      <c r="A16" s="1"/>
      <c r="B16" s="18"/>
      <c r="C16" s="117">
        <v>0</v>
      </c>
      <c r="D16" s="131">
        <f>D7</f>
        <v>1800000</v>
      </c>
      <c r="E16" s="120"/>
      <c r="F16" s="120"/>
      <c r="G16" s="43"/>
      <c r="H16" s="35"/>
      <c r="I16" s="47"/>
    </row>
    <row r="17" spans="1:9" ht="15">
      <c r="A17" s="1"/>
      <c r="B17" s="18"/>
      <c r="C17" s="117">
        <v>1</v>
      </c>
      <c r="D17" s="154">
        <f>D7/2</f>
        <v>900000</v>
      </c>
      <c r="E17" s="120">
        <f>D16*D8</f>
        <v>144000</v>
      </c>
      <c r="F17" s="120">
        <f>E17*D9</f>
        <v>50400</v>
      </c>
      <c r="G17" s="43"/>
      <c r="H17" s="35"/>
      <c r="I17" s="47"/>
    </row>
    <row r="18" spans="1:9" ht="15">
      <c r="A18" s="1"/>
      <c r="B18" s="18"/>
      <c r="C18" s="22">
        <v>2</v>
      </c>
      <c r="D18" s="154">
        <f>0</f>
        <v>0</v>
      </c>
      <c r="E18" s="155">
        <f>D17*D8</f>
        <v>72000</v>
      </c>
      <c r="F18" s="155">
        <f>E18*D9</f>
        <v>25200</v>
      </c>
      <c r="G18" s="43"/>
      <c r="H18" s="35"/>
      <c r="I18" s="47"/>
    </row>
    <row r="19" spans="1:9" ht="15">
      <c r="A19" s="1"/>
      <c r="B19" s="18"/>
      <c r="C19" s="22"/>
      <c r="D19" s="154"/>
      <c r="E19" s="155"/>
      <c r="F19" s="155"/>
      <c r="G19" s="43"/>
      <c r="H19" s="35"/>
      <c r="I19" s="47"/>
    </row>
    <row r="20" spans="1:9" ht="15.75">
      <c r="A20" s="1"/>
      <c r="B20" s="18"/>
      <c r="C20" s="22" t="s">
        <v>210</v>
      </c>
      <c r="D20" s="150"/>
      <c r="E20" s="156">
        <f>NPV(D8,F17:F18)</f>
        <v>68271.604938271601</v>
      </c>
      <c r="F20" s="41"/>
      <c r="G20" s="43"/>
      <c r="H20" s="35"/>
      <c r="I20" s="47"/>
    </row>
    <row r="21" spans="1:9" ht="15.75" thickBot="1">
      <c r="A21" s="1"/>
      <c r="B21" s="20"/>
      <c r="C21" s="23"/>
      <c r="D21" s="48"/>
      <c r="E21" s="59"/>
      <c r="F21" s="60"/>
      <c r="G21" s="61"/>
      <c r="H21" s="35"/>
      <c r="I21" s="47"/>
    </row>
    <row r="22" spans="1:9" ht="15">
      <c r="A22" s="1"/>
      <c r="B22" s="1"/>
      <c r="C22" s="47"/>
      <c r="D22" s="47"/>
      <c r="E22" s="47"/>
      <c r="F22" s="47"/>
      <c r="G22" s="47"/>
      <c r="H22" s="1"/>
      <c r="I22" s="1"/>
    </row>
    <row r="23" spans="1:9" ht="15">
      <c r="A23" s="1"/>
      <c r="B23" s="1"/>
      <c r="C23" s="47"/>
      <c r="D23" s="47"/>
      <c r="E23" s="47"/>
      <c r="F23" s="47"/>
      <c r="G23" s="47"/>
      <c r="H23" s="1"/>
      <c r="I23" s="1"/>
    </row>
    <row r="24" spans="1:9" ht="15">
      <c r="A24" s="1"/>
      <c r="B24" s="1"/>
      <c r="C24" s="47"/>
      <c r="D24" s="47"/>
      <c r="E24" s="47"/>
      <c r="F24" s="47"/>
      <c r="G24" s="47"/>
      <c r="H24" s="1"/>
      <c r="I24" s="1"/>
    </row>
    <row r="25" spans="1:9" ht="15">
      <c r="A25" s="1"/>
      <c r="B25" s="1"/>
      <c r="C25" s="47"/>
      <c r="D25" s="47"/>
      <c r="E25" s="47"/>
      <c r="F25" s="47"/>
      <c r="G25" s="47"/>
      <c r="H25" s="1"/>
      <c r="I25" s="1"/>
    </row>
    <row r="26" spans="1:9" ht="15">
      <c r="A26" s="1"/>
      <c r="B26" s="1"/>
      <c r="C26" s="1"/>
      <c r="D26" s="1"/>
      <c r="E26" s="1"/>
      <c r="F26" s="1"/>
      <c r="G26" s="1"/>
      <c r="H26" s="1"/>
      <c r="I26" s="1"/>
    </row>
    <row r="27" spans="1:9" ht="15">
      <c r="A27" s="1"/>
      <c r="B27" s="1"/>
      <c r="C27" s="1"/>
      <c r="D27" s="1"/>
      <c r="E27" s="1"/>
      <c r="F27" s="1"/>
      <c r="G27" s="1"/>
      <c r="H27" s="1"/>
      <c r="I27" s="1"/>
    </row>
    <row r="28" spans="1:9" ht="15">
      <c r="A28" s="1"/>
      <c r="B28" s="1"/>
      <c r="C28" s="1"/>
      <c r="D28" s="1"/>
      <c r="E28" s="1"/>
      <c r="F28" s="1"/>
      <c r="G28" s="1"/>
      <c r="H28" s="1"/>
      <c r="I28" s="1"/>
    </row>
    <row r="29" spans="1:9" ht="15">
      <c r="A29" s="1"/>
      <c r="B29" s="1"/>
      <c r="C29" s="1"/>
      <c r="D29" s="1"/>
      <c r="E29" s="1"/>
      <c r="F29" s="1"/>
      <c r="G29" s="1"/>
      <c r="H29" s="1"/>
      <c r="I29" s="1"/>
    </row>
    <row r="30" spans="1:9" ht="15">
      <c r="A30" s="1"/>
      <c r="B30" s="1"/>
      <c r="C30" s="1"/>
      <c r="D30" s="1"/>
      <c r="E30" s="1"/>
      <c r="F30" s="1"/>
      <c r="G30" s="1"/>
      <c r="H30" s="1"/>
      <c r="I30" s="1"/>
    </row>
    <row r="31" spans="1:9" ht="15">
      <c r="A31" s="1"/>
      <c r="B31" s="1"/>
      <c r="C31" s="1"/>
      <c r="D31" s="1"/>
      <c r="E31" s="1"/>
      <c r="F31" s="1"/>
      <c r="G31" s="1"/>
      <c r="H31" s="1"/>
      <c r="I31" s="1"/>
    </row>
    <row r="32" spans="1:9" ht="15">
      <c r="A32" s="1"/>
      <c r="B32" s="1"/>
      <c r="C32" s="1"/>
      <c r="D32" s="1"/>
      <c r="E32" s="1"/>
      <c r="F32" s="1"/>
      <c r="G32" s="1"/>
      <c r="H32" s="1"/>
      <c r="I32" s="1"/>
    </row>
    <row r="33" spans="1:9" ht="15">
      <c r="A33" s="1"/>
      <c r="B33" s="1"/>
      <c r="C33" s="1"/>
      <c r="D33" s="1"/>
      <c r="E33" s="1"/>
      <c r="F33" s="1"/>
      <c r="G33" s="1"/>
      <c r="H33" s="1"/>
      <c r="I33" s="1"/>
    </row>
    <row r="34" spans="1:9" ht="15">
      <c r="A34" s="1"/>
      <c r="B34" s="1"/>
      <c r="C34" s="1"/>
      <c r="D34" s="1"/>
      <c r="E34" s="1"/>
      <c r="F34" s="1"/>
      <c r="G34" s="1"/>
      <c r="H34" s="1"/>
      <c r="I34" s="1"/>
    </row>
    <row r="35" spans="1:9" ht="15">
      <c r="A35" s="1"/>
      <c r="B35" s="1"/>
      <c r="C35" s="1"/>
      <c r="D35" s="1"/>
      <c r="E35" s="1"/>
      <c r="F35" s="1"/>
      <c r="G35" s="1"/>
      <c r="H35" s="1"/>
      <c r="I35" s="1"/>
    </row>
    <row r="36" spans="1:9" ht="15">
      <c r="A36" s="1"/>
      <c r="B36" s="1"/>
      <c r="C36" s="1"/>
      <c r="D36" s="1"/>
      <c r="E36" s="1"/>
      <c r="F36" s="1"/>
      <c r="G36" s="1"/>
      <c r="H36" s="1"/>
      <c r="I36" s="1"/>
    </row>
    <row r="37" spans="1:9" ht="15">
      <c r="A37" s="1"/>
      <c r="B37" s="1"/>
      <c r="C37" s="1"/>
      <c r="D37" s="1"/>
      <c r="E37" s="1"/>
      <c r="F37" s="1"/>
      <c r="G37" s="1"/>
      <c r="H37" s="1"/>
      <c r="I37" s="1"/>
    </row>
    <row r="38" spans="1:9" ht="15">
      <c r="A38" s="1"/>
      <c r="B38" s="1"/>
      <c r="C38" s="1"/>
      <c r="D38" s="1"/>
      <c r="E38" s="1"/>
      <c r="F38" s="1"/>
      <c r="G38" s="1"/>
      <c r="H38" s="1"/>
      <c r="I38" s="1"/>
    </row>
    <row r="39" spans="1:9" ht="15">
      <c r="A39" s="1"/>
      <c r="B39" s="1"/>
      <c r="C39" s="1"/>
      <c r="D39" s="1"/>
      <c r="E39" s="1"/>
      <c r="F39" s="1"/>
      <c r="G39" s="1"/>
      <c r="H39" s="1"/>
      <c r="I39" s="1"/>
    </row>
    <row r="40" spans="1:9" ht="15">
      <c r="A40" s="1"/>
      <c r="B40" s="1"/>
      <c r="C40" s="1"/>
      <c r="D40" s="1"/>
      <c r="E40" s="1"/>
      <c r="F40" s="1"/>
      <c r="G40" s="1"/>
      <c r="H40" s="1"/>
      <c r="I40" s="1"/>
    </row>
    <row r="41" spans="1:9" ht="15">
      <c r="A41" s="1"/>
      <c r="B41" s="1"/>
      <c r="C41" s="1"/>
      <c r="D41" s="1"/>
      <c r="E41" s="1"/>
      <c r="F41" s="1"/>
      <c r="G41" s="1"/>
      <c r="H41" s="1"/>
      <c r="I41" s="1"/>
    </row>
    <row r="42" spans="1:9" ht="15">
      <c r="A42" s="1"/>
      <c r="B42" s="1"/>
      <c r="C42" s="1"/>
      <c r="D42" s="1"/>
      <c r="E42" s="1"/>
      <c r="F42" s="1"/>
      <c r="G42" s="1"/>
      <c r="H42" s="1"/>
      <c r="I42" s="1"/>
    </row>
    <row r="43" spans="1:9" ht="15">
      <c r="A43" s="1"/>
      <c r="B43" s="1"/>
      <c r="C43" s="1"/>
      <c r="D43" s="1"/>
      <c r="E43" s="1"/>
      <c r="F43" s="1"/>
      <c r="G43" s="1"/>
      <c r="H43" s="1"/>
      <c r="I43" s="1"/>
    </row>
    <row r="44" spans="1:9" ht="15">
      <c r="A44" s="1"/>
      <c r="B44" s="1"/>
      <c r="C44" s="1"/>
      <c r="D44" s="1"/>
      <c r="E44" s="1"/>
      <c r="F44" s="1"/>
      <c r="G44" s="1"/>
      <c r="H44" s="1"/>
      <c r="I44" s="1"/>
    </row>
    <row r="45" spans="1:9" ht="15">
      <c r="A45" s="1"/>
      <c r="B45" s="1"/>
      <c r="C45" s="1"/>
      <c r="D45" s="1"/>
      <c r="E45" s="1"/>
      <c r="F45" s="1"/>
      <c r="G45" s="1"/>
      <c r="H45" s="1"/>
      <c r="I45" s="1"/>
    </row>
    <row r="46" spans="1:9" ht="15">
      <c r="A46" s="1"/>
      <c r="B46" s="1"/>
      <c r="C46" s="1"/>
      <c r="D46" s="1"/>
      <c r="E46" s="1"/>
      <c r="F46" s="1"/>
      <c r="G46" s="1"/>
      <c r="H46" s="1"/>
      <c r="I46" s="1"/>
    </row>
    <row r="47" spans="1:9" ht="15">
      <c r="A47" s="1"/>
      <c r="B47" s="1"/>
      <c r="C47" s="1"/>
      <c r="D47" s="1"/>
      <c r="E47" s="1"/>
      <c r="F47" s="1"/>
      <c r="G47" s="1"/>
      <c r="H47" s="1"/>
      <c r="I47" s="1"/>
    </row>
    <row r="48" spans="1:9" ht="15">
      <c r="A48" s="1"/>
      <c r="B48" s="1"/>
      <c r="C48" s="1"/>
      <c r="D48" s="1"/>
      <c r="E48" s="1"/>
      <c r="F48" s="1"/>
      <c r="G48" s="1"/>
      <c r="H48" s="1"/>
      <c r="I48" s="1"/>
    </row>
    <row r="49" spans="1:9" ht="15">
      <c r="A49" s="1"/>
      <c r="B49" s="1"/>
      <c r="C49" s="1"/>
      <c r="D49" s="1"/>
      <c r="E49" s="1"/>
      <c r="F49" s="1"/>
      <c r="G49" s="1"/>
      <c r="H49" s="1"/>
      <c r="I49" s="1"/>
    </row>
    <row r="50" spans="1:9" ht="15">
      <c r="A50" s="1"/>
      <c r="B50" s="1"/>
      <c r="C50" s="1"/>
      <c r="D50" s="1"/>
      <c r="E50" s="1"/>
      <c r="F50" s="1"/>
      <c r="G50" s="1"/>
      <c r="H50" s="1"/>
      <c r="I50" s="1"/>
    </row>
    <row r="51" spans="1:9" ht="15">
      <c r="A51" s="1"/>
      <c r="B51" s="1"/>
      <c r="C51" s="1"/>
      <c r="D51" s="1"/>
      <c r="E51" s="1"/>
      <c r="F51" s="1"/>
      <c r="G51" s="1"/>
      <c r="H51" s="1"/>
      <c r="I51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J78"/>
  <sheetViews>
    <sheetView workbookViewId="0"/>
  </sheetViews>
  <sheetFormatPr defaultRowHeight="12.75"/>
  <cols>
    <col min="2" max="2" width="3.140625" customWidth="1"/>
    <col min="3" max="3" width="27.5703125" customWidth="1"/>
    <col min="4" max="4" width="22.5703125" customWidth="1"/>
    <col min="5" max="5" width="3.7109375" customWidth="1"/>
    <col min="6" max="7" width="18.140625" customWidth="1"/>
    <col min="8" max="8" width="3.140625" customWidth="1"/>
    <col min="9" max="9" width="15.42578125" customWidth="1"/>
  </cols>
  <sheetData>
    <row r="1" spans="1:10" ht="18">
      <c r="A1" s="1"/>
      <c r="B1" s="1"/>
      <c r="C1" s="139" t="s">
        <v>313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211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3" t="s">
        <v>1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.75" customHeight="1">
      <c r="A6" s="1"/>
      <c r="B6" s="4"/>
      <c r="C6" s="5"/>
      <c r="D6" s="6"/>
      <c r="E6" s="7"/>
      <c r="F6" s="1"/>
      <c r="G6" s="1"/>
      <c r="H6" s="1"/>
      <c r="I6" s="1"/>
      <c r="J6" s="1"/>
    </row>
    <row r="7" spans="1:10" ht="15">
      <c r="A7" s="1"/>
      <c r="B7" s="8"/>
      <c r="C7" s="9" t="s">
        <v>212</v>
      </c>
      <c r="D7" s="113">
        <v>15000</v>
      </c>
      <c r="E7" s="10"/>
      <c r="F7" s="1"/>
      <c r="G7" s="1"/>
      <c r="H7" s="1"/>
      <c r="I7" s="1"/>
      <c r="J7" s="1"/>
    </row>
    <row r="8" spans="1:10" ht="15">
      <c r="A8" s="1"/>
      <c r="B8" s="8"/>
      <c r="C8" s="9" t="s">
        <v>213</v>
      </c>
      <c r="D8" s="157">
        <v>30</v>
      </c>
      <c r="E8" s="10"/>
      <c r="F8" s="1"/>
      <c r="G8" s="1"/>
      <c r="H8" s="1"/>
      <c r="I8" s="1"/>
      <c r="J8" s="1"/>
    </row>
    <row r="9" spans="1:10" ht="15">
      <c r="A9" s="1"/>
      <c r="B9" s="8"/>
      <c r="C9" s="9" t="s">
        <v>214</v>
      </c>
      <c r="D9" s="157">
        <v>65000</v>
      </c>
      <c r="E9" s="10"/>
      <c r="F9" s="1"/>
      <c r="G9" s="1"/>
      <c r="H9" s="1"/>
      <c r="I9" s="1"/>
      <c r="J9" s="1"/>
    </row>
    <row r="10" spans="1:10" ht="15">
      <c r="A10" s="1"/>
      <c r="B10" s="8"/>
      <c r="C10" s="9" t="s">
        <v>215</v>
      </c>
      <c r="D10" s="76">
        <v>0.09</v>
      </c>
      <c r="E10" s="10"/>
      <c r="F10" s="1"/>
      <c r="G10" s="1"/>
      <c r="H10" s="1"/>
      <c r="I10" s="1"/>
      <c r="J10" s="1"/>
    </row>
    <row r="11" spans="1:10" ht="15">
      <c r="A11" s="1"/>
      <c r="B11" s="8"/>
      <c r="C11" s="9" t="s">
        <v>4</v>
      </c>
      <c r="D11" s="157">
        <v>75000</v>
      </c>
      <c r="E11" s="10"/>
      <c r="F11" s="1"/>
      <c r="G11" s="1"/>
      <c r="H11" s="1"/>
      <c r="I11" s="1"/>
      <c r="J11" s="1"/>
    </row>
    <row r="12" spans="1:10" ht="15">
      <c r="A12" s="1"/>
      <c r="B12" s="8"/>
      <c r="C12" s="9" t="s">
        <v>216</v>
      </c>
      <c r="D12" s="220">
        <f>D10</f>
        <v>0.09</v>
      </c>
      <c r="E12" s="10"/>
      <c r="F12" s="1"/>
      <c r="G12" s="1"/>
      <c r="H12" s="1"/>
      <c r="I12" s="1"/>
      <c r="J12" s="1"/>
    </row>
    <row r="13" spans="1:10" ht="15">
      <c r="A13" s="1"/>
      <c r="B13" s="106" t="s">
        <v>140</v>
      </c>
      <c r="C13" s="9" t="s">
        <v>221</v>
      </c>
      <c r="D13" s="76"/>
      <c r="E13" s="10"/>
      <c r="F13" s="1"/>
      <c r="G13" s="1"/>
      <c r="H13" s="1"/>
      <c r="I13" s="1"/>
      <c r="J13" s="1"/>
    </row>
    <row r="14" spans="1:10" ht="15">
      <c r="A14" s="1"/>
      <c r="B14" s="106"/>
      <c r="C14" s="9" t="s">
        <v>222</v>
      </c>
      <c r="D14" s="76">
        <v>0.2</v>
      </c>
      <c r="E14" s="10"/>
      <c r="F14" s="1"/>
      <c r="G14" s="1"/>
      <c r="H14" s="1"/>
      <c r="I14" s="1"/>
      <c r="J14" s="1"/>
    </row>
    <row r="15" spans="1:10" ht="15.75" thickBot="1">
      <c r="A15" s="1"/>
      <c r="B15" s="11"/>
      <c r="C15" s="12"/>
      <c r="D15" s="13"/>
      <c r="E15" s="14"/>
      <c r="F15" s="1"/>
      <c r="G15" s="1"/>
      <c r="H15" s="1"/>
      <c r="I15" s="1"/>
      <c r="J15" s="1"/>
    </row>
    <row r="16" spans="1:10" ht="1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ht="15">
      <c r="A17" s="1"/>
      <c r="B17" s="1"/>
      <c r="C17" s="3" t="s">
        <v>2</v>
      </c>
      <c r="D17" s="1"/>
      <c r="E17" s="1"/>
      <c r="F17" s="1"/>
      <c r="G17" s="1"/>
      <c r="H17" s="1"/>
      <c r="I17" s="1"/>
      <c r="J17" s="1"/>
    </row>
    <row r="18" spans="1:10" ht="15.75" thickBot="1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15">
      <c r="A19" s="1"/>
      <c r="B19" s="15"/>
      <c r="C19" s="16"/>
      <c r="D19" s="16"/>
      <c r="E19" s="17"/>
      <c r="F19" s="35"/>
      <c r="G19" s="35"/>
      <c r="H19" s="35"/>
      <c r="I19" s="35"/>
      <c r="J19" s="47"/>
    </row>
    <row r="20" spans="1:10" ht="15.75">
      <c r="A20" s="1"/>
      <c r="B20" s="88" t="s">
        <v>137</v>
      </c>
      <c r="C20" s="29" t="s">
        <v>217</v>
      </c>
      <c r="D20" s="161">
        <f>D8*D7</f>
        <v>450000</v>
      </c>
      <c r="E20" s="19"/>
      <c r="F20" s="35"/>
      <c r="G20" s="35"/>
      <c r="H20" s="35"/>
      <c r="I20" s="35"/>
      <c r="J20" s="47"/>
    </row>
    <row r="21" spans="1:10" ht="15.75">
      <c r="A21" s="1"/>
      <c r="B21" s="88"/>
      <c r="C21" s="29"/>
      <c r="D21" s="90"/>
      <c r="E21" s="19"/>
      <c r="F21" s="35"/>
      <c r="G21" s="35"/>
      <c r="H21" s="35"/>
      <c r="I21" s="35"/>
      <c r="J21" s="47"/>
    </row>
    <row r="22" spans="1:10" ht="15.75">
      <c r="A22" s="1"/>
      <c r="B22" s="88" t="s">
        <v>138</v>
      </c>
      <c r="C22" s="29" t="s">
        <v>218</v>
      </c>
      <c r="D22" s="161">
        <f>D20</f>
        <v>450000</v>
      </c>
      <c r="E22" s="19"/>
      <c r="F22" s="35"/>
      <c r="G22" s="35"/>
      <c r="H22" s="35"/>
      <c r="I22" s="35"/>
      <c r="J22" s="47"/>
    </row>
    <row r="23" spans="1:10" ht="15">
      <c r="A23" s="1"/>
      <c r="B23" s="88"/>
      <c r="C23" s="29"/>
      <c r="D23" s="29"/>
      <c r="E23" s="19"/>
      <c r="F23" s="35"/>
      <c r="G23" s="35"/>
      <c r="H23" s="35"/>
      <c r="I23" s="35"/>
      <c r="J23" s="47"/>
    </row>
    <row r="24" spans="1:10" ht="15.75">
      <c r="A24" s="1"/>
      <c r="B24" s="88" t="s">
        <v>139</v>
      </c>
      <c r="C24" s="29" t="s">
        <v>219</v>
      </c>
      <c r="D24" s="161">
        <f>D22-D9</f>
        <v>385000</v>
      </c>
      <c r="E24" s="19"/>
      <c r="F24" s="35"/>
      <c r="G24" s="35"/>
      <c r="H24" s="35"/>
      <c r="I24" s="35"/>
      <c r="J24" s="47"/>
    </row>
    <row r="25" spans="1:10" ht="15.75">
      <c r="A25" s="1"/>
      <c r="B25" s="88"/>
      <c r="C25" s="29"/>
      <c r="D25" s="90"/>
      <c r="E25" s="19"/>
      <c r="F25" s="35"/>
      <c r="G25" s="35"/>
      <c r="H25" s="35"/>
      <c r="I25" s="35"/>
      <c r="J25" s="47"/>
    </row>
    <row r="26" spans="1:10" ht="15.75">
      <c r="A26" s="1"/>
      <c r="B26" s="88" t="s">
        <v>140</v>
      </c>
      <c r="C26" s="29" t="s">
        <v>223</v>
      </c>
      <c r="D26" s="161">
        <f>D14*D20</f>
        <v>90000</v>
      </c>
      <c r="E26" s="19"/>
      <c r="F26" s="35"/>
      <c r="G26" s="35"/>
      <c r="H26" s="35"/>
      <c r="I26" s="35"/>
      <c r="J26" s="47"/>
    </row>
    <row r="27" spans="1:10" ht="15.75">
      <c r="A27" s="1"/>
      <c r="B27" s="88"/>
      <c r="C27" s="29"/>
      <c r="D27" s="90"/>
      <c r="E27" s="19"/>
      <c r="F27" s="35"/>
      <c r="G27" s="35"/>
      <c r="H27" s="35"/>
      <c r="I27" s="35"/>
      <c r="J27" s="47"/>
    </row>
    <row r="28" spans="1:10" ht="15.75">
      <c r="A28" s="1"/>
      <c r="B28" s="88"/>
      <c r="C28" s="29" t="s">
        <v>224</v>
      </c>
      <c r="D28" s="161">
        <f>D14*D24</f>
        <v>77000</v>
      </c>
      <c r="E28" s="19"/>
      <c r="F28" s="35"/>
      <c r="G28" s="35"/>
      <c r="H28" s="35"/>
      <c r="I28" s="35"/>
      <c r="J28" s="47"/>
    </row>
    <row r="29" spans="1:10" ht="15">
      <c r="A29" s="1"/>
      <c r="B29" s="88"/>
      <c r="C29" s="29"/>
      <c r="D29" s="29"/>
      <c r="E29" s="19"/>
      <c r="F29" s="35"/>
      <c r="G29" s="35"/>
      <c r="H29" s="35"/>
      <c r="I29" s="35"/>
      <c r="J29" s="47"/>
    </row>
    <row r="30" spans="1:10" ht="15.75">
      <c r="A30" s="1"/>
      <c r="B30" s="88" t="s">
        <v>225</v>
      </c>
      <c r="C30" s="29" t="s">
        <v>226</v>
      </c>
      <c r="D30" s="161">
        <f>D14*D11</f>
        <v>15000</v>
      </c>
      <c r="E30" s="19"/>
      <c r="F30" s="35"/>
      <c r="G30" s="35"/>
      <c r="H30" s="35"/>
      <c r="I30" s="35"/>
      <c r="J30" s="47"/>
    </row>
    <row r="31" spans="1:10" ht="15.75">
      <c r="A31" s="1"/>
      <c r="B31" s="88"/>
      <c r="C31" s="29"/>
      <c r="D31" s="90"/>
      <c r="E31" s="19"/>
      <c r="F31" s="35"/>
      <c r="G31" s="35"/>
      <c r="H31" s="35"/>
      <c r="I31" s="35"/>
      <c r="J31" s="47"/>
    </row>
    <row r="32" spans="1:10" ht="15">
      <c r="A32" s="1"/>
      <c r="B32" s="88"/>
      <c r="C32" s="29" t="s">
        <v>227</v>
      </c>
      <c r="D32" s="146">
        <f>D10*D9</f>
        <v>5850</v>
      </c>
      <c r="E32" s="19"/>
      <c r="F32" s="35"/>
      <c r="G32" s="35"/>
      <c r="H32" s="35"/>
      <c r="I32" s="35"/>
      <c r="J32" s="47"/>
    </row>
    <row r="33" spans="1:10" ht="15.75">
      <c r="A33" s="1"/>
      <c r="B33" s="88"/>
      <c r="C33" s="29"/>
      <c r="D33" s="90"/>
      <c r="E33" s="19"/>
      <c r="F33" s="35"/>
      <c r="G33" s="35"/>
      <c r="H33" s="35"/>
      <c r="I33" s="35"/>
      <c r="J33" s="47"/>
    </row>
    <row r="34" spans="1:10" ht="15.75">
      <c r="A34" s="1"/>
      <c r="B34" s="88"/>
      <c r="C34" s="29" t="s">
        <v>226</v>
      </c>
      <c r="D34" s="161">
        <f>(D11-D32)*D14</f>
        <v>13830</v>
      </c>
      <c r="E34" s="19"/>
      <c r="F34" s="35"/>
      <c r="G34" s="35"/>
      <c r="H34" s="35"/>
      <c r="I34" s="35"/>
      <c r="J34" s="47"/>
    </row>
    <row r="35" spans="1:10" ht="15.75">
      <c r="A35" s="1"/>
      <c r="B35" s="88"/>
      <c r="C35" s="29"/>
      <c r="D35" s="160"/>
      <c r="E35" s="19"/>
      <c r="F35" s="35"/>
      <c r="G35" s="35"/>
      <c r="H35" s="35"/>
      <c r="I35" s="35"/>
      <c r="J35" s="47"/>
    </row>
    <row r="36" spans="1:10" ht="15">
      <c r="A36" s="1"/>
      <c r="B36" s="88" t="s">
        <v>220</v>
      </c>
      <c r="C36" s="29" t="s">
        <v>228</v>
      </c>
      <c r="D36" s="146">
        <f>D26-D28</f>
        <v>13000</v>
      </c>
      <c r="E36" s="19"/>
      <c r="F36" s="35"/>
      <c r="G36" s="35"/>
      <c r="H36" s="35"/>
      <c r="I36" s="35"/>
      <c r="J36" s="47"/>
    </row>
    <row r="37" spans="1:10" ht="15">
      <c r="A37" s="1"/>
      <c r="B37" s="88"/>
      <c r="C37" s="29" t="s">
        <v>229</v>
      </c>
      <c r="D37" s="146">
        <f>D36*D12</f>
        <v>1170</v>
      </c>
      <c r="E37" s="19"/>
      <c r="F37" s="35"/>
      <c r="G37" s="35"/>
      <c r="H37" s="35"/>
      <c r="I37" s="35"/>
      <c r="J37" s="47"/>
    </row>
    <row r="38" spans="1:10" ht="15.75">
      <c r="A38" s="1"/>
      <c r="B38" s="88"/>
      <c r="C38" s="29"/>
      <c r="D38" s="160"/>
      <c r="E38" s="19"/>
      <c r="F38" s="35"/>
      <c r="G38" s="35"/>
      <c r="H38" s="35"/>
      <c r="I38" s="35"/>
      <c r="J38" s="47"/>
    </row>
    <row r="39" spans="1:10" ht="15.75">
      <c r="A39" s="1"/>
      <c r="B39" s="88"/>
      <c r="C39" s="29" t="s">
        <v>230</v>
      </c>
      <c r="D39" s="160"/>
      <c r="E39" s="19"/>
      <c r="F39" s="35"/>
      <c r="G39" s="35"/>
      <c r="H39" s="35"/>
      <c r="I39" s="35"/>
      <c r="J39" s="47"/>
    </row>
    <row r="40" spans="1:10" ht="15.75">
      <c r="A40" s="1"/>
      <c r="B40" s="88"/>
      <c r="C40" s="29" t="s">
        <v>231</v>
      </c>
      <c r="D40" s="161">
        <f>D30-D37</f>
        <v>13830</v>
      </c>
      <c r="E40" s="19"/>
      <c r="F40" s="35"/>
      <c r="G40" s="35"/>
      <c r="H40" s="35"/>
      <c r="I40" s="35"/>
      <c r="J40" s="47"/>
    </row>
    <row r="41" spans="1:10" ht="15">
      <c r="A41" s="1"/>
      <c r="B41" s="88"/>
      <c r="C41" s="29"/>
      <c r="D41" s="29"/>
      <c r="E41" s="19"/>
      <c r="F41" s="35"/>
      <c r="G41" s="35"/>
      <c r="H41" s="35"/>
      <c r="I41" s="35"/>
      <c r="J41" s="47"/>
    </row>
    <row r="42" spans="1:10" ht="15.75">
      <c r="A42" s="1"/>
      <c r="B42" s="88" t="s">
        <v>232</v>
      </c>
      <c r="C42" s="162" t="s">
        <v>233</v>
      </c>
      <c r="D42" s="158"/>
      <c r="E42" s="43"/>
      <c r="F42" s="42"/>
      <c r="G42" s="36"/>
      <c r="H42" s="42"/>
      <c r="I42" s="35"/>
      <c r="J42" s="47"/>
    </row>
    <row r="43" spans="1:10" ht="15.75">
      <c r="A43" s="1"/>
      <c r="B43" s="88"/>
      <c r="C43" s="22" t="s">
        <v>234</v>
      </c>
      <c r="D43" s="158"/>
      <c r="E43" s="43"/>
      <c r="F43" s="42"/>
      <c r="G43" s="36"/>
      <c r="H43" s="42"/>
      <c r="I43" s="35"/>
      <c r="J43" s="47"/>
    </row>
    <row r="44" spans="1:10" ht="15.75">
      <c r="A44" s="1"/>
      <c r="B44" s="88"/>
      <c r="C44" s="22" t="s">
        <v>235</v>
      </c>
      <c r="D44" s="158"/>
      <c r="E44" s="43"/>
      <c r="F44" s="42"/>
      <c r="G44" s="36"/>
      <c r="H44" s="42"/>
      <c r="I44" s="35"/>
      <c r="J44" s="47"/>
    </row>
    <row r="45" spans="1:10" ht="15.75">
      <c r="A45" s="1"/>
      <c r="B45" s="88"/>
      <c r="C45" s="22" t="s">
        <v>236</v>
      </c>
      <c r="D45" s="158"/>
      <c r="E45" s="43"/>
      <c r="F45" s="42"/>
      <c r="G45" s="36"/>
      <c r="H45" s="42"/>
      <c r="I45" s="35"/>
      <c r="J45" s="47"/>
    </row>
    <row r="46" spans="1:10" ht="15.75">
      <c r="A46" s="1"/>
      <c r="B46" s="88"/>
      <c r="C46" s="22" t="s">
        <v>237</v>
      </c>
      <c r="D46" s="158"/>
      <c r="E46" s="43"/>
      <c r="F46" s="42"/>
      <c r="G46" s="36"/>
      <c r="H46" s="42"/>
      <c r="I46" s="35"/>
      <c r="J46" s="47"/>
    </row>
    <row r="47" spans="1:10" ht="15.75">
      <c r="A47" s="1"/>
      <c r="B47" s="88"/>
      <c r="C47" s="22" t="s">
        <v>238</v>
      </c>
      <c r="D47" s="158"/>
      <c r="E47" s="43"/>
      <c r="F47" s="42"/>
      <c r="G47" s="36"/>
      <c r="H47" s="42"/>
      <c r="I47" s="35"/>
      <c r="J47" s="47"/>
    </row>
    <row r="48" spans="1:10" ht="15.75" thickBot="1">
      <c r="A48" s="1"/>
      <c r="B48" s="91"/>
      <c r="C48" s="23"/>
      <c r="D48" s="48"/>
      <c r="E48" s="49"/>
      <c r="F48" s="37"/>
      <c r="G48" s="36"/>
      <c r="H48" s="37"/>
      <c r="I48" s="35"/>
      <c r="J48" s="47"/>
    </row>
    <row r="49" spans="1:10" ht="15">
      <c r="A49" s="1"/>
      <c r="B49" s="1"/>
      <c r="C49" s="47"/>
      <c r="D49" s="47"/>
      <c r="E49" s="47"/>
      <c r="F49" s="47"/>
      <c r="G49" s="47"/>
      <c r="H49" s="47"/>
      <c r="I49" s="1"/>
      <c r="J49" s="1"/>
    </row>
    <row r="50" spans="1:10" ht="15">
      <c r="A50" s="1"/>
      <c r="B50" s="1"/>
      <c r="C50" s="47"/>
      <c r="D50" s="47"/>
      <c r="E50" s="47"/>
      <c r="F50" s="47"/>
      <c r="G50" s="47"/>
      <c r="H50" s="47"/>
      <c r="I50" s="1"/>
      <c r="J50" s="1"/>
    </row>
    <row r="51" spans="1:10" ht="15">
      <c r="A51" s="1"/>
      <c r="B51" s="1"/>
      <c r="C51" s="47"/>
      <c r="D51" s="47"/>
      <c r="E51" s="47"/>
      <c r="F51" s="47"/>
      <c r="G51" s="47"/>
      <c r="H51" s="47"/>
      <c r="I51" s="1"/>
      <c r="J51" s="1"/>
    </row>
    <row r="52" spans="1:10" ht="15">
      <c r="A52" s="1"/>
      <c r="B52" s="1"/>
      <c r="C52" s="47"/>
      <c r="D52" s="47"/>
      <c r="E52" s="47"/>
      <c r="F52" s="47"/>
      <c r="G52" s="47"/>
      <c r="H52" s="47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5">
      <c r="A78" s="1"/>
      <c r="B78" s="1"/>
      <c r="C78" s="1"/>
      <c r="D78" s="1"/>
      <c r="E78" s="1"/>
      <c r="F78" s="1"/>
      <c r="G78" s="1"/>
      <c r="H78" s="1"/>
      <c r="I78" s="1"/>
      <c r="J78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J54"/>
  <sheetViews>
    <sheetView workbookViewId="0"/>
  </sheetViews>
  <sheetFormatPr defaultRowHeight="12.75"/>
  <cols>
    <col min="2" max="2" width="3.140625" customWidth="1"/>
    <col min="3" max="3" width="27.5703125" customWidth="1"/>
    <col min="4" max="4" width="22.5703125" customWidth="1"/>
    <col min="5" max="5" width="3.7109375" customWidth="1"/>
    <col min="6" max="7" width="18.140625" customWidth="1"/>
    <col min="8" max="8" width="3.140625" customWidth="1"/>
    <col min="9" max="9" width="15.42578125" customWidth="1"/>
  </cols>
  <sheetData>
    <row r="1" spans="1:10" ht="18">
      <c r="A1" s="1"/>
      <c r="B1" s="1"/>
      <c r="C1" s="139" t="s">
        <v>313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239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3" t="s">
        <v>1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.75" customHeight="1">
      <c r="A6" s="1"/>
      <c r="B6" s="4"/>
      <c r="C6" s="5"/>
      <c r="D6" s="6"/>
      <c r="E6" s="7"/>
      <c r="F6" s="1"/>
      <c r="G6" s="1"/>
      <c r="H6" s="1"/>
      <c r="I6" s="1"/>
      <c r="J6" s="1"/>
    </row>
    <row r="7" spans="1:10" ht="15">
      <c r="A7" s="1"/>
      <c r="B7" s="8"/>
      <c r="C7" s="9" t="s">
        <v>243</v>
      </c>
      <c r="D7" s="129">
        <v>23000000</v>
      </c>
      <c r="E7" s="10"/>
      <c r="F7" s="1"/>
      <c r="G7" s="1"/>
      <c r="H7" s="1"/>
      <c r="I7" s="1"/>
      <c r="J7" s="1"/>
    </row>
    <row r="8" spans="1:10" ht="15">
      <c r="A8" s="1"/>
      <c r="B8" s="8"/>
      <c r="C8" s="9" t="s">
        <v>244</v>
      </c>
      <c r="D8" s="157">
        <v>7000000</v>
      </c>
      <c r="E8" s="10"/>
      <c r="F8" s="1"/>
      <c r="G8" s="1"/>
      <c r="H8" s="1"/>
      <c r="I8" s="1"/>
      <c r="J8" s="1"/>
    </row>
    <row r="9" spans="1:10" ht="15">
      <c r="A9" s="1"/>
      <c r="B9" s="8"/>
      <c r="C9" s="9" t="s">
        <v>240</v>
      </c>
      <c r="D9" s="76">
        <v>0.05</v>
      </c>
      <c r="E9" s="10"/>
      <c r="F9" s="1"/>
      <c r="G9" s="1"/>
      <c r="H9" s="1"/>
      <c r="I9" s="1"/>
      <c r="J9" s="1"/>
    </row>
    <row r="10" spans="1:10" ht="15">
      <c r="A10" s="1"/>
      <c r="B10" s="8"/>
      <c r="C10" s="9" t="s">
        <v>241</v>
      </c>
      <c r="D10" s="76">
        <v>0.12</v>
      </c>
      <c r="E10" s="10"/>
      <c r="F10" s="1"/>
      <c r="G10" s="1"/>
      <c r="H10" s="1"/>
      <c r="I10" s="1"/>
      <c r="J10" s="1"/>
    </row>
    <row r="11" spans="1:10" ht="15">
      <c r="A11" s="1"/>
      <c r="B11" s="8"/>
      <c r="C11" s="9" t="s">
        <v>242</v>
      </c>
      <c r="D11" s="126">
        <v>1.1499999999999999</v>
      </c>
      <c r="E11" s="10"/>
      <c r="F11" s="1"/>
      <c r="G11" s="1"/>
      <c r="H11" s="1"/>
      <c r="I11" s="1"/>
      <c r="J11" s="1"/>
    </row>
    <row r="12" spans="1:10" ht="15.75" thickBot="1">
      <c r="A12" s="1"/>
      <c r="B12" s="11"/>
      <c r="C12" s="12"/>
      <c r="D12" s="13"/>
      <c r="E12" s="14"/>
      <c r="F12" s="1"/>
      <c r="G12" s="1"/>
      <c r="H12" s="1"/>
      <c r="I12" s="1"/>
      <c r="J12" s="1"/>
    </row>
    <row r="13" spans="1:10" ht="15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5">
      <c r="A14" s="1"/>
      <c r="B14" s="1"/>
      <c r="C14" s="3" t="s">
        <v>2</v>
      </c>
      <c r="D14" s="1"/>
      <c r="E14" s="1"/>
      <c r="F14" s="1"/>
      <c r="G14" s="1"/>
      <c r="H14" s="1"/>
      <c r="I14" s="1"/>
      <c r="J14" s="1"/>
    </row>
    <row r="15" spans="1:10" ht="15.75" thickBot="1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15">
      <c r="A16" s="1"/>
      <c r="B16" s="15"/>
      <c r="C16" s="16"/>
      <c r="D16" s="16"/>
      <c r="E16" s="17"/>
      <c r="F16" s="35"/>
      <c r="G16" s="35"/>
      <c r="H16" s="35"/>
      <c r="I16" s="35"/>
      <c r="J16" s="47"/>
    </row>
    <row r="17" spans="1:10" ht="15.75">
      <c r="A17" s="1"/>
      <c r="B17" s="88" t="s">
        <v>137</v>
      </c>
      <c r="C17" s="29" t="s">
        <v>109</v>
      </c>
      <c r="D17" s="165">
        <f>D8/D7</f>
        <v>0.30434782608695654</v>
      </c>
      <c r="E17" s="19"/>
      <c r="F17" s="35"/>
      <c r="G17" s="35"/>
      <c r="H17" s="35"/>
      <c r="I17" s="35"/>
      <c r="J17" s="47"/>
    </row>
    <row r="18" spans="1:10" ht="15">
      <c r="A18" s="1"/>
      <c r="B18" s="88"/>
      <c r="C18" s="29"/>
      <c r="D18" s="24"/>
      <c r="E18" s="19"/>
      <c r="F18" s="35"/>
      <c r="G18" s="35"/>
      <c r="H18" s="35"/>
      <c r="I18" s="35"/>
      <c r="J18" s="47"/>
    </row>
    <row r="19" spans="1:10" ht="15">
      <c r="A19" s="1"/>
      <c r="B19" s="88" t="s">
        <v>138</v>
      </c>
      <c r="C19" s="29" t="s">
        <v>98</v>
      </c>
      <c r="D19" s="167">
        <f>D9+(D11*(D10-D9))</f>
        <v>0.1305</v>
      </c>
      <c r="E19" s="19"/>
      <c r="F19" s="35"/>
      <c r="G19" s="35"/>
      <c r="H19" s="35"/>
      <c r="I19" s="35"/>
      <c r="J19" s="47"/>
    </row>
    <row r="20" spans="1:10" ht="15">
      <c r="A20" s="1"/>
      <c r="B20" s="88"/>
      <c r="C20" s="29"/>
      <c r="D20" s="159"/>
      <c r="E20" s="19"/>
      <c r="F20" s="35"/>
      <c r="G20" s="35"/>
      <c r="H20" s="35"/>
      <c r="I20" s="35"/>
      <c r="J20" s="47"/>
    </row>
    <row r="21" spans="1:10" ht="19.5">
      <c r="A21" s="1"/>
      <c r="B21" s="88"/>
      <c r="C21" s="168" t="s">
        <v>245</v>
      </c>
      <c r="D21" s="121">
        <f>((D8/(D8+D7))*D9)+((D7/(D7+D8))*D19)</f>
        <v>0.11171666666666669</v>
      </c>
      <c r="E21" s="19"/>
      <c r="F21" s="35"/>
      <c r="G21" s="35"/>
      <c r="H21" s="35"/>
      <c r="I21" s="35"/>
      <c r="J21" s="47"/>
    </row>
    <row r="22" spans="1:10" ht="15">
      <c r="A22" s="1"/>
      <c r="B22" s="88"/>
      <c r="C22" s="29"/>
      <c r="D22" s="29"/>
      <c r="E22" s="19"/>
      <c r="F22" s="35"/>
      <c r="G22" s="35"/>
      <c r="H22" s="35"/>
      <c r="I22" s="35"/>
      <c r="J22" s="47"/>
    </row>
    <row r="23" spans="1:10" ht="19.5">
      <c r="A23" s="1"/>
      <c r="B23" s="88" t="s">
        <v>139</v>
      </c>
      <c r="C23" s="168" t="s">
        <v>246</v>
      </c>
      <c r="D23" s="121">
        <f>(D19+(D17*D9))/(1+D17)</f>
        <v>0.11171666666666666</v>
      </c>
      <c r="E23" s="19"/>
      <c r="F23" s="35"/>
      <c r="G23" s="35"/>
      <c r="H23" s="35"/>
      <c r="I23" s="35"/>
      <c r="J23" s="47"/>
    </row>
    <row r="24" spans="1:10" ht="15.75" thickBot="1">
      <c r="A24" s="1"/>
      <c r="B24" s="91"/>
      <c r="C24" s="23"/>
      <c r="D24" s="48"/>
      <c r="E24" s="49"/>
      <c r="F24" s="37"/>
      <c r="G24" s="36"/>
      <c r="H24" s="37"/>
      <c r="I24" s="35"/>
      <c r="J24" s="47"/>
    </row>
    <row r="25" spans="1:10" ht="15">
      <c r="A25" s="1"/>
      <c r="B25" s="1"/>
      <c r="C25" s="47"/>
      <c r="D25" s="47"/>
      <c r="E25" s="47"/>
      <c r="F25" s="47"/>
      <c r="G25" s="47"/>
      <c r="H25" s="47"/>
      <c r="I25" s="1"/>
      <c r="J25" s="1"/>
    </row>
    <row r="26" spans="1:10" ht="15">
      <c r="A26" s="1"/>
      <c r="B26" s="1"/>
      <c r="C26" s="47"/>
      <c r="D26" s="47"/>
      <c r="E26" s="47"/>
      <c r="F26" s="47"/>
      <c r="G26" s="47"/>
      <c r="H26" s="47"/>
      <c r="I26" s="1"/>
      <c r="J26" s="1"/>
    </row>
    <row r="27" spans="1:10" ht="15">
      <c r="A27" s="1"/>
      <c r="B27" s="1"/>
      <c r="C27" s="47"/>
      <c r="D27" s="47"/>
      <c r="E27" s="47"/>
      <c r="F27" s="47"/>
      <c r="G27" s="47"/>
      <c r="H27" s="47"/>
      <c r="I27" s="1"/>
      <c r="J27" s="1"/>
    </row>
    <row r="28" spans="1:10" ht="15">
      <c r="A28" s="1"/>
      <c r="B28" s="1"/>
      <c r="C28" s="47"/>
      <c r="D28" s="47"/>
      <c r="E28" s="47"/>
      <c r="F28" s="47"/>
      <c r="G28" s="47"/>
      <c r="H28" s="47"/>
      <c r="I28" s="1"/>
      <c r="J28" s="1"/>
    </row>
    <row r="29" spans="1:10" ht="1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K69"/>
  <sheetViews>
    <sheetView workbookViewId="0"/>
  </sheetViews>
  <sheetFormatPr defaultRowHeight="12.75"/>
  <cols>
    <col min="2" max="2" width="3.140625" customWidth="1"/>
    <col min="3" max="3" width="38.42578125" bestFit="1" customWidth="1"/>
    <col min="4" max="5" width="22.5703125" customWidth="1"/>
    <col min="6" max="6" width="3.7109375" customWidth="1"/>
    <col min="7" max="8" width="18.140625" customWidth="1"/>
    <col min="9" max="9" width="3.140625" customWidth="1"/>
    <col min="10" max="10" width="15.42578125" customWidth="1"/>
  </cols>
  <sheetData>
    <row r="1" spans="1:11" ht="18">
      <c r="A1" s="1"/>
      <c r="B1" s="1"/>
      <c r="C1" s="139" t="s">
        <v>313</v>
      </c>
      <c r="D1" s="1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247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3" t="s">
        <v>1</v>
      </c>
      <c r="D4" s="1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.75" customHeight="1">
      <c r="A6" s="1"/>
      <c r="B6" s="4"/>
      <c r="C6" s="5"/>
      <c r="D6" s="6"/>
      <c r="E6" s="6"/>
      <c r="F6" s="7"/>
      <c r="G6" s="1"/>
      <c r="H6" s="1"/>
      <c r="I6" s="1"/>
      <c r="J6" s="1"/>
      <c r="K6" s="1"/>
    </row>
    <row r="7" spans="1:11" ht="15">
      <c r="A7" s="1"/>
      <c r="B7" s="8"/>
      <c r="C7" s="9" t="s">
        <v>248</v>
      </c>
      <c r="D7" s="129">
        <v>1400000</v>
      </c>
      <c r="E7" s="129"/>
      <c r="F7" s="10"/>
      <c r="G7" s="1"/>
      <c r="H7" s="1"/>
      <c r="I7" s="1"/>
      <c r="J7" s="1"/>
      <c r="K7" s="1"/>
    </row>
    <row r="8" spans="1:11" ht="15">
      <c r="A8" s="1"/>
      <c r="B8" s="8"/>
      <c r="C8" s="9" t="s">
        <v>249</v>
      </c>
      <c r="D8" s="76">
        <v>0.06</v>
      </c>
      <c r="E8" s="76"/>
      <c r="F8" s="10"/>
      <c r="G8" s="1"/>
      <c r="H8" s="1"/>
      <c r="I8" s="1"/>
      <c r="J8" s="1"/>
      <c r="K8" s="1"/>
    </row>
    <row r="9" spans="1:11" ht="15">
      <c r="A9" s="1"/>
      <c r="B9" s="8"/>
      <c r="C9" s="9"/>
      <c r="D9" s="76"/>
      <c r="E9" s="76"/>
      <c r="F9" s="10"/>
      <c r="G9" s="1"/>
      <c r="H9" s="1"/>
      <c r="I9" s="1"/>
      <c r="J9" s="1"/>
      <c r="K9" s="1"/>
    </row>
    <row r="10" spans="1:11" ht="15">
      <c r="A10" s="1"/>
      <c r="B10" s="8"/>
      <c r="C10" s="9"/>
      <c r="D10" s="169" t="s">
        <v>254</v>
      </c>
      <c r="E10" s="169" t="s">
        <v>255</v>
      </c>
      <c r="F10" s="10"/>
      <c r="G10" s="1"/>
      <c r="H10" s="1"/>
      <c r="I10" s="1"/>
      <c r="J10" s="1"/>
      <c r="K10" s="1"/>
    </row>
    <row r="11" spans="1:11" ht="15">
      <c r="A11" s="1"/>
      <c r="B11" s="8"/>
      <c r="C11" s="9" t="s">
        <v>250</v>
      </c>
      <c r="D11" s="157">
        <v>550000</v>
      </c>
      <c r="E11" s="186">
        <f>D11</f>
        <v>550000</v>
      </c>
      <c r="F11" s="10"/>
      <c r="G11" s="1"/>
      <c r="H11" s="1"/>
      <c r="I11" s="1"/>
      <c r="J11" s="1"/>
      <c r="K11" s="1"/>
    </row>
    <row r="12" spans="1:11" ht="15">
      <c r="A12" s="1"/>
      <c r="B12" s="8"/>
      <c r="C12" s="9" t="s">
        <v>251</v>
      </c>
      <c r="D12" s="157">
        <v>0</v>
      </c>
      <c r="E12" s="186">
        <f>D7*D8</f>
        <v>84000</v>
      </c>
      <c r="F12" s="10"/>
      <c r="G12" s="1"/>
      <c r="H12" s="1"/>
      <c r="I12" s="1"/>
      <c r="J12" s="1"/>
      <c r="K12" s="1"/>
    </row>
    <row r="13" spans="1:11" ht="15">
      <c r="A13" s="1"/>
      <c r="B13" s="8"/>
      <c r="C13" s="9" t="s">
        <v>252</v>
      </c>
      <c r="D13" s="157">
        <v>4300000</v>
      </c>
      <c r="E13" s="157">
        <v>3140000</v>
      </c>
      <c r="F13" s="10"/>
      <c r="G13" s="1"/>
      <c r="H13" s="1"/>
      <c r="I13" s="1"/>
      <c r="J13" s="1"/>
      <c r="K13" s="1"/>
    </row>
    <row r="14" spans="1:11" ht="15">
      <c r="A14" s="1"/>
      <c r="B14" s="8"/>
      <c r="C14" s="9" t="s">
        <v>244</v>
      </c>
      <c r="D14" s="157">
        <v>0</v>
      </c>
      <c r="E14" s="186">
        <f>D7</f>
        <v>1400000</v>
      </c>
      <c r="F14" s="10"/>
      <c r="G14" s="1"/>
      <c r="H14" s="1"/>
      <c r="I14" s="1"/>
      <c r="J14" s="1"/>
      <c r="K14" s="1"/>
    </row>
    <row r="15" spans="1:11" ht="15">
      <c r="A15" s="1"/>
      <c r="B15" s="8"/>
      <c r="C15" s="34"/>
      <c r="D15" s="130"/>
      <c r="E15" s="130"/>
      <c r="F15" s="10"/>
      <c r="G15" s="1"/>
      <c r="H15" s="1"/>
      <c r="I15" s="1"/>
      <c r="J15" s="1"/>
      <c r="K15" s="1"/>
    </row>
    <row r="16" spans="1:11" ht="15">
      <c r="A16" s="1"/>
      <c r="B16" s="8"/>
      <c r="C16" s="9" t="s">
        <v>216</v>
      </c>
      <c r="D16" s="221">
        <f>D8</f>
        <v>0.06</v>
      </c>
      <c r="E16" s="130"/>
      <c r="F16" s="10"/>
      <c r="G16" s="1"/>
      <c r="H16" s="1"/>
      <c r="I16" s="1"/>
      <c r="J16" s="1"/>
      <c r="K16" s="1"/>
    </row>
    <row r="17" spans="1:11" ht="15">
      <c r="A17" s="1"/>
      <c r="B17" s="8"/>
      <c r="C17" s="9" t="s">
        <v>256</v>
      </c>
      <c r="D17" s="76">
        <v>0.05</v>
      </c>
      <c r="E17" s="130"/>
      <c r="F17" s="10"/>
      <c r="G17" s="1"/>
      <c r="H17" s="1"/>
      <c r="I17" s="1"/>
      <c r="J17" s="1"/>
      <c r="K17" s="1"/>
    </row>
    <row r="18" spans="1:11" ht="15.75" thickBot="1">
      <c r="A18" s="1"/>
      <c r="B18" s="11"/>
      <c r="C18" s="12"/>
      <c r="D18" s="13"/>
      <c r="E18" s="13"/>
      <c r="F18" s="14"/>
      <c r="G18" s="1"/>
      <c r="H18" s="1"/>
      <c r="I18" s="1"/>
      <c r="J18" s="1"/>
      <c r="K18" s="1"/>
    </row>
    <row r="19" spans="1:11" ht="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ht="15">
      <c r="A20" s="1"/>
      <c r="B20" s="1"/>
      <c r="C20" s="3" t="s">
        <v>2</v>
      </c>
      <c r="D20" s="1"/>
      <c r="E20" s="1"/>
      <c r="F20" s="1"/>
      <c r="G20" s="1"/>
      <c r="H20" s="1"/>
      <c r="I20" s="1"/>
      <c r="J20" s="1"/>
      <c r="K20" s="1"/>
    </row>
    <row r="21" spans="1:11" ht="15.75" thickBo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5">
      <c r="A22" s="1"/>
      <c r="B22" s="15"/>
      <c r="C22" s="16"/>
      <c r="D22" s="16"/>
      <c r="E22" s="16"/>
      <c r="F22" s="17"/>
      <c r="G22" s="35"/>
      <c r="H22" s="35"/>
      <c r="I22" s="35"/>
      <c r="J22" s="35"/>
      <c r="K22" s="47"/>
    </row>
    <row r="23" spans="1:11" ht="15.75">
      <c r="A23" s="1"/>
      <c r="B23" s="88" t="s">
        <v>137</v>
      </c>
      <c r="C23" s="29" t="s">
        <v>258</v>
      </c>
      <c r="D23" s="146">
        <f>D17*E13</f>
        <v>157000</v>
      </c>
      <c r="E23" s="164"/>
      <c r="F23" s="19"/>
      <c r="G23" s="35"/>
      <c r="H23" s="35"/>
      <c r="I23" s="35"/>
      <c r="J23" s="35"/>
      <c r="K23" s="47"/>
    </row>
    <row r="24" spans="1:11" ht="15.75">
      <c r="A24" s="1"/>
      <c r="B24" s="88"/>
      <c r="C24" s="29" t="s">
        <v>257</v>
      </c>
      <c r="D24" s="146">
        <f>D17*D13</f>
        <v>215000</v>
      </c>
      <c r="E24" s="164"/>
      <c r="F24" s="19"/>
      <c r="G24" s="35"/>
      <c r="H24" s="35"/>
      <c r="I24" s="35"/>
      <c r="J24" s="35"/>
      <c r="K24" s="47"/>
    </row>
    <row r="25" spans="1:11" ht="15.75">
      <c r="A25" s="1"/>
      <c r="B25" s="88"/>
      <c r="C25" s="29"/>
      <c r="D25" s="163"/>
      <c r="E25" s="164"/>
      <c r="F25" s="19"/>
      <c r="G25" s="35"/>
      <c r="H25" s="35"/>
      <c r="I25" s="35"/>
      <c r="J25" s="35"/>
      <c r="K25" s="47"/>
    </row>
    <row r="26" spans="1:11" ht="15.75">
      <c r="A26" s="1"/>
      <c r="B26" s="88"/>
      <c r="C26" s="29" t="s">
        <v>228</v>
      </c>
      <c r="D26" s="146">
        <f>D24-D23</f>
        <v>58000</v>
      </c>
      <c r="E26" s="164"/>
      <c r="F26" s="19"/>
      <c r="G26" s="35"/>
      <c r="H26" s="35"/>
      <c r="I26" s="35"/>
      <c r="J26" s="35"/>
      <c r="K26" s="47"/>
    </row>
    <row r="27" spans="1:11" ht="15.75">
      <c r="A27" s="1"/>
      <c r="B27" s="88"/>
      <c r="C27" s="29"/>
      <c r="D27" s="146"/>
      <c r="E27" s="164"/>
      <c r="F27" s="19"/>
      <c r="G27" s="35"/>
      <c r="H27" s="35"/>
      <c r="I27" s="35"/>
      <c r="J27" s="35"/>
      <c r="K27" s="47"/>
    </row>
    <row r="28" spans="1:11" ht="15.75">
      <c r="A28" s="1"/>
      <c r="B28" s="88"/>
      <c r="C28" s="29" t="s">
        <v>260</v>
      </c>
      <c r="D28" s="170">
        <f>D17*(E11-E12)</f>
        <v>23300</v>
      </c>
      <c r="E28" s="164"/>
      <c r="F28" s="19"/>
      <c r="G28" s="35"/>
      <c r="H28" s="35"/>
      <c r="I28" s="35"/>
      <c r="J28" s="35"/>
      <c r="K28" s="47"/>
    </row>
    <row r="29" spans="1:11" ht="15.75">
      <c r="A29" s="1"/>
      <c r="B29" s="88"/>
      <c r="C29" s="29"/>
      <c r="D29" s="163"/>
      <c r="E29" s="164"/>
      <c r="F29" s="19"/>
      <c r="G29" s="35"/>
      <c r="H29" s="35"/>
      <c r="I29" s="35"/>
      <c r="J29" s="35"/>
      <c r="K29" s="47"/>
    </row>
    <row r="30" spans="1:11" ht="15.75">
      <c r="A30" s="1"/>
      <c r="B30" s="88"/>
      <c r="C30" s="29" t="s">
        <v>259</v>
      </c>
      <c r="D30" s="110">
        <f>D17*D11</f>
        <v>27500</v>
      </c>
      <c r="E30" s="164"/>
      <c r="F30" s="19"/>
      <c r="G30" s="35"/>
      <c r="H30" s="35"/>
      <c r="I30" s="35"/>
      <c r="J30" s="35"/>
      <c r="K30" s="47"/>
    </row>
    <row r="31" spans="1:11" ht="15.75">
      <c r="A31" s="1"/>
      <c r="B31" s="88"/>
      <c r="C31" s="29" t="s">
        <v>261</v>
      </c>
      <c r="D31" s="110">
        <f>D16*D26</f>
        <v>3480</v>
      </c>
      <c r="E31" s="164"/>
      <c r="F31" s="19"/>
      <c r="G31" s="35"/>
      <c r="H31" s="35"/>
      <c r="I31" s="35"/>
      <c r="J31" s="35"/>
      <c r="K31" s="47"/>
    </row>
    <row r="32" spans="1:11" ht="15.75">
      <c r="A32" s="1"/>
      <c r="B32" s="88"/>
      <c r="C32" s="29" t="s">
        <v>262</v>
      </c>
      <c r="D32" s="170">
        <f>D30-D31</f>
        <v>24020</v>
      </c>
      <c r="E32" s="164"/>
      <c r="F32" s="19"/>
      <c r="G32" s="35"/>
      <c r="H32" s="35"/>
      <c r="I32" s="35"/>
      <c r="J32" s="35"/>
      <c r="K32" s="47"/>
    </row>
    <row r="33" spans="1:11" ht="15">
      <c r="A33" s="1"/>
      <c r="B33" s="88"/>
      <c r="C33" s="29"/>
      <c r="D33" s="24"/>
      <c r="E33" s="24"/>
      <c r="F33" s="19"/>
      <c r="G33" s="35"/>
      <c r="H33" s="35"/>
      <c r="I33" s="35"/>
      <c r="J33" s="35"/>
      <c r="K33" s="47"/>
    </row>
    <row r="34" spans="1:11" ht="15.75">
      <c r="A34" s="1"/>
      <c r="B34" s="88"/>
      <c r="C34" s="29" t="s">
        <v>263</v>
      </c>
      <c r="D34" s="171" t="str">
        <f>IF(D32&gt;D28,"Veblen","Knight")</f>
        <v>Veblen</v>
      </c>
      <c r="E34" s="172" t="s">
        <v>264</v>
      </c>
      <c r="F34" s="19"/>
      <c r="G34" s="35"/>
      <c r="H34" s="35"/>
      <c r="I34" s="35"/>
      <c r="J34" s="35"/>
      <c r="K34" s="47"/>
    </row>
    <row r="35" spans="1:11" ht="15.75">
      <c r="A35" s="1"/>
      <c r="B35" s="88"/>
      <c r="C35" s="29" t="s">
        <v>265</v>
      </c>
      <c r="D35" s="159"/>
      <c r="E35" s="173" t="str">
        <f>D34</f>
        <v>Veblen</v>
      </c>
      <c r="F35" s="19"/>
      <c r="G35" s="35"/>
      <c r="H35" s="35"/>
      <c r="I35" s="35"/>
      <c r="J35" s="35"/>
      <c r="K35" s="47"/>
    </row>
    <row r="36" spans="1:11" ht="15.75">
      <c r="A36" s="1"/>
      <c r="B36" s="88"/>
      <c r="C36" s="29" t="s">
        <v>266</v>
      </c>
      <c r="D36" s="171" t="str">
        <f>IF(D32&gt;D28,"Knight","Veblen")</f>
        <v>Knight</v>
      </c>
      <c r="E36" s="172" t="s">
        <v>267</v>
      </c>
      <c r="F36" s="19"/>
      <c r="G36" s="35"/>
      <c r="H36" s="35"/>
      <c r="I36" s="35"/>
      <c r="J36" s="35"/>
      <c r="K36" s="47"/>
    </row>
    <row r="37" spans="1:11" ht="15.75">
      <c r="A37" s="1"/>
      <c r="B37" s="88"/>
      <c r="C37" s="29" t="s">
        <v>268</v>
      </c>
      <c r="D37" s="171"/>
      <c r="E37" s="172"/>
      <c r="F37" s="19"/>
      <c r="G37" s="35"/>
      <c r="H37" s="35"/>
      <c r="I37" s="35"/>
      <c r="J37" s="35"/>
      <c r="K37" s="47"/>
    </row>
    <row r="38" spans="1:11" ht="15.75">
      <c r="A38" s="1"/>
      <c r="B38" s="88"/>
      <c r="C38" s="29" t="s">
        <v>269</v>
      </c>
      <c r="D38" s="166"/>
      <c r="E38" s="99"/>
      <c r="F38" s="19"/>
      <c r="G38" s="35"/>
      <c r="H38" s="35"/>
      <c r="I38" s="35"/>
      <c r="J38" s="35"/>
      <c r="K38" s="47"/>
    </row>
    <row r="39" spans="1:11" ht="15.75" thickBot="1">
      <c r="A39" s="1"/>
      <c r="B39" s="91"/>
      <c r="C39" s="23"/>
      <c r="D39" s="48"/>
      <c r="E39" s="48"/>
      <c r="F39" s="49"/>
      <c r="G39" s="37"/>
      <c r="H39" s="36"/>
      <c r="I39" s="37"/>
      <c r="J39" s="35"/>
      <c r="K39" s="47"/>
    </row>
    <row r="40" spans="1:11" ht="15">
      <c r="A40" s="1"/>
      <c r="B40" s="1"/>
      <c r="C40" s="47"/>
      <c r="D40" s="47"/>
      <c r="E40" s="47"/>
      <c r="F40" s="47"/>
      <c r="G40" s="47"/>
      <c r="H40" s="47"/>
      <c r="I40" s="47"/>
      <c r="J40" s="1"/>
      <c r="K40" s="1"/>
    </row>
    <row r="41" spans="1:11" ht="15">
      <c r="A41" s="1"/>
      <c r="B41" s="1"/>
      <c r="C41" s="47"/>
      <c r="D41" s="47"/>
      <c r="E41" s="47"/>
      <c r="F41" s="47"/>
      <c r="G41" s="47"/>
      <c r="H41" s="47"/>
      <c r="I41" s="47"/>
      <c r="J41" s="1"/>
      <c r="K41" s="1"/>
    </row>
    <row r="42" spans="1:11" ht="15">
      <c r="A42" s="1"/>
      <c r="B42" s="1"/>
      <c r="C42" s="47"/>
      <c r="D42" s="47"/>
      <c r="E42" s="47"/>
      <c r="F42" s="47"/>
      <c r="G42" s="47"/>
      <c r="H42" s="47"/>
      <c r="I42" s="47"/>
      <c r="J42" s="1"/>
      <c r="K42" s="1"/>
    </row>
    <row r="43" spans="1:11" ht="15">
      <c r="A43" s="1"/>
      <c r="B43" s="1"/>
      <c r="C43" s="47"/>
      <c r="D43" s="47"/>
      <c r="E43" s="47"/>
      <c r="F43" s="47"/>
      <c r="G43" s="47"/>
      <c r="H43" s="47"/>
      <c r="I43" s="47"/>
      <c r="J43" s="1"/>
      <c r="K43" s="1"/>
    </row>
    <row r="44" spans="1:11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J62"/>
  <sheetViews>
    <sheetView workbookViewId="0"/>
  </sheetViews>
  <sheetFormatPr defaultRowHeight="12.75"/>
  <cols>
    <col min="2" max="2" width="3.140625" customWidth="1"/>
    <col min="3" max="3" width="28.85546875" customWidth="1"/>
    <col min="4" max="4" width="22.5703125" customWidth="1"/>
    <col min="5" max="5" width="3.7109375" customWidth="1"/>
    <col min="6" max="7" width="18.140625" customWidth="1"/>
    <col min="8" max="8" width="3.140625" customWidth="1"/>
    <col min="9" max="9" width="15.42578125" customWidth="1"/>
  </cols>
  <sheetData>
    <row r="1" spans="1:10" ht="18">
      <c r="A1" s="1"/>
      <c r="B1" s="1"/>
      <c r="C1" s="139" t="s">
        <v>313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270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3" t="s">
        <v>1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.75" customHeight="1">
      <c r="A6" s="1"/>
      <c r="B6" s="4"/>
      <c r="C6" s="5"/>
      <c r="D6" s="6"/>
      <c r="E6" s="7"/>
      <c r="F6" s="1"/>
      <c r="G6" s="1"/>
      <c r="H6" s="1"/>
      <c r="I6" s="1"/>
      <c r="J6" s="1"/>
    </row>
    <row r="7" spans="1:10" ht="15">
      <c r="A7" s="1"/>
      <c r="B7" s="8"/>
      <c r="C7" s="9" t="s">
        <v>271</v>
      </c>
      <c r="D7" s="76">
        <v>0.35</v>
      </c>
      <c r="E7" s="10"/>
      <c r="F7" s="1"/>
      <c r="G7" s="1"/>
      <c r="H7" s="1"/>
      <c r="I7" s="1"/>
      <c r="J7" s="1"/>
    </row>
    <row r="8" spans="1:10" ht="15">
      <c r="A8" s="1"/>
      <c r="B8" s="8"/>
      <c r="C8" s="9" t="s">
        <v>272</v>
      </c>
      <c r="D8" s="76">
        <v>0.5</v>
      </c>
      <c r="E8" s="10"/>
      <c r="F8" s="1"/>
      <c r="G8" s="1"/>
      <c r="H8" s="1"/>
      <c r="I8" s="1"/>
      <c r="J8" s="1"/>
    </row>
    <row r="9" spans="1:10" ht="15">
      <c r="A9" s="1"/>
      <c r="B9" s="8"/>
      <c r="C9" s="9" t="s">
        <v>273</v>
      </c>
      <c r="D9" s="157">
        <v>3600000</v>
      </c>
      <c r="E9" s="10"/>
      <c r="F9" s="1"/>
      <c r="G9" s="1"/>
      <c r="H9" s="1"/>
      <c r="I9" s="1"/>
      <c r="J9" s="1"/>
    </row>
    <row r="10" spans="1:10" ht="15">
      <c r="A10" s="1"/>
      <c r="B10" s="8"/>
      <c r="C10" s="9" t="s">
        <v>91</v>
      </c>
      <c r="D10" s="76">
        <v>0.08</v>
      </c>
      <c r="E10" s="10"/>
      <c r="F10" s="1"/>
      <c r="G10" s="1"/>
      <c r="H10" s="1"/>
      <c r="I10" s="1"/>
      <c r="J10" s="1"/>
    </row>
    <row r="11" spans="1:10" ht="15">
      <c r="A11" s="1"/>
      <c r="B11" s="8"/>
      <c r="C11" s="9" t="s">
        <v>4</v>
      </c>
      <c r="D11" s="157">
        <v>1350000</v>
      </c>
      <c r="E11" s="10"/>
      <c r="F11" s="1"/>
      <c r="G11" s="1"/>
      <c r="H11" s="1"/>
      <c r="I11" s="1"/>
      <c r="J11" s="1"/>
    </row>
    <row r="12" spans="1:10" ht="15.75" thickBot="1">
      <c r="A12" s="1"/>
      <c r="B12" s="11"/>
      <c r="C12" s="12"/>
      <c r="D12" s="13"/>
      <c r="E12" s="14"/>
      <c r="F12" s="1"/>
      <c r="G12" s="1"/>
      <c r="H12" s="1"/>
      <c r="I12" s="1"/>
      <c r="J12" s="1"/>
    </row>
    <row r="13" spans="1:10" ht="15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5">
      <c r="A14" s="1"/>
      <c r="B14" s="1"/>
      <c r="C14" s="3" t="s">
        <v>2</v>
      </c>
      <c r="D14" s="1"/>
      <c r="E14" s="1"/>
      <c r="F14" s="1"/>
      <c r="G14" s="1"/>
      <c r="H14" s="1"/>
      <c r="I14" s="1"/>
      <c r="J14" s="1"/>
    </row>
    <row r="15" spans="1:10" ht="15.75" thickBot="1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15">
      <c r="A16" s="1"/>
      <c r="B16" s="15"/>
      <c r="C16" s="16"/>
      <c r="D16" s="16"/>
      <c r="E16" s="17"/>
      <c r="F16" s="35"/>
      <c r="G16" s="35"/>
      <c r="H16" s="35"/>
      <c r="I16" s="35"/>
      <c r="J16" s="47"/>
    </row>
    <row r="17" spans="1:10" ht="15">
      <c r="A17" s="1"/>
      <c r="B17" s="88" t="s">
        <v>137</v>
      </c>
      <c r="C17" s="29" t="s">
        <v>274</v>
      </c>
      <c r="D17" s="146">
        <f>D9/D7</f>
        <v>10285714.285714285</v>
      </c>
      <c r="E17" s="19"/>
      <c r="F17" s="35"/>
      <c r="G17" s="35"/>
      <c r="H17" s="35"/>
      <c r="I17" s="35"/>
      <c r="J17" s="47"/>
    </row>
    <row r="18" spans="1:10" ht="15.75">
      <c r="A18" s="1"/>
      <c r="B18" s="88"/>
      <c r="C18" s="29"/>
      <c r="D18" s="160"/>
      <c r="E18" s="19"/>
      <c r="F18" s="35"/>
      <c r="G18" s="35"/>
      <c r="H18" s="35"/>
      <c r="I18" s="35"/>
      <c r="J18" s="47"/>
    </row>
    <row r="19" spans="1:10" ht="19.5">
      <c r="A19" s="1"/>
      <c r="B19" s="88"/>
      <c r="C19" s="29" t="s">
        <v>318</v>
      </c>
      <c r="D19" s="161">
        <f>D17+D9</f>
        <v>13885714.285714285</v>
      </c>
      <c r="E19" s="19"/>
      <c r="F19" s="35"/>
      <c r="G19" s="35"/>
      <c r="H19" s="35"/>
      <c r="I19" s="35"/>
      <c r="J19" s="47"/>
    </row>
    <row r="20" spans="1:10" ht="15.75">
      <c r="A20" s="1"/>
      <c r="B20" s="88"/>
      <c r="C20" s="29"/>
      <c r="D20" s="160"/>
      <c r="E20" s="19"/>
      <c r="F20" s="35"/>
      <c r="G20" s="35"/>
      <c r="H20" s="35"/>
      <c r="I20" s="35"/>
      <c r="J20" s="47"/>
    </row>
    <row r="21" spans="1:10" ht="19.5">
      <c r="A21" s="1"/>
      <c r="B21" s="88"/>
      <c r="C21" s="29" t="s">
        <v>319</v>
      </c>
      <c r="D21" s="161">
        <f>D19</f>
        <v>13885714.285714285</v>
      </c>
      <c r="E21" s="19"/>
      <c r="F21" s="35"/>
      <c r="G21" s="35"/>
      <c r="H21" s="35"/>
      <c r="I21" s="35"/>
      <c r="J21" s="47"/>
    </row>
    <row r="22" spans="1:10" ht="15.75">
      <c r="A22" s="1"/>
      <c r="B22" s="88"/>
      <c r="C22" s="29"/>
      <c r="D22" s="160"/>
      <c r="E22" s="19"/>
      <c r="F22" s="35"/>
      <c r="G22" s="35"/>
      <c r="H22" s="35"/>
      <c r="I22" s="35"/>
      <c r="J22" s="47"/>
    </row>
    <row r="23" spans="1:10" ht="15.75">
      <c r="A23" s="1"/>
      <c r="B23" s="88"/>
      <c r="C23" s="29" t="s">
        <v>275</v>
      </c>
      <c r="D23" s="160"/>
      <c r="E23" s="19"/>
      <c r="F23" s="35"/>
      <c r="G23" s="35"/>
      <c r="H23" s="35"/>
      <c r="I23" s="35"/>
      <c r="J23" s="47"/>
    </row>
    <row r="24" spans="1:10" ht="15">
      <c r="A24" s="1"/>
      <c r="B24" s="88"/>
      <c r="C24" s="29"/>
      <c r="D24" s="24"/>
      <c r="E24" s="19"/>
      <c r="F24" s="35"/>
      <c r="G24" s="35"/>
      <c r="H24" s="35"/>
      <c r="I24" s="35"/>
      <c r="J24" s="47"/>
    </row>
    <row r="25" spans="1:10" ht="15">
      <c r="A25" s="1"/>
      <c r="B25" s="88" t="s">
        <v>138</v>
      </c>
      <c r="C25" s="29" t="s">
        <v>261</v>
      </c>
      <c r="D25" s="174">
        <f>D9*D10</f>
        <v>288000</v>
      </c>
      <c r="E25" s="19"/>
      <c r="F25" s="35"/>
      <c r="G25" s="35"/>
      <c r="H25" s="35"/>
      <c r="I25" s="35"/>
      <c r="J25" s="47"/>
    </row>
    <row r="26" spans="1:10" ht="15">
      <c r="A26" s="1"/>
      <c r="B26" s="88"/>
      <c r="C26" s="29"/>
      <c r="D26" s="159"/>
      <c r="E26" s="19"/>
      <c r="F26" s="35"/>
      <c r="G26" s="35"/>
      <c r="H26" s="35"/>
      <c r="I26" s="35"/>
      <c r="J26" s="47"/>
    </row>
    <row r="27" spans="1:10" ht="19.5">
      <c r="A27" s="1"/>
      <c r="B27" s="88"/>
      <c r="C27" s="29" t="s">
        <v>276</v>
      </c>
      <c r="D27" s="121">
        <f>(D11-D25)/D17</f>
        <v>0.10325000000000001</v>
      </c>
      <c r="E27" s="19"/>
      <c r="F27" s="35"/>
      <c r="G27" s="35"/>
      <c r="H27" s="35"/>
      <c r="I27" s="35"/>
      <c r="J27" s="47"/>
    </row>
    <row r="28" spans="1:10" ht="15">
      <c r="A28" s="1"/>
      <c r="B28" s="88"/>
      <c r="C28" s="29"/>
      <c r="D28" s="29"/>
      <c r="E28" s="19"/>
      <c r="F28" s="35"/>
      <c r="G28" s="35"/>
      <c r="H28" s="35"/>
      <c r="I28" s="35"/>
      <c r="J28" s="47"/>
    </row>
    <row r="29" spans="1:10" ht="19.5">
      <c r="A29" s="1"/>
      <c r="B29" s="88" t="s">
        <v>139</v>
      </c>
      <c r="C29" s="168" t="s">
        <v>246</v>
      </c>
      <c r="D29" s="121">
        <f>(D27+(D7*D10))/(1+D7)</f>
        <v>9.7222222222222224E-2</v>
      </c>
      <c r="E29" s="19"/>
      <c r="F29" s="35"/>
      <c r="G29" s="35"/>
      <c r="H29" s="35"/>
      <c r="I29" s="35"/>
      <c r="J29" s="47"/>
    </row>
    <row r="30" spans="1:10" ht="15.75">
      <c r="A30" s="1"/>
      <c r="B30" s="88"/>
      <c r="C30" s="29"/>
      <c r="D30" s="99"/>
      <c r="E30" s="19"/>
      <c r="F30" s="35"/>
      <c r="G30" s="35"/>
      <c r="H30" s="35"/>
      <c r="I30" s="35"/>
      <c r="J30" s="47"/>
    </row>
    <row r="31" spans="1:10" ht="19.5">
      <c r="A31" s="1"/>
      <c r="B31" s="88" t="s">
        <v>140</v>
      </c>
      <c r="C31" s="168" t="s">
        <v>277</v>
      </c>
      <c r="D31" s="121">
        <f>D29+(D8*(D29-D10))</f>
        <v>0.10583333333333333</v>
      </c>
      <c r="E31" s="19"/>
      <c r="F31" s="35"/>
      <c r="G31" s="35"/>
      <c r="H31" s="35"/>
      <c r="I31" s="35"/>
      <c r="J31" s="47"/>
    </row>
    <row r="32" spans="1:10" ht="15.75" thickBot="1">
      <c r="A32" s="1"/>
      <c r="B32" s="91"/>
      <c r="C32" s="23"/>
      <c r="D32" s="48"/>
      <c r="E32" s="49"/>
      <c r="F32" s="37"/>
      <c r="G32" s="36"/>
      <c r="H32" s="37"/>
      <c r="I32" s="35"/>
      <c r="J32" s="47"/>
    </row>
    <row r="33" spans="1:10" ht="15">
      <c r="A33" s="1"/>
      <c r="B33" s="1"/>
      <c r="C33" s="47"/>
      <c r="D33" s="47"/>
      <c r="E33" s="47"/>
      <c r="F33" s="47"/>
      <c r="G33" s="47"/>
      <c r="H33" s="47"/>
      <c r="I33" s="1"/>
      <c r="J33" s="1"/>
    </row>
    <row r="34" spans="1:10" ht="15">
      <c r="A34" s="1"/>
      <c r="B34" s="1"/>
      <c r="C34" s="47"/>
      <c r="D34" s="47"/>
      <c r="E34" s="47"/>
      <c r="F34" s="47"/>
      <c r="G34" s="47"/>
      <c r="H34" s="47"/>
      <c r="I34" s="1"/>
      <c r="J34" s="1"/>
    </row>
    <row r="35" spans="1:10" ht="15">
      <c r="A35" s="1"/>
      <c r="B35" s="1"/>
      <c r="C35" s="47"/>
      <c r="D35" s="47"/>
      <c r="E35" s="47"/>
      <c r="F35" s="47"/>
      <c r="G35" s="47"/>
      <c r="H35" s="47"/>
      <c r="I35" s="1"/>
      <c r="J35" s="1"/>
    </row>
    <row r="36" spans="1:10" ht="15">
      <c r="A36" s="1"/>
      <c r="B36" s="1"/>
      <c r="C36" s="47"/>
      <c r="D36" s="47"/>
      <c r="E36" s="47"/>
      <c r="F36" s="47"/>
      <c r="G36" s="47"/>
      <c r="H36" s="47"/>
      <c r="I36" s="1"/>
      <c r="J36" s="1"/>
    </row>
    <row r="37" spans="1:10" ht="1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">
      <c r="A62" s="1"/>
      <c r="B62" s="1"/>
      <c r="C62" s="1"/>
      <c r="D62" s="1"/>
      <c r="E62" s="1"/>
      <c r="F62" s="1"/>
      <c r="G62" s="1"/>
      <c r="H62" s="1"/>
      <c r="I62" s="1"/>
      <c r="J62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J75"/>
  <sheetViews>
    <sheetView workbookViewId="0"/>
  </sheetViews>
  <sheetFormatPr defaultRowHeight="12.75"/>
  <cols>
    <col min="2" max="2" width="3.140625" customWidth="1"/>
    <col min="3" max="3" width="28.85546875" customWidth="1"/>
    <col min="4" max="4" width="22.5703125" customWidth="1"/>
    <col min="5" max="5" width="3.7109375" customWidth="1"/>
    <col min="6" max="7" width="18.140625" customWidth="1"/>
    <col min="8" max="8" width="3.140625" customWidth="1"/>
    <col min="9" max="9" width="15.42578125" customWidth="1"/>
  </cols>
  <sheetData>
    <row r="1" spans="1:10" ht="18">
      <c r="A1" s="1"/>
      <c r="B1" s="1"/>
      <c r="C1" s="139" t="s">
        <v>313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285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3" t="s">
        <v>1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.75" customHeight="1">
      <c r="A6" s="1"/>
      <c r="B6" s="4"/>
      <c r="C6" s="5"/>
      <c r="D6" s="6"/>
      <c r="E6" s="7"/>
      <c r="F6" s="1"/>
      <c r="G6" s="1"/>
      <c r="H6" s="1"/>
      <c r="I6" s="1"/>
      <c r="J6" s="1"/>
    </row>
    <row r="7" spans="1:10" ht="15">
      <c r="A7" s="1"/>
      <c r="B7" s="8"/>
      <c r="C7" s="9" t="s">
        <v>5</v>
      </c>
      <c r="D7" s="129">
        <v>2000000</v>
      </c>
      <c r="E7" s="10"/>
      <c r="F7" s="1"/>
      <c r="G7" s="1"/>
      <c r="H7" s="1"/>
      <c r="I7" s="1"/>
      <c r="J7" s="1"/>
    </row>
    <row r="8" spans="1:10" ht="15">
      <c r="A8" s="1"/>
      <c r="B8" s="8"/>
      <c r="C8" s="9" t="s">
        <v>6</v>
      </c>
      <c r="D8" s="76">
        <v>0.06</v>
      </c>
      <c r="E8" s="10"/>
      <c r="F8" s="1"/>
      <c r="G8" s="1"/>
      <c r="H8" s="1"/>
      <c r="I8" s="1"/>
      <c r="J8" s="1"/>
    </row>
    <row r="9" spans="1:10" ht="15">
      <c r="A9" s="1"/>
      <c r="B9" s="8"/>
      <c r="C9" s="9" t="s">
        <v>286</v>
      </c>
      <c r="D9" s="157">
        <v>6300000</v>
      </c>
      <c r="E9" s="10"/>
      <c r="F9" s="1"/>
      <c r="G9" s="1"/>
      <c r="H9" s="1"/>
      <c r="I9" s="1"/>
      <c r="J9" s="1"/>
    </row>
    <row r="10" spans="1:10" ht="15">
      <c r="A10" s="1"/>
      <c r="B10" s="8"/>
      <c r="C10" s="9" t="s">
        <v>7</v>
      </c>
      <c r="D10" s="144">
        <v>400000</v>
      </c>
      <c r="E10" s="10"/>
      <c r="F10" s="1"/>
      <c r="G10" s="1"/>
      <c r="H10" s="1"/>
      <c r="I10" s="1"/>
      <c r="J10" s="1"/>
    </row>
    <row r="11" spans="1:10" ht="15">
      <c r="A11" s="1"/>
      <c r="B11" s="8"/>
      <c r="C11" s="9" t="s">
        <v>287</v>
      </c>
      <c r="D11" s="157">
        <v>1500000</v>
      </c>
      <c r="E11" s="10"/>
      <c r="F11" s="1"/>
      <c r="G11" s="1"/>
      <c r="H11" s="1"/>
      <c r="I11" s="1"/>
      <c r="J11" s="1"/>
    </row>
    <row r="12" spans="1:10" ht="15">
      <c r="A12" s="1"/>
      <c r="B12" s="8"/>
      <c r="C12" s="9" t="s">
        <v>15</v>
      </c>
      <c r="D12" s="76">
        <v>0.4</v>
      </c>
      <c r="E12" s="10"/>
      <c r="F12" s="1"/>
      <c r="G12" s="1"/>
      <c r="H12" s="1"/>
      <c r="I12" s="1"/>
      <c r="J12" s="1"/>
    </row>
    <row r="13" spans="1:10" ht="15.75" thickBot="1">
      <c r="A13" s="1"/>
      <c r="B13" s="11"/>
      <c r="C13" s="12"/>
      <c r="D13" s="13"/>
      <c r="E13" s="14"/>
      <c r="F13" s="1"/>
      <c r="G13" s="1"/>
      <c r="H13" s="1"/>
      <c r="I13" s="1"/>
      <c r="J13" s="1"/>
    </row>
    <row r="14" spans="1:10" ht="1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ht="15">
      <c r="A15" s="1"/>
      <c r="B15" s="1"/>
      <c r="C15" s="3" t="s">
        <v>2</v>
      </c>
      <c r="D15" s="1"/>
      <c r="E15" s="1"/>
      <c r="F15" s="1"/>
      <c r="G15" s="1"/>
      <c r="H15" s="1"/>
      <c r="I15" s="1"/>
      <c r="J15" s="1"/>
    </row>
    <row r="16" spans="1:10" ht="15.75" thickBot="1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ht="15">
      <c r="A17" s="1"/>
      <c r="B17" s="15"/>
      <c r="C17" s="16"/>
      <c r="D17" s="16"/>
      <c r="E17" s="16"/>
      <c r="F17" s="16"/>
      <c r="G17" s="16"/>
      <c r="H17" s="17"/>
      <c r="I17" s="35"/>
      <c r="J17" s="47"/>
    </row>
    <row r="18" spans="1:10" ht="15">
      <c r="A18" s="1"/>
      <c r="B18" s="88" t="s">
        <v>137</v>
      </c>
      <c r="C18" s="29" t="s">
        <v>288</v>
      </c>
      <c r="D18" s="146">
        <f>D12*D11</f>
        <v>600000</v>
      </c>
      <c r="E18" s="29"/>
      <c r="F18" s="29"/>
      <c r="G18" s="29"/>
      <c r="H18" s="19"/>
      <c r="I18" s="35"/>
      <c r="J18" s="47"/>
    </row>
    <row r="19" spans="1:10" ht="15.75">
      <c r="A19" s="1"/>
      <c r="B19" s="88"/>
      <c r="C19" s="29"/>
      <c r="D19" s="160"/>
      <c r="E19" s="29"/>
      <c r="F19" s="29"/>
      <c r="G19" s="29"/>
      <c r="H19" s="19"/>
      <c r="I19" s="35"/>
      <c r="J19" s="47"/>
    </row>
    <row r="20" spans="1:10" ht="19.5">
      <c r="A20" s="1"/>
      <c r="B20" s="88"/>
      <c r="C20" s="168" t="s">
        <v>246</v>
      </c>
      <c r="D20" s="121">
        <f>(D11-D18)/D9</f>
        <v>0.14285714285714285</v>
      </c>
      <c r="E20" s="29"/>
      <c r="F20" s="29"/>
      <c r="G20" s="29"/>
      <c r="H20" s="19"/>
      <c r="I20" s="35"/>
      <c r="J20" s="47"/>
    </row>
    <row r="21" spans="1:10" ht="15">
      <c r="A21" s="1"/>
      <c r="B21" s="88"/>
      <c r="C21" s="29"/>
      <c r="D21" s="24"/>
      <c r="E21" s="29"/>
      <c r="F21" s="29"/>
      <c r="G21" s="29"/>
      <c r="H21" s="19"/>
      <c r="I21" s="35"/>
      <c r="J21" s="47"/>
    </row>
    <row r="22" spans="1:10" ht="15.75">
      <c r="A22" s="1"/>
      <c r="B22" s="88" t="s">
        <v>138</v>
      </c>
      <c r="C22" s="29" t="s">
        <v>289</v>
      </c>
      <c r="D22" s="180">
        <f>D9/D10</f>
        <v>15.75</v>
      </c>
      <c r="E22" s="29"/>
      <c r="F22" s="29"/>
      <c r="G22" s="29"/>
      <c r="H22" s="19"/>
      <c r="I22" s="35"/>
      <c r="J22" s="47"/>
    </row>
    <row r="23" spans="1:10" ht="15.75">
      <c r="A23" s="1"/>
      <c r="B23" s="88"/>
      <c r="C23" s="29"/>
      <c r="D23" s="181"/>
      <c r="E23" s="29"/>
      <c r="F23" s="29"/>
      <c r="G23" s="29"/>
      <c r="H23" s="19"/>
      <c r="I23" s="35"/>
      <c r="J23" s="47"/>
    </row>
    <row r="24" spans="1:10" ht="15.75">
      <c r="A24" s="1"/>
      <c r="B24" s="88"/>
      <c r="C24" s="29"/>
      <c r="D24" s="181"/>
      <c r="E24" s="29"/>
      <c r="F24" s="29" t="s">
        <v>34</v>
      </c>
      <c r="G24" s="182">
        <v>0</v>
      </c>
      <c r="H24" s="19"/>
      <c r="I24" s="35"/>
      <c r="J24" s="47"/>
    </row>
    <row r="25" spans="1:10" ht="15">
      <c r="A25" s="1"/>
      <c r="B25" s="88"/>
      <c r="C25" s="29" t="s">
        <v>290</v>
      </c>
      <c r="D25" s="174">
        <f>D9</f>
        <v>6300000</v>
      </c>
      <c r="E25" s="29"/>
      <c r="F25" s="29" t="s">
        <v>292</v>
      </c>
      <c r="G25" s="146">
        <f>D25</f>
        <v>6300000</v>
      </c>
      <c r="H25" s="19"/>
      <c r="I25" s="35"/>
      <c r="J25" s="47"/>
    </row>
    <row r="26" spans="1:10" ht="15.75" thickBot="1">
      <c r="A26" s="1"/>
      <c r="B26" s="88"/>
      <c r="C26" s="29" t="s">
        <v>291</v>
      </c>
      <c r="D26" s="102">
        <f>D25</f>
        <v>6300000</v>
      </c>
      <c r="E26" s="29"/>
      <c r="F26" s="29" t="s">
        <v>293</v>
      </c>
      <c r="G26" s="102">
        <f>G25</f>
        <v>6300000</v>
      </c>
      <c r="H26" s="19"/>
      <c r="I26" s="35"/>
      <c r="J26" s="47"/>
    </row>
    <row r="27" spans="1:10" ht="15.75" thickTop="1">
      <c r="A27" s="1"/>
      <c r="B27" s="88"/>
      <c r="C27" s="29"/>
      <c r="D27" s="146"/>
      <c r="E27" s="29"/>
      <c r="F27" s="29"/>
      <c r="G27" s="146"/>
      <c r="H27" s="19"/>
      <c r="I27" s="35"/>
      <c r="J27" s="47"/>
    </row>
    <row r="28" spans="1:10" ht="15">
      <c r="A28" s="1"/>
      <c r="B28" s="88" t="s">
        <v>139</v>
      </c>
      <c r="C28" s="29" t="s">
        <v>295</v>
      </c>
      <c r="D28" s="146">
        <f>D12*D7</f>
        <v>800000</v>
      </c>
      <c r="E28" s="29"/>
      <c r="F28" s="29"/>
      <c r="G28" s="146"/>
      <c r="H28" s="19"/>
      <c r="I28" s="35"/>
      <c r="J28" s="47"/>
    </row>
    <row r="29" spans="1:10" ht="15">
      <c r="A29" s="1"/>
      <c r="B29" s="88"/>
      <c r="C29" s="29"/>
      <c r="D29" s="29"/>
      <c r="E29" s="29"/>
      <c r="F29" s="29"/>
      <c r="G29" s="29"/>
      <c r="H29" s="19"/>
      <c r="I29" s="35"/>
      <c r="J29" s="47"/>
    </row>
    <row r="30" spans="1:10" ht="15">
      <c r="A30" s="1"/>
      <c r="B30" s="88"/>
      <c r="C30" s="29" t="s">
        <v>294</v>
      </c>
      <c r="D30" s="174">
        <f>D25</f>
        <v>6300000</v>
      </c>
      <c r="E30" s="29"/>
      <c r="F30" s="29" t="s">
        <v>34</v>
      </c>
      <c r="G30" s="182">
        <v>0</v>
      </c>
      <c r="H30" s="19"/>
      <c r="I30" s="35"/>
      <c r="J30" s="47"/>
    </row>
    <row r="31" spans="1:10" ht="15">
      <c r="A31" s="1"/>
      <c r="B31" s="88"/>
      <c r="C31" s="29" t="s">
        <v>290</v>
      </c>
      <c r="D31" s="219">
        <f>D28</f>
        <v>800000</v>
      </c>
      <c r="E31" s="29"/>
      <c r="F31" s="29" t="s">
        <v>292</v>
      </c>
      <c r="G31" s="146">
        <f>D32</f>
        <v>7100000</v>
      </c>
      <c r="H31" s="19"/>
      <c r="I31" s="35"/>
      <c r="J31" s="47"/>
    </row>
    <row r="32" spans="1:10" ht="15.75" thickBot="1">
      <c r="A32" s="1"/>
      <c r="B32" s="88"/>
      <c r="C32" s="29" t="s">
        <v>291</v>
      </c>
      <c r="D32" s="102">
        <f>D30+D31</f>
        <v>7100000</v>
      </c>
      <c r="E32" s="29"/>
      <c r="F32" s="29" t="s">
        <v>293</v>
      </c>
      <c r="G32" s="102">
        <f>G31</f>
        <v>7100000</v>
      </c>
      <c r="H32" s="19"/>
      <c r="I32" s="35"/>
      <c r="J32" s="47"/>
    </row>
    <row r="33" spans="1:10" ht="16.5" thickTop="1">
      <c r="A33" s="1"/>
      <c r="B33" s="88"/>
      <c r="C33" s="29"/>
      <c r="D33" s="99"/>
      <c r="E33" s="29"/>
      <c r="F33" s="29"/>
      <c r="G33" s="29"/>
      <c r="H33" s="19"/>
      <c r="I33" s="35"/>
      <c r="J33" s="47"/>
    </row>
    <row r="34" spans="1:10" ht="15.75">
      <c r="A34" s="1"/>
      <c r="B34" s="88" t="s">
        <v>140</v>
      </c>
      <c r="C34" s="29" t="s">
        <v>296</v>
      </c>
      <c r="D34" s="183">
        <f>G31/D10</f>
        <v>17.75</v>
      </c>
      <c r="E34" s="29"/>
      <c r="F34" s="29"/>
      <c r="G34" s="29"/>
      <c r="H34" s="19"/>
      <c r="I34" s="35"/>
      <c r="J34" s="47"/>
    </row>
    <row r="35" spans="1:10" ht="15.75">
      <c r="A35" s="1"/>
      <c r="B35" s="88"/>
      <c r="C35" s="29"/>
      <c r="D35" s="99"/>
      <c r="E35" s="29"/>
      <c r="F35" s="29"/>
      <c r="G35" s="29"/>
      <c r="H35" s="19"/>
      <c r="I35" s="35"/>
      <c r="J35" s="47"/>
    </row>
    <row r="36" spans="1:10" ht="15.75">
      <c r="A36" s="1"/>
      <c r="B36" s="88" t="s">
        <v>225</v>
      </c>
      <c r="C36" s="29" t="s">
        <v>297</v>
      </c>
      <c r="D36" s="184">
        <f>D7/D34</f>
        <v>112676.05633802817</v>
      </c>
      <c r="E36" s="29"/>
      <c r="F36" s="29"/>
      <c r="G36" s="29"/>
      <c r="H36" s="19"/>
      <c r="I36" s="35"/>
      <c r="J36" s="47"/>
    </row>
    <row r="37" spans="1:10" ht="15.75">
      <c r="A37" s="1"/>
      <c r="B37" s="88"/>
      <c r="C37" s="29"/>
      <c r="D37" s="176"/>
      <c r="E37" s="29"/>
      <c r="F37" s="29"/>
      <c r="G37" s="29"/>
      <c r="H37" s="19"/>
      <c r="I37" s="35"/>
      <c r="J37" s="47"/>
    </row>
    <row r="38" spans="1:10" ht="15.75">
      <c r="A38" s="1"/>
      <c r="B38" s="88"/>
      <c r="C38" s="29" t="s">
        <v>298</v>
      </c>
      <c r="D38" s="184">
        <f>D10-D36</f>
        <v>287323.94366197183</v>
      </c>
      <c r="E38" s="29"/>
      <c r="F38" s="187"/>
      <c r="G38" s="29"/>
      <c r="H38" s="19"/>
      <c r="I38" s="35"/>
      <c r="J38" s="47"/>
    </row>
    <row r="39" spans="1:10" ht="15.75">
      <c r="A39" s="1"/>
      <c r="B39" s="88"/>
      <c r="C39" s="29"/>
      <c r="D39" s="176"/>
      <c r="E39" s="29"/>
      <c r="F39" s="29"/>
      <c r="G39" s="29"/>
      <c r="H39" s="19"/>
      <c r="I39" s="35"/>
      <c r="J39" s="47"/>
    </row>
    <row r="40" spans="1:10" ht="15">
      <c r="A40" s="1"/>
      <c r="B40" s="88" t="s">
        <v>220</v>
      </c>
      <c r="C40" s="29" t="s">
        <v>294</v>
      </c>
      <c r="D40" s="174">
        <f>D30</f>
        <v>6300000</v>
      </c>
      <c r="E40" s="29"/>
      <c r="F40" s="29" t="s">
        <v>34</v>
      </c>
      <c r="G40" s="146">
        <f>D7</f>
        <v>2000000</v>
      </c>
      <c r="H40" s="19"/>
      <c r="I40" s="35"/>
      <c r="J40" s="47"/>
    </row>
    <row r="41" spans="1:10" ht="15">
      <c r="A41" s="1"/>
      <c r="B41" s="88"/>
      <c r="C41" s="29" t="s">
        <v>290</v>
      </c>
      <c r="D41" s="219">
        <f>D31</f>
        <v>800000</v>
      </c>
      <c r="E41" s="29"/>
      <c r="F41" s="29" t="s">
        <v>292</v>
      </c>
      <c r="G41" s="182">
        <f>D42-G40</f>
        <v>5100000</v>
      </c>
      <c r="H41" s="19"/>
      <c r="I41" s="35"/>
      <c r="J41" s="47"/>
    </row>
    <row r="42" spans="1:10" ht="15.75" thickBot="1">
      <c r="A42" s="1"/>
      <c r="B42" s="88"/>
      <c r="C42" s="29" t="s">
        <v>291</v>
      </c>
      <c r="D42" s="102">
        <f>D40+D41</f>
        <v>7100000</v>
      </c>
      <c r="E42" s="29"/>
      <c r="F42" s="29" t="s">
        <v>293</v>
      </c>
      <c r="G42" s="102">
        <f>G40+G41</f>
        <v>7100000</v>
      </c>
      <c r="H42" s="19"/>
      <c r="I42" s="35"/>
      <c r="J42" s="47"/>
    </row>
    <row r="43" spans="1:10" ht="16.5" thickTop="1">
      <c r="A43" s="1"/>
      <c r="B43" s="88"/>
      <c r="C43" s="29"/>
      <c r="D43" s="176"/>
      <c r="E43" s="29"/>
      <c r="F43" s="29"/>
      <c r="G43" s="29"/>
      <c r="H43" s="19"/>
      <c r="I43" s="35"/>
      <c r="J43" s="47"/>
    </row>
    <row r="44" spans="1:10" ht="19.5">
      <c r="A44" s="1"/>
      <c r="B44" s="88" t="s">
        <v>232</v>
      </c>
      <c r="C44" s="168" t="s">
        <v>277</v>
      </c>
      <c r="D44" s="121">
        <f>D20+((G40/G41)*(D20-D8)*(1-D12))</f>
        <v>0.16235294117647059</v>
      </c>
      <c r="E44" s="29"/>
      <c r="F44" s="29"/>
      <c r="G44" s="29"/>
      <c r="H44" s="19"/>
      <c r="I44" s="35"/>
      <c r="J44" s="47"/>
    </row>
    <row r="45" spans="1:10" ht="15.75" thickBot="1">
      <c r="A45" s="1"/>
      <c r="B45" s="91"/>
      <c r="C45" s="23"/>
      <c r="D45" s="48"/>
      <c r="E45" s="59"/>
      <c r="F45" s="60"/>
      <c r="G45" s="59"/>
      <c r="H45" s="61"/>
      <c r="I45" s="35"/>
      <c r="J45" s="47"/>
    </row>
    <row r="46" spans="1:10" ht="15">
      <c r="A46" s="1"/>
      <c r="B46" s="1"/>
      <c r="C46" s="47"/>
      <c r="D46" s="47"/>
      <c r="E46" s="47"/>
      <c r="F46" s="47"/>
      <c r="G46" s="47"/>
      <c r="H46" s="47"/>
      <c r="I46" s="1"/>
      <c r="J46" s="1"/>
    </row>
    <row r="47" spans="1:10" ht="15">
      <c r="A47" s="1"/>
      <c r="B47" s="1"/>
      <c r="C47" s="47"/>
      <c r="D47" s="47"/>
      <c r="E47" s="47"/>
      <c r="F47" s="47"/>
      <c r="G47" s="47"/>
      <c r="H47" s="47"/>
      <c r="I47" s="1"/>
      <c r="J47" s="1"/>
    </row>
    <row r="48" spans="1:10" ht="15">
      <c r="A48" s="1"/>
      <c r="B48" s="1"/>
      <c r="C48" s="47"/>
      <c r="D48" s="47"/>
      <c r="E48" s="47"/>
      <c r="F48" s="47"/>
      <c r="G48" s="47"/>
      <c r="H48" s="47"/>
      <c r="I48" s="1"/>
      <c r="J48" s="1"/>
    </row>
    <row r="49" spans="1:10" ht="15">
      <c r="A49" s="1"/>
      <c r="B49" s="1"/>
      <c r="C49" s="47"/>
      <c r="D49" s="47"/>
      <c r="E49" s="47"/>
      <c r="F49" s="47"/>
      <c r="G49" s="47"/>
      <c r="H49" s="47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5">
      <c r="A75" s="1"/>
      <c r="B75" s="1"/>
      <c r="C75" s="1"/>
      <c r="D75" s="1"/>
      <c r="E75" s="1"/>
      <c r="F75" s="1"/>
      <c r="G75" s="1"/>
      <c r="H75" s="1"/>
      <c r="I75" s="1"/>
      <c r="J75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J68"/>
  <sheetViews>
    <sheetView workbookViewId="0"/>
  </sheetViews>
  <sheetFormatPr defaultRowHeight="12.75"/>
  <cols>
    <col min="2" max="2" width="3.140625" customWidth="1"/>
    <col min="3" max="3" width="22.7109375" bestFit="1" customWidth="1"/>
    <col min="4" max="4" width="21.7109375" customWidth="1"/>
    <col min="5" max="5" width="3.7109375" customWidth="1"/>
    <col min="6" max="7" width="18.140625" customWidth="1"/>
    <col min="8" max="8" width="3.140625" customWidth="1"/>
    <col min="9" max="9" width="15.42578125" customWidth="1"/>
  </cols>
  <sheetData>
    <row r="1" spans="1:10" ht="18">
      <c r="A1" s="1"/>
      <c r="B1" s="1"/>
      <c r="C1" s="139" t="s">
        <v>313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279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3" t="s">
        <v>1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.75" customHeight="1">
      <c r="A6" s="1"/>
      <c r="B6" s="4"/>
      <c r="C6" s="5"/>
      <c r="D6" s="6"/>
      <c r="E6" s="7"/>
      <c r="F6" s="1"/>
      <c r="G6" s="1"/>
      <c r="H6" s="1"/>
      <c r="I6" s="1"/>
      <c r="J6" s="1"/>
    </row>
    <row r="7" spans="1:10" ht="15">
      <c r="A7" s="1"/>
      <c r="B7" s="8"/>
      <c r="C7" s="9" t="s">
        <v>109</v>
      </c>
      <c r="D7" s="134">
        <v>2.5</v>
      </c>
      <c r="E7" s="10"/>
      <c r="F7" s="1"/>
      <c r="G7" s="1"/>
      <c r="H7" s="1"/>
      <c r="I7" s="1"/>
      <c r="J7" s="1"/>
    </row>
    <row r="8" spans="1:10" ht="19.5">
      <c r="A8" s="1"/>
      <c r="B8" s="8"/>
      <c r="C8" s="34" t="s">
        <v>253</v>
      </c>
      <c r="D8" s="76">
        <v>0.1</v>
      </c>
      <c r="E8" s="10"/>
      <c r="F8" s="1"/>
      <c r="G8" s="1"/>
      <c r="H8" s="1"/>
      <c r="I8" s="1"/>
      <c r="J8" s="1"/>
    </row>
    <row r="9" spans="1:10" ht="15">
      <c r="A9" s="1"/>
      <c r="B9" s="8"/>
      <c r="C9" s="9" t="s">
        <v>280</v>
      </c>
      <c r="D9" s="132">
        <v>0.06</v>
      </c>
      <c r="E9" s="10"/>
      <c r="F9" s="1"/>
      <c r="G9" s="1"/>
      <c r="H9" s="1"/>
      <c r="I9" s="1"/>
      <c r="J9" s="1"/>
    </row>
    <row r="10" spans="1:10" ht="15">
      <c r="A10" s="1"/>
      <c r="B10" s="8"/>
      <c r="C10" s="9" t="s">
        <v>15</v>
      </c>
      <c r="D10" s="76">
        <v>0.35</v>
      </c>
      <c r="E10" s="10"/>
      <c r="F10" s="1"/>
      <c r="G10" s="1"/>
      <c r="H10" s="1"/>
      <c r="I10" s="1"/>
      <c r="J10" s="1"/>
    </row>
    <row r="11" spans="1:10" ht="15">
      <c r="A11" s="1"/>
      <c r="B11" s="106" t="s">
        <v>139</v>
      </c>
      <c r="C11" s="9" t="s">
        <v>281</v>
      </c>
      <c r="D11" s="134">
        <v>0.75</v>
      </c>
      <c r="E11" s="10"/>
      <c r="F11" s="1"/>
      <c r="G11" s="1"/>
      <c r="H11" s="1"/>
      <c r="I11" s="1"/>
      <c r="J11" s="1"/>
    </row>
    <row r="12" spans="1:10" ht="15">
      <c r="A12" s="1"/>
      <c r="B12" s="8"/>
      <c r="C12" s="9" t="s">
        <v>281</v>
      </c>
      <c r="D12" s="134">
        <v>1.5</v>
      </c>
      <c r="E12" s="10"/>
      <c r="F12" s="1"/>
      <c r="G12" s="1"/>
      <c r="H12" s="1"/>
      <c r="I12" s="1"/>
      <c r="J12" s="1"/>
    </row>
    <row r="13" spans="1:10" ht="15.75" thickBot="1">
      <c r="A13" s="1"/>
      <c r="B13" s="11"/>
      <c r="C13" s="12"/>
      <c r="D13" s="13"/>
      <c r="E13" s="14"/>
      <c r="F13" s="1"/>
      <c r="G13" s="1"/>
      <c r="H13" s="1"/>
      <c r="I13" s="1"/>
      <c r="J13" s="1"/>
    </row>
    <row r="14" spans="1:10" ht="1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ht="15">
      <c r="A15" s="1"/>
      <c r="B15" s="1"/>
      <c r="C15" s="3" t="s">
        <v>2</v>
      </c>
      <c r="D15" s="1"/>
      <c r="E15" s="1"/>
      <c r="F15" s="1"/>
      <c r="G15" s="1"/>
      <c r="H15" s="1"/>
      <c r="I15" s="1"/>
      <c r="J15" s="1"/>
    </row>
    <row r="16" spans="1:10" ht="15.75" thickBot="1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ht="15">
      <c r="A17" s="1"/>
      <c r="B17" s="15"/>
      <c r="C17" s="16"/>
      <c r="D17" s="16"/>
      <c r="E17" s="17"/>
      <c r="F17" s="35"/>
      <c r="G17" s="35"/>
      <c r="H17" s="35"/>
      <c r="I17" s="35"/>
      <c r="J17" s="47"/>
    </row>
    <row r="18" spans="1:10" ht="15">
      <c r="A18" s="1"/>
      <c r="B18" s="88" t="s">
        <v>137</v>
      </c>
      <c r="C18" s="168" t="s">
        <v>282</v>
      </c>
      <c r="D18" s="175">
        <f>D7/(D7+1)</f>
        <v>0.7142857142857143</v>
      </c>
      <c r="E18" s="19"/>
      <c r="F18" s="35"/>
      <c r="G18" s="35"/>
      <c r="H18" s="35"/>
      <c r="I18" s="35"/>
      <c r="J18" s="47"/>
    </row>
    <row r="19" spans="1:10" ht="15">
      <c r="A19" s="1"/>
      <c r="B19" s="88"/>
      <c r="C19" s="168" t="s">
        <v>283</v>
      </c>
      <c r="D19" s="175">
        <f>1/(D7+1)</f>
        <v>0.2857142857142857</v>
      </c>
      <c r="E19" s="19"/>
      <c r="F19" s="35"/>
      <c r="G19" s="35"/>
      <c r="H19" s="35"/>
      <c r="I19" s="35"/>
      <c r="J19" s="47"/>
    </row>
    <row r="20" spans="1:10" ht="15">
      <c r="A20" s="1"/>
      <c r="B20" s="88"/>
      <c r="C20" s="29"/>
      <c r="D20" s="29"/>
      <c r="E20" s="19"/>
      <c r="F20" s="35"/>
      <c r="G20" s="35"/>
      <c r="H20" s="35"/>
      <c r="I20" s="35"/>
      <c r="J20" s="47"/>
    </row>
    <row r="21" spans="1:10" ht="19.5">
      <c r="A21" s="1"/>
      <c r="B21" s="88"/>
      <c r="C21" s="168" t="s">
        <v>277</v>
      </c>
      <c r="D21" s="121">
        <f>(D8-(D18*(1-D10)*D9))/D19</f>
        <v>0.25250000000000006</v>
      </c>
      <c r="E21" s="19"/>
      <c r="F21" s="35"/>
      <c r="G21" s="35"/>
      <c r="H21" s="35"/>
      <c r="I21" s="35"/>
      <c r="J21" s="47"/>
    </row>
    <row r="22" spans="1:10" ht="15">
      <c r="A22" s="1"/>
      <c r="B22" s="88"/>
      <c r="C22" s="29"/>
      <c r="D22" s="29"/>
      <c r="E22" s="19"/>
      <c r="F22" s="35"/>
      <c r="G22" s="35"/>
      <c r="H22" s="35"/>
      <c r="I22" s="35"/>
      <c r="J22" s="47"/>
    </row>
    <row r="23" spans="1:10" ht="19.5">
      <c r="A23" s="1"/>
      <c r="B23" s="88" t="s">
        <v>138</v>
      </c>
      <c r="C23" s="168" t="s">
        <v>246</v>
      </c>
      <c r="D23" s="121">
        <f>(D21+(D7*D9*(1-D10)))/(1+(D7*(1-D10)))</f>
        <v>0.13333333333333336</v>
      </c>
      <c r="E23" s="19"/>
      <c r="F23" s="35"/>
      <c r="G23" s="35"/>
      <c r="H23" s="35"/>
      <c r="I23" s="35"/>
      <c r="J23" s="47"/>
    </row>
    <row r="24" spans="1:10" ht="15.75">
      <c r="A24" s="1"/>
      <c r="B24" s="88"/>
      <c r="C24" s="168"/>
      <c r="D24" s="99"/>
      <c r="E24" s="19"/>
      <c r="F24" s="35"/>
      <c r="G24" s="35"/>
      <c r="H24" s="35"/>
      <c r="I24" s="35"/>
      <c r="J24" s="47"/>
    </row>
    <row r="25" spans="1:10" ht="15">
      <c r="A25" s="1"/>
      <c r="B25" s="88" t="s">
        <v>139</v>
      </c>
      <c r="C25" s="168" t="s">
        <v>284</v>
      </c>
      <c r="D25" s="177">
        <f>D11</f>
        <v>0.75</v>
      </c>
      <c r="E25" s="19"/>
      <c r="F25" s="35"/>
      <c r="G25" s="35"/>
      <c r="H25" s="35"/>
      <c r="I25" s="35"/>
      <c r="J25" s="47"/>
    </row>
    <row r="26" spans="1:10" ht="15">
      <c r="A26" s="1"/>
      <c r="B26" s="88"/>
      <c r="C26" s="168" t="s">
        <v>282</v>
      </c>
      <c r="D26" s="178">
        <f>D25/(1+D25)</f>
        <v>0.42857142857142855</v>
      </c>
      <c r="E26" s="19"/>
      <c r="F26" s="35"/>
      <c r="G26" s="35"/>
      <c r="H26" s="35"/>
      <c r="I26" s="35"/>
      <c r="J26" s="47"/>
    </row>
    <row r="27" spans="1:10" ht="15">
      <c r="A27" s="1"/>
      <c r="B27" s="88"/>
      <c r="C27" s="168" t="s">
        <v>283</v>
      </c>
      <c r="D27" s="178">
        <f>1/(1+D25)</f>
        <v>0.5714285714285714</v>
      </c>
      <c r="E27" s="19"/>
      <c r="F27" s="35"/>
      <c r="G27" s="35"/>
      <c r="H27" s="35"/>
      <c r="I27" s="35"/>
      <c r="J27" s="47"/>
    </row>
    <row r="28" spans="1:10" ht="19.5">
      <c r="A28" s="1"/>
      <c r="B28" s="88"/>
      <c r="C28" s="168" t="s">
        <v>277</v>
      </c>
      <c r="D28" s="167">
        <f>D23+(D25*(D23-D9)*(1-D10))</f>
        <v>0.16908333333333336</v>
      </c>
      <c r="E28" s="19"/>
      <c r="F28" s="35"/>
      <c r="G28" s="35"/>
      <c r="H28" s="35"/>
      <c r="I28" s="35"/>
      <c r="J28" s="47"/>
    </row>
    <row r="29" spans="1:10" ht="15.75">
      <c r="A29" s="1"/>
      <c r="B29" s="88"/>
      <c r="C29" s="168"/>
      <c r="D29" s="99"/>
      <c r="E29" s="19"/>
      <c r="F29" s="35"/>
      <c r="G29" s="35"/>
      <c r="H29" s="35"/>
      <c r="I29" s="35"/>
      <c r="J29" s="47"/>
    </row>
    <row r="30" spans="1:10" ht="19.5">
      <c r="A30" s="1"/>
      <c r="B30" s="88"/>
      <c r="C30" s="168" t="s">
        <v>245</v>
      </c>
      <c r="D30" s="121">
        <f>(D26*D9*(1-D10))+(D27*D28)</f>
        <v>0.11333333333333334</v>
      </c>
      <c r="E30" s="19"/>
      <c r="F30" s="35"/>
      <c r="G30" s="35"/>
      <c r="H30" s="35"/>
      <c r="I30" s="35"/>
      <c r="J30" s="47"/>
    </row>
    <row r="31" spans="1:10" ht="15.75">
      <c r="A31" s="1"/>
      <c r="B31" s="88"/>
      <c r="C31" s="168"/>
      <c r="D31" s="99"/>
      <c r="E31" s="19"/>
      <c r="F31" s="35"/>
      <c r="G31" s="35"/>
      <c r="H31" s="35"/>
      <c r="I31" s="35"/>
      <c r="J31" s="47"/>
    </row>
    <row r="32" spans="1:10" ht="15">
      <c r="A32" s="1"/>
      <c r="B32" s="88"/>
      <c r="C32" s="168" t="s">
        <v>284</v>
      </c>
      <c r="D32" s="177">
        <f>D12</f>
        <v>1.5</v>
      </c>
      <c r="E32" s="19"/>
      <c r="F32" s="35"/>
      <c r="G32" s="35"/>
      <c r="H32" s="35"/>
      <c r="I32" s="35"/>
      <c r="J32" s="47"/>
    </row>
    <row r="33" spans="1:10" ht="15">
      <c r="A33" s="1"/>
      <c r="B33" s="88"/>
      <c r="C33" s="168" t="s">
        <v>282</v>
      </c>
      <c r="D33" s="179">
        <f>D32/(1+D32)</f>
        <v>0.6</v>
      </c>
      <c r="E33" s="19"/>
      <c r="F33" s="35"/>
      <c r="G33" s="35"/>
      <c r="H33" s="35"/>
      <c r="I33" s="35"/>
      <c r="J33" s="47"/>
    </row>
    <row r="34" spans="1:10" ht="15">
      <c r="A34" s="1"/>
      <c r="B34" s="88"/>
      <c r="C34" s="168" t="s">
        <v>283</v>
      </c>
      <c r="D34" s="179">
        <f>1/(1+D32)</f>
        <v>0.4</v>
      </c>
      <c r="E34" s="19"/>
      <c r="F34" s="35"/>
      <c r="G34" s="35"/>
      <c r="H34" s="35"/>
      <c r="I34" s="35"/>
      <c r="J34" s="47"/>
    </row>
    <row r="35" spans="1:10" ht="19.5">
      <c r="A35" s="1"/>
      <c r="B35" s="88"/>
      <c r="C35" s="168" t="s">
        <v>277</v>
      </c>
      <c r="D35" s="167">
        <f>D23+(D32*(D23-D9)*(1-D10))</f>
        <v>0.20483333333333339</v>
      </c>
      <c r="E35" s="19"/>
      <c r="F35" s="35"/>
      <c r="G35" s="35"/>
      <c r="H35" s="35"/>
      <c r="I35" s="35"/>
      <c r="J35" s="47"/>
    </row>
    <row r="36" spans="1:10" ht="15.75">
      <c r="A36" s="1"/>
      <c r="B36" s="88"/>
      <c r="C36" s="168"/>
      <c r="D36" s="158"/>
      <c r="E36" s="43"/>
      <c r="F36" s="42"/>
      <c r="G36" s="36"/>
      <c r="H36" s="42"/>
      <c r="I36" s="35"/>
      <c r="J36" s="47"/>
    </row>
    <row r="37" spans="1:10" ht="19.5">
      <c r="A37" s="1"/>
      <c r="B37" s="88"/>
      <c r="C37" s="168" t="s">
        <v>245</v>
      </c>
      <c r="D37" s="121">
        <f>(D33*D9*(1-D10))+(D34*D35)</f>
        <v>0.10533333333333336</v>
      </c>
      <c r="E37" s="43"/>
      <c r="F37" s="42"/>
      <c r="G37" s="36"/>
      <c r="H37" s="42"/>
      <c r="I37" s="35"/>
      <c r="J37" s="47"/>
    </row>
    <row r="38" spans="1:10" ht="15.75" thickBot="1">
      <c r="A38" s="1"/>
      <c r="B38" s="20"/>
      <c r="C38" s="23"/>
      <c r="D38" s="48"/>
      <c r="E38" s="49"/>
      <c r="F38" s="37"/>
      <c r="G38" s="36"/>
      <c r="H38" s="37"/>
      <c r="I38" s="35"/>
      <c r="J38" s="47"/>
    </row>
    <row r="39" spans="1:10" ht="15">
      <c r="A39" s="1"/>
      <c r="B39" s="1"/>
      <c r="C39" s="47"/>
      <c r="D39" s="47"/>
      <c r="E39" s="47"/>
      <c r="F39" s="47"/>
      <c r="G39" s="47"/>
      <c r="H39" s="47"/>
      <c r="I39" s="1"/>
      <c r="J39" s="1"/>
    </row>
    <row r="40" spans="1:10" ht="15">
      <c r="A40" s="1"/>
      <c r="B40" s="1"/>
      <c r="C40" s="47"/>
      <c r="D40" s="47"/>
      <c r="E40" s="47"/>
      <c r="F40" s="47"/>
      <c r="G40" s="47"/>
      <c r="H40" s="47"/>
      <c r="I40" s="1"/>
      <c r="J40" s="1"/>
    </row>
    <row r="41" spans="1:10" ht="15">
      <c r="A41" s="1"/>
      <c r="B41" s="1"/>
      <c r="C41" s="47"/>
      <c r="D41" s="47"/>
      <c r="E41" s="47"/>
      <c r="F41" s="47"/>
      <c r="G41" s="47"/>
      <c r="H41" s="47"/>
      <c r="I41" s="1"/>
      <c r="J41" s="1"/>
    </row>
    <row r="42" spans="1:10" ht="15">
      <c r="A42" s="1"/>
      <c r="B42" s="1"/>
      <c r="C42" s="47"/>
      <c r="D42" s="47"/>
      <c r="E42" s="47"/>
      <c r="F42" s="47"/>
      <c r="G42" s="47"/>
      <c r="H42" s="47"/>
      <c r="I42" s="1"/>
      <c r="J42" s="1"/>
    </row>
    <row r="43" spans="1:10" ht="1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">
      <c r="A68" s="1"/>
      <c r="B68" s="1"/>
      <c r="C68" s="1"/>
      <c r="D68" s="1"/>
      <c r="E68" s="1"/>
      <c r="F68" s="1"/>
      <c r="G68" s="1"/>
      <c r="H68" s="1"/>
      <c r="I68" s="1"/>
      <c r="J68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J41"/>
  <sheetViews>
    <sheetView workbookViewId="0"/>
  </sheetViews>
  <sheetFormatPr defaultRowHeight="12.75"/>
  <cols>
    <col min="2" max="2" width="3.140625" customWidth="1"/>
    <col min="3" max="3" width="23.28515625" customWidth="1"/>
    <col min="4" max="5" width="21.7109375" customWidth="1"/>
    <col min="6" max="6" width="15.5703125" customWidth="1"/>
    <col min="7" max="7" width="14" customWidth="1"/>
    <col min="8" max="8" width="3.140625" customWidth="1"/>
    <col min="9" max="9" width="15.42578125" customWidth="1"/>
  </cols>
  <sheetData>
    <row r="1" spans="1:10" ht="18">
      <c r="A1" s="1"/>
      <c r="B1" s="1"/>
      <c r="C1" s="139" t="s">
        <v>313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278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3" t="s">
        <v>2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">
      <c r="A6" s="1"/>
      <c r="B6" s="15"/>
      <c r="C6" s="16"/>
      <c r="D6" s="16"/>
      <c r="E6" s="16"/>
      <c r="F6" s="16"/>
      <c r="G6" s="16"/>
      <c r="H6" s="17"/>
      <c r="I6" s="35"/>
      <c r="J6" s="47"/>
    </row>
    <row r="7" spans="1:10" ht="19.5">
      <c r="A7" s="1"/>
      <c r="B7" s="18"/>
      <c r="C7" s="29" t="s">
        <v>174</v>
      </c>
      <c r="D7" s="29"/>
      <c r="E7" s="29"/>
      <c r="F7" s="29"/>
      <c r="G7" s="29"/>
      <c r="H7" s="19"/>
      <c r="I7" s="35"/>
      <c r="J7" s="47"/>
    </row>
    <row r="8" spans="1:10" ht="19.5">
      <c r="A8" s="1"/>
      <c r="B8" s="18"/>
      <c r="C8" s="29" t="s">
        <v>175</v>
      </c>
      <c r="D8" s="29"/>
      <c r="E8" s="29"/>
      <c r="F8" s="29"/>
      <c r="G8" s="29"/>
      <c r="H8" s="19"/>
      <c r="I8" s="35"/>
      <c r="J8" s="47"/>
    </row>
    <row r="9" spans="1:10" ht="19.5">
      <c r="A9" s="1"/>
      <c r="B9" s="18"/>
      <c r="C9" s="29" t="s">
        <v>176</v>
      </c>
      <c r="D9" s="29"/>
      <c r="E9" s="29"/>
      <c r="F9" s="29"/>
      <c r="G9" s="29"/>
      <c r="H9" s="19"/>
      <c r="I9" s="35"/>
      <c r="J9" s="47"/>
    </row>
    <row r="10" spans="1:10" ht="19.5">
      <c r="A10" s="1"/>
      <c r="B10" s="18"/>
      <c r="C10" s="29" t="s">
        <v>177</v>
      </c>
      <c r="D10" s="29"/>
      <c r="E10" s="29"/>
      <c r="F10" s="29"/>
      <c r="G10" s="29"/>
      <c r="H10" s="19"/>
      <c r="I10" s="35"/>
      <c r="J10" s="47"/>
    </row>
    <row r="11" spans="1:10" ht="15.75" thickBot="1">
      <c r="A11" s="1"/>
      <c r="B11" s="20"/>
      <c r="C11" s="23"/>
      <c r="D11" s="48"/>
      <c r="E11" s="48"/>
      <c r="F11" s="60"/>
      <c r="G11" s="59"/>
      <c r="H11" s="61"/>
      <c r="I11" s="35"/>
      <c r="J11" s="47"/>
    </row>
    <row r="12" spans="1:10" ht="15">
      <c r="A12" s="1"/>
      <c r="B12" s="1"/>
      <c r="C12" s="47"/>
      <c r="D12" s="47"/>
      <c r="E12" s="47"/>
      <c r="F12" s="47"/>
      <c r="G12" s="47"/>
      <c r="H12" s="47"/>
      <c r="I12" s="1"/>
      <c r="J12" s="1"/>
    </row>
    <row r="13" spans="1:10" ht="15">
      <c r="A13" s="1"/>
      <c r="B13" s="1"/>
      <c r="C13" s="47"/>
      <c r="D13" s="47"/>
      <c r="E13" s="47"/>
      <c r="F13" s="47"/>
      <c r="G13" s="47"/>
      <c r="H13" s="47"/>
      <c r="I13" s="1"/>
      <c r="J13" s="1"/>
    </row>
    <row r="14" spans="1:10" ht="15">
      <c r="A14" s="1"/>
      <c r="B14" s="1"/>
      <c r="C14" s="47"/>
      <c r="D14" s="47"/>
      <c r="E14" s="47"/>
      <c r="F14" s="47"/>
      <c r="G14" s="47"/>
      <c r="H14" s="47"/>
      <c r="I14" s="1"/>
      <c r="J14" s="1"/>
    </row>
    <row r="15" spans="1:10" ht="15">
      <c r="A15" s="1"/>
      <c r="B15" s="1"/>
      <c r="C15" s="47"/>
      <c r="D15" s="47"/>
      <c r="E15" s="47"/>
      <c r="F15" s="47"/>
      <c r="G15" s="47"/>
      <c r="H15" s="47"/>
      <c r="I15" s="1"/>
      <c r="J15" s="1"/>
    </row>
    <row r="16" spans="1:10" ht="1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ht="1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1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ht="1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ht="1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ht="1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ht="1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">
      <c r="A41" s="1"/>
      <c r="B41" s="1"/>
      <c r="C41" s="1"/>
      <c r="D41" s="1"/>
      <c r="E41" s="1"/>
      <c r="F41" s="1"/>
      <c r="G41" s="1"/>
      <c r="H41" s="1"/>
      <c r="I41" s="1"/>
      <c r="J41" s="1"/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J40"/>
  <sheetViews>
    <sheetView workbookViewId="0"/>
  </sheetViews>
  <sheetFormatPr defaultRowHeight="12.75"/>
  <cols>
    <col min="2" max="2" width="3.140625" customWidth="1"/>
    <col min="3" max="3" width="23.28515625" customWidth="1"/>
    <col min="4" max="4" width="21.7109375" customWidth="1"/>
    <col min="5" max="5" width="3.7109375" customWidth="1"/>
    <col min="6" max="6" width="15.5703125" customWidth="1"/>
    <col min="7" max="7" width="3.42578125" customWidth="1"/>
    <col min="8" max="8" width="16.5703125" customWidth="1"/>
    <col min="9" max="9" width="15.42578125" customWidth="1"/>
  </cols>
  <sheetData>
    <row r="1" spans="1:10" ht="18">
      <c r="A1" s="1"/>
      <c r="B1" s="1"/>
      <c r="C1" s="139" t="s">
        <v>313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194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3" t="s">
        <v>2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">
      <c r="A6" s="1"/>
      <c r="B6" s="15"/>
      <c r="C6" s="16"/>
      <c r="D6" s="16"/>
      <c r="E6" s="16"/>
      <c r="F6" s="16"/>
      <c r="G6" s="17"/>
      <c r="H6" s="35"/>
      <c r="I6" s="35"/>
      <c r="J6" s="47"/>
    </row>
    <row r="7" spans="1:10" ht="19.5">
      <c r="A7" s="1"/>
      <c r="B7" s="18"/>
      <c r="C7" s="29" t="s">
        <v>178</v>
      </c>
      <c r="D7" s="29"/>
      <c r="E7" s="29"/>
      <c r="F7" s="29"/>
      <c r="G7" s="19"/>
      <c r="H7" s="35"/>
      <c r="I7" s="35"/>
      <c r="J7" s="47"/>
    </row>
    <row r="8" spans="1:10" ht="19.5">
      <c r="A8" s="1"/>
      <c r="B8" s="18"/>
      <c r="C8" s="29" t="s">
        <v>179</v>
      </c>
      <c r="D8" s="29"/>
      <c r="E8" s="29"/>
      <c r="F8" s="29"/>
      <c r="G8" s="19"/>
      <c r="H8" s="35"/>
      <c r="I8" s="35"/>
      <c r="J8" s="47"/>
    </row>
    <row r="9" spans="1:10" ht="19.5">
      <c r="A9" s="1"/>
      <c r="B9" s="18"/>
      <c r="C9" s="29" t="s">
        <v>180</v>
      </c>
      <c r="D9" s="29"/>
      <c r="E9" s="29"/>
      <c r="F9" s="29"/>
      <c r="G9" s="19"/>
      <c r="H9" s="35"/>
      <c r="I9" s="35"/>
      <c r="J9" s="47"/>
    </row>
    <row r="10" spans="1:10" ht="15.75" thickBot="1">
      <c r="A10" s="1"/>
      <c r="B10" s="20"/>
      <c r="C10" s="23"/>
      <c r="D10" s="48"/>
      <c r="E10" s="59"/>
      <c r="F10" s="60"/>
      <c r="G10" s="49"/>
      <c r="H10" s="37"/>
      <c r="I10" s="35"/>
      <c r="J10" s="47"/>
    </row>
    <row r="11" spans="1:10" ht="15">
      <c r="A11" s="1"/>
      <c r="B11" s="1"/>
      <c r="C11" s="47"/>
      <c r="D11" s="47"/>
      <c r="E11" s="47"/>
      <c r="F11" s="47"/>
      <c r="G11" s="47"/>
      <c r="H11" s="47"/>
      <c r="I11" s="1"/>
      <c r="J11" s="1"/>
    </row>
    <row r="12" spans="1:10" ht="15">
      <c r="A12" s="1"/>
      <c r="B12" s="1"/>
      <c r="C12" s="47"/>
      <c r="D12" s="47"/>
      <c r="E12" s="47"/>
      <c r="F12" s="47"/>
      <c r="G12" s="47"/>
      <c r="H12" s="47"/>
      <c r="I12" s="1"/>
      <c r="J12" s="1"/>
    </row>
    <row r="13" spans="1:10" ht="15">
      <c r="A13" s="1"/>
      <c r="B13" s="1"/>
      <c r="C13" s="47"/>
      <c r="D13" s="47"/>
      <c r="E13" s="47"/>
      <c r="F13" s="47"/>
      <c r="G13" s="47"/>
      <c r="H13" s="47"/>
      <c r="I13" s="1"/>
      <c r="J13" s="1"/>
    </row>
    <row r="14" spans="1:10" ht="15">
      <c r="A14" s="1"/>
      <c r="B14" s="1"/>
      <c r="C14" s="47"/>
      <c r="D14" s="47"/>
      <c r="E14" s="47"/>
      <c r="F14" s="47"/>
      <c r="G14" s="47"/>
      <c r="H14" s="47"/>
      <c r="I14" s="1"/>
      <c r="J14" s="1"/>
    </row>
    <row r="15" spans="1:10" ht="1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1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ht="1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1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ht="1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ht="1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ht="1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ht="1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">
      <c r="A40" s="1"/>
      <c r="B40" s="1"/>
      <c r="C40" s="1"/>
      <c r="D40" s="1"/>
      <c r="E40" s="1"/>
      <c r="F40" s="1"/>
      <c r="G40" s="1"/>
      <c r="H40" s="1"/>
      <c r="I40" s="1"/>
      <c r="J40" s="1"/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dimension ref="A1:I42"/>
  <sheetViews>
    <sheetView workbookViewId="0"/>
  </sheetViews>
  <sheetFormatPr defaultRowHeight="12.75"/>
  <cols>
    <col min="2" max="2" width="3.140625" customWidth="1"/>
    <col min="3" max="4" width="18.140625" customWidth="1"/>
    <col min="5" max="5" width="26.28515625" customWidth="1"/>
    <col min="6" max="6" width="3.140625" customWidth="1"/>
    <col min="7" max="7" width="17.42578125" customWidth="1"/>
    <col min="8" max="8" width="15.42578125" customWidth="1"/>
  </cols>
  <sheetData>
    <row r="1" spans="1:9" ht="18">
      <c r="A1" s="1"/>
      <c r="B1" s="1"/>
      <c r="C1" s="139" t="s">
        <v>313</v>
      </c>
      <c r="D1" s="1"/>
      <c r="E1" s="1"/>
      <c r="F1" s="1"/>
      <c r="G1" s="1"/>
      <c r="H1" s="1"/>
      <c r="I1" s="1"/>
    </row>
    <row r="2" spans="1:9" ht="15">
      <c r="A2" s="1"/>
      <c r="B2" s="1"/>
      <c r="C2" s="1" t="s">
        <v>193</v>
      </c>
      <c r="D2" s="1"/>
      <c r="E2" s="1"/>
      <c r="F2" s="1"/>
      <c r="G2" s="1"/>
      <c r="H2" s="1"/>
      <c r="I2" s="1"/>
    </row>
    <row r="3" spans="1:9" ht="15">
      <c r="A3" s="1"/>
      <c r="B3" s="1"/>
      <c r="C3" s="1"/>
      <c r="D3" s="1"/>
      <c r="E3" s="1"/>
      <c r="F3" s="1"/>
      <c r="G3" s="1"/>
      <c r="H3" s="1"/>
      <c r="I3" s="1"/>
    </row>
    <row r="4" spans="1:9" ht="15">
      <c r="A4" s="1"/>
      <c r="B4" s="1"/>
      <c r="C4" s="3" t="s">
        <v>2</v>
      </c>
      <c r="D4" s="1"/>
      <c r="E4" s="1"/>
      <c r="F4" s="1"/>
      <c r="G4" s="1"/>
      <c r="H4" s="1"/>
      <c r="I4" s="1"/>
    </row>
    <row r="5" spans="1:9" ht="15.75" thickBot="1">
      <c r="A5" s="1"/>
      <c r="B5" s="1"/>
      <c r="C5" s="1"/>
      <c r="D5" s="1"/>
      <c r="E5" s="1"/>
      <c r="F5" s="1"/>
      <c r="G5" s="1"/>
      <c r="H5" s="1"/>
      <c r="I5" s="1"/>
    </row>
    <row r="6" spans="1:9" ht="15">
      <c r="A6" s="1"/>
      <c r="B6" s="15"/>
      <c r="C6" s="16"/>
      <c r="D6" s="16"/>
      <c r="E6" s="16"/>
      <c r="F6" s="17"/>
      <c r="G6" s="35"/>
      <c r="H6" s="35"/>
      <c r="I6" s="47"/>
    </row>
    <row r="7" spans="1:9" ht="19.5">
      <c r="A7" s="1"/>
      <c r="B7" s="18"/>
      <c r="C7" s="29" t="s">
        <v>181</v>
      </c>
      <c r="D7" s="29"/>
      <c r="E7" s="29"/>
      <c r="F7" s="19"/>
      <c r="G7" s="35"/>
      <c r="H7" s="35"/>
      <c r="I7" s="47"/>
    </row>
    <row r="8" spans="1:9" ht="19.5">
      <c r="A8" s="1"/>
      <c r="B8" s="18"/>
      <c r="C8" s="29" t="s">
        <v>182</v>
      </c>
      <c r="D8" s="29"/>
      <c r="E8" s="29"/>
      <c r="F8" s="19"/>
      <c r="G8" s="35"/>
      <c r="H8" s="35"/>
      <c r="I8" s="47"/>
    </row>
    <row r="9" spans="1:9" ht="19.5">
      <c r="A9" s="1"/>
      <c r="B9" s="18"/>
      <c r="C9" s="29" t="s">
        <v>183</v>
      </c>
      <c r="D9" s="29"/>
      <c r="E9" s="29"/>
      <c r="F9" s="19"/>
      <c r="G9" s="35"/>
      <c r="H9" s="35"/>
      <c r="I9" s="47"/>
    </row>
    <row r="10" spans="1:9" ht="19.5">
      <c r="A10" s="1"/>
      <c r="B10" s="18"/>
      <c r="C10" s="29" t="s">
        <v>185</v>
      </c>
      <c r="D10" s="29"/>
      <c r="E10" s="29"/>
      <c r="F10" s="19"/>
      <c r="G10" s="35"/>
      <c r="H10" s="35"/>
      <c r="I10" s="47"/>
    </row>
    <row r="11" spans="1:9" ht="19.5">
      <c r="A11" s="1"/>
      <c r="B11" s="18"/>
      <c r="C11" s="133" t="s">
        <v>184</v>
      </c>
      <c r="D11" s="29"/>
      <c r="E11" s="29"/>
      <c r="F11" s="19"/>
      <c r="G11" s="35"/>
      <c r="H11" s="35"/>
      <c r="I11" s="47"/>
    </row>
    <row r="12" spans="1:9" ht="15.75" thickBot="1">
      <c r="A12" s="1"/>
      <c r="B12" s="20"/>
      <c r="C12" s="23"/>
      <c r="D12" s="48"/>
      <c r="E12" s="60"/>
      <c r="F12" s="49"/>
      <c r="G12" s="37"/>
      <c r="H12" s="35"/>
      <c r="I12" s="47"/>
    </row>
    <row r="13" spans="1:9" ht="15">
      <c r="A13" s="1"/>
      <c r="B13" s="1"/>
      <c r="C13" s="47"/>
      <c r="D13" s="47"/>
      <c r="E13" s="47"/>
      <c r="F13" s="47"/>
      <c r="G13" s="47"/>
      <c r="H13" s="1"/>
      <c r="I13" s="1"/>
    </row>
    <row r="14" spans="1:9" ht="15">
      <c r="A14" s="1"/>
      <c r="B14" s="1"/>
      <c r="C14" s="47"/>
      <c r="D14" s="47"/>
      <c r="E14" s="47"/>
      <c r="F14" s="47"/>
      <c r="G14" s="47"/>
      <c r="H14" s="1"/>
      <c r="I14" s="1"/>
    </row>
    <row r="15" spans="1:9" ht="15">
      <c r="A15" s="1"/>
      <c r="B15" s="1"/>
      <c r="C15" s="47"/>
      <c r="D15" s="47"/>
      <c r="E15" s="47"/>
      <c r="F15" s="47"/>
      <c r="G15" s="47"/>
      <c r="H15" s="1"/>
      <c r="I15" s="1"/>
    </row>
    <row r="16" spans="1:9" ht="15">
      <c r="A16" s="1"/>
      <c r="B16" s="1"/>
      <c r="C16" s="47"/>
      <c r="D16" s="47"/>
      <c r="E16" s="47"/>
      <c r="F16" s="47"/>
      <c r="G16" s="47"/>
      <c r="H16" s="1"/>
      <c r="I16" s="1"/>
    </row>
    <row r="17" spans="1:9" ht="15">
      <c r="A17" s="1"/>
      <c r="B17" s="1"/>
      <c r="C17" s="1"/>
      <c r="D17" s="1"/>
      <c r="E17" s="1"/>
      <c r="F17" s="1"/>
      <c r="G17" s="1"/>
      <c r="H17" s="1"/>
      <c r="I17" s="1"/>
    </row>
    <row r="18" spans="1:9" ht="15">
      <c r="A18" s="1"/>
      <c r="B18" s="1"/>
      <c r="C18" s="1"/>
      <c r="D18" s="1"/>
      <c r="E18" s="1"/>
      <c r="F18" s="1"/>
      <c r="G18" s="1"/>
      <c r="H18" s="1"/>
      <c r="I18" s="1"/>
    </row>
    <row r="19" spans="1:9" ht="15">
      <c r="A19" s="1"/>
      <c r="B19" s="1"/>
      <c r="C19" s="1"/>
      <c r="D19" s="1"/>
      <c r="E19" s="1"/>
      <c r="F19" s="1"/>
      <c r="G19" s="1"/>
      <c r="H19" s="1"/>
      <c r="I19" s="1"/>
    </row>
    <row r="20" spans="1:9" ht="15">
      <c r="A20" s="1"/>
      <c r="B20" s="1"/>
      <c r="C20" s="1"/>
      <c r="D20" s="1"/>
      <c r="E20" s="1"/>
      <c r="F20" s="1"/>
      <c r="G20" s="1"/>
      <c r="H20" s="1"/>
      <c r="I20" s="1"/>
    </row>
    <row r="21" spans="1:9" ht="15">
      <c r="A21" s="1"/>
      <c r="B21" s="1"/>
      <c r="C21" s="1"/>
      <c r="D21" s="1"/>
      <c r="E21" s="1"/>
      <c r="F21" s="1"/>
      <c r="G21" s="1"/>
      <c r="H21" s="1"/>
      <c r="I21" s="1"/>
    </row>
    <row r="22" spans="1:9" ht="15">
      <c r="A22" s="1"/>
      <c r="B22" s="1"/>
      <c r="C22" s="1"/>
      <c r="D22" s="1"/>
      <c r="E22" s="1"/>
      <c r="F22" s="1"/>
      <c r="G22" s="1"/>
      <c r="H22" s="1"/>
      <c r="I22" s="1"/>
    </row>
    <row r="23" spans="1:9" ht="15">
      <c r="A23" s="1"/>
      <c r="B23" s="1"/>
      <c r="C23" s="1"/>
      <c r="D23" s="1"/>
      <c r="E23" s="1"/>
      <c r="F23" s="1"/>
      <c r="G23" s="1"/>
      <c r="H23" s="1"/>
      <c r="I23" s="1"/>
    </row>
    <row r="24" spans="1:9" ht="15">
      <c r="A24" s="1"/>
      <c r="B24" s="1"/>
      <c r="C24" s="1"/>
      <c r="D24" s="1"/>
      <c r="E24" s="1"/>
      <c r="F24" s="1"/>
      <c r="G24" s="1"/>
      <c r="H24" s="1"/>
      <c r="I24" s="1"/>
    </row>
    <row r="25" spans="1:9" ht="15">
      <c r="A25" s="1"/>
      <c r="B25" s="1"/>
      <c r="C25" s="1"/>
      <c r="D25" s="1"/>
      <c r="E25" s="1"/>
      <c r="F25" s="1"/>
      <c r="G25" s="1"/>
      <c r="H25" s="1"/>
      <c r="I25" s="1"/>
    </row>
    <row r="26" spans="1:9" ht="15">
      <c r="A26" s="1"/>
      <c r="B26" s="1"/>
      <c r="C26" s="1"/>
      <c r="D26" s="1"/>
      <c r="E26" s="1"/>
      <c r="F26" s="1"/>
      <c r="G26" s="1"/>
      <c r="H26" s="1"/>
      <c r="I26" s="1"/>
    </row>
    <row r="27" spans="1:9" ht="15">
      <c r="A27" s="1"/>
      <c r="B27" s="1"/>
      <c r="C27" s="1"/>
      <c r="D27" s="1"/>
      <c r="E27" s="1"/>
      <c r="F27" s="1"/>
      <c r="G27" s="1"/>
      <c r="H27" s="1"/>
      <c r="I27" s="1"/>
    </row>
    <row r="28" spans="1:9" ht="15">
      <c r="A28" s="1"/>
      <c r="B28" s="1"/>
      <c r="C28" s="1"/>
      <c r="D28" s="1"/>
      <c r="E28" s="1"/>
      <c r="F28" s="1"/>
      <c r="G28" s="1"/>
      <c r="H28" s="1"/>
      <c r="I28" s="1"/>
    </row>
    <row r="29" spans="1:9" ht="15">
      <c r="A29" s="1"/>
      <c r="B29" s="1"/>
      <c r="C29" s="1"/>
      <c r="D29" s="1"/>
      <c r="E29" s="1"/>
      <c r="F29" s="1"/>
      <c r="G29" s="1"/>
      <c r="H29" s="1"/>
      <c r="I29" s="1"/>
    </row>
    <row r="30" spans="1:9" ht="15">
      <c r="A30" s="1"/>
      <c r="B30" s="1"/>
      <c r="C30" s="1"/>
      <c r="D30" s="1"/>
      <c r="E30" s="1"/>
      <c r="F30" s="1"/>
      <c r="G30" s="1"/>
      <c r="H30" s="1"/>
      <c r="I30" s="1"/>
    </row>
    <row r="31" spans="1:9" ht="15">
      <c r="A31" s="1"/>
      <c r="B31" s="1"/>
      <c r="C31" s="1"/>
      <c r="D31" s="1"/>
      <c r="E31" s="1"/>
      <c r="F31" s="1"/>
      <c r="G31" s="1"/>
      <c r="H31" s="1"/>
      <c r="I31" s="1"/>
    </row>
    <row r="32" spans="1:9" ht="15">
      <c r="A32" s="1"/>
      <c r="B32" s="1"/>
      <c r="C32" s="1"/>
      <c r="D32" s="1"/>
      <c r="E32" s="1"/>
      <c r="F32" s="1"/>
      <c r="G32" s="1"/>
      <c r="H32" s="1"/>
      <c r="I32" s="1"/>
    </row>
    <row r="33" spans="1:9" ht="15">
      <c r="A33" s="1"/>
      <c r="B33" s="1"/>
      <c r="C33" s="1"/>
      <c r="D33" s="1"/>
      <c r="E33" s="1"/>
      <c r="F33" s="1"/>
      <c r="G33" s="1"/>
      <c r="H33" s="1"/>
      <c r="I33" s="1"/>
    </row>
    <row r="34" spans="1:9" ht="15">
      <c r="A34" s="1"/>
      <c r="B34" s="1"/>
      <c r="C34" s="1"/>
      <c r="D34" s="1"/>
      <c r="E34" s="1"/>
      <c r="F34" s="1"/>
      <c r="G34" s="1"/>
      <c r="H34" s="1"/>
      <c r="I34" s="1"/>
    </row>
    <row r="35" spans="1:9" ht="15">
      <c r="A35" s="1"/>
      <c r="B35" s="1"/>
      <c r="C35" s="1"/>
      <c r="D35" s="1"/>
      <c r="E35" s="1"/>
      <c r="F35" s="1"/>
      <c r="G35" s="1"/>
      <c r="H35" s="1"/>
      <c r="I35" s="1"/>
    </row>
    <row r="36" spans="1:9" ht="15">
      <c r="A36" s="1"/>
      <c r="B36" s="1"/>
      <c r="C36" s="1"/>
      <c r="D36" s="1"/>
      <c r="E36" s="1"/>
      <c r="F36" s="1"/>
      <c r="G36" s="1"/>
      <c r="H36" s="1"/>
      <c r="I36" s="1"/>
    </row>
    <row r="37" spans="1:9" ht="15">
      <c r="A37" s="1"/>
      <c r="B37" s="1"/>
      <c r="C37" s="1"/>
      <c r="D37" s="1"/>
      <c r="E37" s="1"/>
      <c r="F37" s="1"/>
      <c r="G37" s="1"/>
      <c r="H37" s="1"/>
      <c r="I37" s="1"/>
    </row>
    <row r="38" spans="1:9" ht="15">
      <c r="A38" s="1"/>
      <c r="B38" s="1"/>
      <c r="C38" s="1"/>
      <c r="D38" s="1"/>
      <c r="E38" s="1"/>
      <c r="F38" s="1"/>
      <c r="G38" s="1"/>
      <c r="H38" s="1"/>
      <c r="I38" s="1"/>
    </row>
    <row r="39" spans="1:9" ht="15">
      <c r="A39" s="1"/>
      <c r="B39" s="1"/>
      <c r="C39" s="1"/>
      <c r="D39" s="1"/>
      <c r="E39" s="1"/>
      <c r="F39" s="1"/>
      <c r="G39" s="1"/>
      <c r="H39" s="1"/>
      <c r="I39" s="1"/>
    </row>
    <row r="40" spans="1:9" ht="15">
      <c r="A40" s="1"/>
      <c r="B40" s="1"/>
      <c r="C40" s="1"/>
      <c r="D40" s="1"/>
      <c r="E40" s="1"/>
      <c r="F40" s="1"/>
      <c r="G40" s="1"/>
      <c r="H40" s="1"/>
      <c r="I40" s="1"/>
    </row>
    <row r="41" spans="1:9" ht="15">
      <c r="A41" s="1"/>
      <c r="B41" s="1"/>
      <c r="C41" s="1"/>
      <c r="D41" s="1"/>
      <c r="E41" s="1"/>
      <c r="F41" s="1"/>
      <c r="G41" s="1"/>
      <c r="H41" s="1"/>
      <c r="I41" s="1"/>
    </row>
    <row r="42" spans="1:9" ht="15">
      <c r="A42" s="1"/>
      <c r="B42" s="1"/>
      <c r="C42" s="1"/>
      <c r="D42" s="1"/>
      <c r="E42" s="1"/>
      <c r="F42" s="1"/>
      <c r="G42" s="1"/>
      <c r="H42" s="1"/>
      <c r="I42" s="1"/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97"/>
  <sheetViews>
    <sheetView zoomScaleNormal="100" workbookViewId="0"/>
  </sheetViews>
  <sheetFormatPr defaultRowHeight="12.75"/>
  <cols>
    <col min="2" max="2" width="3.140625" customWidth="1"/>
    <col min="3" max="3" width="22.5703125" customWidth="1"/>
    <col min="4" max="4" width="18.140625" customWidth="1"/>
    <col min="5" max="5" width="3" customWidth="1"/>
    <col min="6" max="6" width="18.140625" customWidth="1"/>
    <col min="7" max="7" width="3.140625" customWidth="1"/>
    <col min="8" max="8" width="18.140625" customWidth="1"/>
    <col min="9" max="9" width="3.140625" customWidth="1"/>
  </cols>
  <sheetData>
    <row r="1" spans="1:10" ht="18">
      <c r="A1" s="1"/>
      <c r="B1" s="1"/>
      <c r="C1" s="139" t="s">
        <v>313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14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3" t="s">
        <v>1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">
      <c r="A6" s="1"/>
      <c r="B6" s="4"/>
      <c r="C6" s="5"/>
      <c r="D6" s="6"/>
      <c r="E6" s="7"/>
      <c r="F6" s="1"/>
      <c r="G6" s="1"/>
      <c r="H6" s="1"/>
      <c r="I6" s="1"/>
      <c r="J6" s="1"/>
    </row>
    <row r="7" spans="1:10" ht="15">
      <c r="A7" s="1"/>
      <c r="B7" s="8"/>
      <c r="C7" s="9" t="s">
        <v>3</v>
      </c>
      <c r="D7" s="82">
        <f ca="1">'#1'!D7</f>
        <v>275000</v>
      </c>
      <c r="E7" s="10"/>
      <c r="F7" s="1"/>
      <c r="G7" s="1"/>
      <c r="H7" s="1"/>
      <c r="I7" s="1"/>
      <c r="J7" s="1"/>
    </row>
    <row r="8" spans="1:10" ht="15">
      <c r="A8" s="1"/>
      <c r="B8" s="8"/>
      <c r="C8" s="9" t="s">
        <v>4</v>
      </c>
      <c r="D8" s="82">
        <f ca="1">'#1'!D8</f>
        <v>21000</v>
      </c>
      <c r="E8" s="10"/>
      <c r="F8" s="1"/>
      <c r="G8" s="1"/>
      <c r="H8" s="1"/>
      <c r="I8" s="1"/>
      <c r="J8" s="1"/>
    </row>
    <row r="9" spans="1:10" ht="15">
      <c r="A9" s="1"/>
      <c r="B9" s="8"/>
      <c r="C9" s="9" t="s">
        <v>8</v>
      </c>
      <c r="D9" s="83">
        <f ca="1">'#1'!D9</f>
        <v>0.25</v>
      </c>
      <c r="E9" s="10"/>
      <c r="F9" s="1"/>
      <c r="G9" s="1"/>
      <c r="H9" s="1"/>
      <c r="I9" s="1"/>
      <c r="J9" s="1"/>
    </row>
    <row r="10" spans="1:10" ht="15">
      <c r="A10" s="1"/>
      <c r="B10" s="8"/>
      <c r="C10" s="9" t="s">
        <v>9</v>
      </c>
      <c r="D10" s="83">
        <f ca="1">'#1'!D10</f>
        <v>0.4</v>
      </c>
      <c r="E10" s="10"/>
      <c r="F10" s="1"/>
      <c r="G10" s="1"/>
      <c r="H10" s="1"/>
      <c r="I10" s="1"/>
      <c r="J10" s="1"/>
    </row>
    <row r="11" spans="1:10" ht="15">
      <c r="A11" s="1"/>
      <c r="B11" s="8"/>
      <c r="C11" s="9" t="s">
        <v>5</v>
      </c>
      <c r="D11" s="82">
        <f ca="1">'#1'!D11</f>
        <v>99000</v>
      </c>
      <c r="E11" s="10"/>
      <c r="F11" s="1"/>
      <c r="G11" s="1"/>
      <c r="H11" s="1"/>
      <c r="I11" s="1"/>
      <c r="J11" s="1"/>
    </row>
    <row r="12" spans="1:10" ht="15">
      <c r="A12" s="1"/>
      <c r="B12" s="8"/>
      <c r="C12" s="9" t="s">
        <v>6</v>
      </c>
      <c r="D12" s="83">
        <f ca="1">'#1'!D12</f>
        <v>0.08</v>
      </c>
      <c r="E12" s="10"/>
      <c r="F12" s="1"/>
      <c r="G12" s="1"/>
      <c r="H12" s="1"/>
      <c r="I12" s="1"/>
      <c r="J12" s="1"/>
    </row>
    <row r="13" spans="1:10" ht="15">
      <c r="A13" s="1"/>
      <c r="B13" s="8"/>
      <c r="C13" s="9" t="s">
        <v>7</v>
      </c>
      <c r="D13" s="84">
        <f ca="1">'#1'!D13</f>
        <v>5000</v>
      </c>
      <c r="E13" s="10"/>
      <c r="F13" s="1"/>
      <c r="G13" s="1"/>
      <c r="H13" s="1"/>
      <c r="I13" s="1"/>
      <c r="J13" s="1"/>
    </row>
    <row r="14" spans="1:10" ht="15">
      <c r="A14" s="1"/>
      <c r="B14" s="8"/>
      <c r="C14" s="9" t="s">
        <v>15</v>
      </c>
      <c r="D14" s="76">
        <v>0.35</v>
      </c>
      <c r="E14" s="10"/>
      <c r="F14" s="1"/>
      <c r="G14" s="1"/>
      <c r="H14" s="1"/>
      <c r="I14" s="1"/>
      <c r="J14" s="1"/>
    </row>
    <row r="15" spans="1:10" ht="15.75" thickBot="1">
      <c r="A15" s="1"/>
      <c r="B15" s="11"/>
      <c r="C15" s="12"/>
      <c r="D15" s="13"/>
      <c r="E15" s="14"/>
      <c r="F15" s="1"/>
      <c r="G15" s="1"/>
      <c r="H15" s="1"/>
      <c r="I15" s="1"/>
      <c r="J15" s="1"/>
    </row>
    <row r="16" spans="1:10" ht="1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ht="15">
      <c r="A17" s="1"/>
      <c r="B17" s="1"/>
      <c r="C17" s="3" t="s">
        <v>2</v>
      </c>
      <c r="D17" s="1"/>
      <c r="E17" s="1"/>
      <c r="F17" s="1"/>
      <c r="G17" s="1"/>
      <c r="H17" s="1"/>
      <c r="I17" s="1"/>
      <c r="J17" s="1"/>
    </row>
    <row r="18" spans="1:10" ht="15.75" thickBot="1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15">
      <c r="A19" s="1"/>
      <c r="B19" s="15"/>
      <c r="C19" s="16"/>
      <c r="D19" s="16"/>
      <c r="E19" s="16"/>
      <c r="F19" s="16"/>
      <c r="G19" s="16"/>
      <c r="H19" s="16"/>
      <c r="I19" s="17"/>
      <c r="J19" s="1"/>
    </row>
    <row r="20" spans="1:10" ht="15">
      <c r="A20" s="1"/>
      <c r="B20" s="18"/>
      <c r="C20" s="78" t="s">
        <v>133</v>
      </c>
      <c r="D20" s="29"/>
      <c r="E20" s="29"/>
      <c r="F20" s="29"/>
      <c r="G20" s="29"/>
      <c r="H20" s="29"/>
      <c r="I20" s="19"/>
      <c r="J20" s="1"/>
    </row>
    <row r="21" spans="1:10" ht="15">
      <c r="A21" s="1"/>
      <c r="B21" s="18"/>
      <c r="C21" s="22" t="s">
        <v>4</v>
      </c>
      <c r="D21" s="92">
        <f>D8*(1-D10)</f>
        <v>12600</v>
      </c>
      <c r="E21" s="92"/>
      <c r="F21" s="92">
        <f>D8</f>
        <v>21000</v>
      </c>
      <c r="G21" s="92"/>
      <c r="H21" s="92">
        <f>D8*(1+D9)</f>
        <v>26250</v>
      </c>
      <c r="I21" s="19"/>
      <c r="J21" s="1"/>
    </row>
    <row r="22" spans="1:10" ht="15">
      <c r="A22" s="1"/>
      <c r="B22" s="18"/>
      <c r="C22" s="22" t="s">
        <v>10</v>
      </c>
      <c r="D22" s="103">
        <v>0</v>
      </c>
      <c r="E22" s="103"/>
      <c r="F22" s="103">
        <v>0</v>
      </c>
      <c r="G22" s="103"/>
      <c r="H22" s="103">
        <v>0</v>
      </c>
      <c r="I22" s="19"/>
      <c r="J22" s="1"/>
    </row>
    <row r="23" spans="1:10" ht="15">
      <c r="A23" s="1"/>
      <c r="B23" s="18"/>
      <c r="C23" s="22" t="s">
        <v>16</v>
      </c>
      <c r="D23" s="103">
        <f>D21*D14</f>
        <v>4410</v>
      </c>
      <c r="E23" s="103"/>
      <c r="F23" s="103">
        <f>F21*D14</f>
        <v>7349.9999999999991</v>
      </c>
      <c r="G23" s="103"/>
      <c r="H23" s="103">
        <f>H21*D14</f>
        <v>9187.5</v>
      </c>
      <c r="I23" s="19"/>
      <c r="J23" s="1"/>
    </row>
    <row r="24" spans="1:10" ht="15.75" thickBot="1">
      <c r="A24" s="1"/>
      <c r="B24" s="18"/>
      <c r="C24" s="22" t="s">
        <v>11</v>
      </c>
      <c r="D24" s="95">
        <f>D21-D23</f>
        <v>8190</v>
      </c>
      <c r="E24" s="95"/>
      <c r="F24" s="95">
        <f>F21-F23</f>
        <v>13650</v>
      </c>
      <c r="G24" s="95"/>
      <c r="H24" s="95">
        <f>H21-H23</f>
        <v>17062.5</v>
      </c>
      <c r="I24" s="19"/>
      <c r="J24" s="1"/>
    </row>
    <row r="25" spans="1:10" ht="16.5" thickTop="1">
      <c r="A25" s="1"/>
      <c r="B25" s="18"/>
      <c r="C25" s="22" t="s">
        <v>12</v>
      </c>
      <c r="D25" s="141">
        <f>D24/D13</f>
        <v>1.6379999999999999</v>
      </c>
      <c r="E25" s="141"/>
      <c r="F25" s="141">
        <f>F24/D13</f>
        <v>2.73</v>
      </c>
      <c r="G25" s="141"/>
      <c r="H25" s="141">
        <f>H24/D13</f>
        <v>3.4125000000000001</v>
      </c>
      <c r="I25" s="19"/>
      <c r="J25" s="1"/>
    </row>
    <row r="26" spans="1:10" ht="15.75">
      <c r="A26" s="1"/>
      <c r="B26" s="18"/>
      <c r="C26" s="22" t="s">
        <v>13</v>
      </c>
      <c r="D26" s="99">
        <f>(D25-F25)/F25</f>
        <v>-0.4</v>
      </c>
      <c r="E26" s="100"/>
      <c r="F26" s="99">
        <f>(F25-F25)/F25</f>
        <v>0</v>
      </c>
      <c r="G26" s="99"/>
      <c r="H26" s="99">
        <f>(H25-F25)/F25</f>
        <v>0.25000000000000006</v>
      </c>
      <c r="I26" s="19"/>
      <c r="J26" s="1"/>
    </row>
    <row r="27" spans="1:10" ht="15">
      <c r="A27" s="1"/>
      <c r="B27" s="18"/>
      <c r="C27" s="22"/>
      <c r="D27" s="24"/>
      <c r="E27" s="29"/>
      <c r="F27" s="29"/>
      <c r="G27" s="29"/>
      <c r="H27" s="29"/>
      <c r="I27" s="19"/>
      <c r="J27" s="1"/>
    </row>
    <row r="28" spans="1:10" ht="15">
      <c r="A28" s="1"/>
      <c r="B28" s="18"/>
      <c r="C28" s="79" t="s">
        <v>134</v>
      </c>
      <c r="D28" s="24"/>
      <c r="E28" s="29"/>
      <c r="F28" s="29"/>
      <c r="G28" s="29"/>
      <c r="H28" s="29"/>
      <c r="I28" s="19"/>
      <c r="J28" s="1"/>
    </row>
    <row r="29" spans="1:10" ht="15">
      <c r="A29" s="1"/>
      <c r="B29" s="18"/>
      <c r="C29" s="22" t="s">
        <v>131</v>
      </c>
      <c r="D29" s="80">
        <f>D7/D13</f>
        <v>55</v>
      </c>
      <c r="E29" s="29"/>
      <c r="F29" s="29"/>
      <c r="G29" s="29"/>
      <c r="H29" s="29"/>
      <c r="I29" s="19"/>
      <c r="J29" s="1"/>
    </row>
    <row r="30" spans="1:10" ht="15">
      <c r="A30" s="1"/>
      <c r="B30" s="18"/>
      <c r="C30" s="22" t="s">
        <v>132</v>
      </c>
      <c r="D30" s="81">
        <f>D11/D29</f>
        <v>1800</v>
      </c>
      <c r="E30" s="29"/>
      <c r="F30" s="29"/>
      <c r="G30" s="29"/>
      <c r="H30" s="29"/>
      <c r="I30" s="19"/>
      <c r="J30" s="1"/>
    </row>
    <row r="31" spans="1:10" ht="15">
      <c r="A31" s="1"/>
      <c r="B31" s="18"/>
      <c r="C31" s="22"/>
      <c r="D31" s="24"/>
      <c r="E31" s="29"/>
      <c r="F31" s="29"/>
      <c r="G31" s="29"/>
      <c r="H31" s="29"/>
      <c r="I31" s="19"/>
      <c r="J31" s="1"/>
    </row>
    <row r="32" spans="1:10" ht="15">
      <c r="A32" s="1"/>
      <c r="B32" s="18"/>
      <c r="C32" s="22" t="s">
        <v>4</v>
      </c>
      <c r="D32" s="92">
        <f>D8*(1-D10)</f>
        <v>12600</v>
      </c>
      <c r="E32" s="92"/>
      <c r="F32" s="92">
        <f>D8</f>
        <v>21000</v>
      </c>
      <c r="G32" s="92"/>
      <c r="H32" s="92">
        <f>D8*(1+D9)</f>
        <v>26250</v>
      </c>
      <c r="I32" s="19"/>
      <c r="J32" s="1"/>
    </row>
    <row r="33" spans="1:10" ht="15">
      <c r="A33" s="1"/>
      <c r="B33" s="18"/>
      <c r="C33" s="22" t="s">
        <v>10</v>
      </c>
      <c r="D33" s="103">
        <f>$D$12*$D$11</f>
        <v>7920</v>
      </c>
      <c r="E33" s="103">
        <f>$D$12*$D$11</f>
        <v>7920</v>
      </c>
      <c r="F33" s="103">
        <f>$D$12*$D$11</f>
        <v>7920</v>
      </c>
      <c r="G33" s="103">
        <f>$D$12*$D$11</f>
        <v>7920</v>
      </c>
      <c r="H33" s="103">
        <f>$D$12*$D$11</f>
        <v>7920</v>
      </c>
      <c r="I33" s="19"/>
      <c r="J33" s="1"/>
    </row>
    <row r="34" spans="1:10" ht="15">
      <c r="A34" s="1"/>
      <c r="B34" s="18"/>
      <c r="C34" s="22" t="s">
        <v>16</v>
      </c>
      <c r="D34" s="104">
        <f>(D32-D33)*D14</f>
        <v>1638</v>
      </c>
      <c r="E34" s="104"/>
      <c r="F34" s="104">
        <f>(F32-F33)*D14</f>
        <v>4578</v>
      </c>
      <c r="G34" s="104"/>
      <c r="H34" s="104">
        <f>(H32-H33)*D14</f>
        <v>6415.5</v>
      </c>
      <c r="I34" s="19"/>
      <c r="J34" s="1"/>
    </row>
    <row r="35" spans="1:10" ht="15.75" thickBot="1">
      <c r="A35" s="1"/>
      <c r="B35" s="18"/>
      <c r="C35" s="22" t="s">
        <v>11</v>
      </c>
      <c r="D35" s="101">
        <f>D32-D33-D34</f>
        <v>3042</v>
      </c>
      <c r="E35" s="102"/>
      <c r="F35" s="102">
        <f>F32-F33-F34</f>
        <v>8502</v>
      </c>
      <c r="G35" s="102"/>
      <c r="H35" s="102">
        <f>H32-H33-H34</f>
        <v>11914.5</v>
      </c>
      <c r="I35" s="19"/>
      <c r="J35" s="1"/>
    </row>
    <row r="36" spans="1:10" ht="16.5" thickTop="1">
      <c r="A36" s="1"/>
      <c r="B36" s="18"/>
      <c r="C36" s="22" t="s">
        <v>12</v>
      </c>
      <c r="D36" s="141">
        <f>D35/(D13-D30)</f>
        <v>0.95062500000000005</v>
      </c>
      <c r="E36" s="141"/>
      <c r="F36" s="141">
        <f>F35/(D13-D30)</f>
        <v>2.6568749999999999</v>
      </c>
      <c r="G36" s="141"/>
      <c r="H36" s="141">
        <f>H35/(D13-D30)</f>
        <v>3.7232812499999999</v>
      </c>
      <c r="I36" s="19"/>
      <c r="J36" s="1"/>
    </row>
    <row r="37" spans="1:10" ht="15.75">
      <c r="A37" s="1"/>
      <c r="B37" s="18"/>
      <c r="C37" s="22" t="s">
        <v>13</v>
      </c>
      <c r="D37" s="99">
        <f>(D36-F36)/F36</f>
        <v>-0.64220183486238525</v>
      </c>
      <c r="E37" s="100"/>
      <c r="F37" s="99">
        <f>(F25-F25)/F25</f>
        <v>0</v>
      </c>
      <c r="G37" s="99"/>
      <c r="H37" s="99">
        <f>(H36-F36)/F36</f>
        <v>0.40137614678899086</v>
      </c>
      <c r="I37" s="19"/>
      <c r="J37" s="1"/>
    </row>
    <row r="38" spans="1:10" ht="15.75" thickBot="1">
      <c r="A38" s="1"/>
      <c r="B38" s="20"/>
      <c r="C38" s="23"/>
      <c r="D38" s="25"/>
      <c r="E38" s="30"/>
      <c r="F38" s="30"/>
      <c r="G38" s="30"/>
      <c r="H38" s="30"/>
      <c r="I38" s="21"/>
      <c r="J38" s="1"/>
    </row>
    <row r="39" spans="1:10" ht="1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5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ht="15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ht="15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ht="15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ht="15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ht="15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ht="15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ht="15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ht="15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ht="15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ht="15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ht="15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ht="15">
      <c r="A97" s="1"/>
      <c r="B97" s="1"/>
      <c r="C97" s="1"/>
      <c r="D97" s="1"/>
      <c r="E97" s="1"/>
      <c r="F97" s="1"/>
      <c r="G97" s="1"/>
      <c r="H97" s="1"/>
      <c r="I97" s="1"/>
      <c r="J97" s="1"/>
    </row>
  </sheetData>
  <phoneticPr fontId="18" type="noConversion"/>
  <pageMargins left="0.75" right="0.75" top="1" bottom="1" header="0.5" footer="0.5"/>
  <pageSetup scale="92" orientation="portrait" horizontalDpi="360" verticalDpi="36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dimension ref="A1:I59"/>
  <sheetViews>
    <sheetView workbookViewId="0"/>
  </sheetViews>
  <sheetFormatPr defaultRowHeight="12.75"/>
  <cols>
    <col min="2" max="2" width="3.140625" customWidth="1"/>
    <col min="3" max="4" width="18.140625" customWidth="1"/>
    <col min="5" max="5" width="24" customWidth="1"/>
    <col min="6" max="6" width="3.140625" customWidth="1"/>
    <col min="7" max="7" width="17.42578125" customWidth="1"/>
    <col min="8" max="8" width="15.42578125" customWidth="1"/>
  </cols>
  <sheetData>
    <row r="1" spans="1:9" ht="18">
      <c r="A1" s="1"/>
      <c r="B1" s="1"/>
      <c r="C1" s="139" t="s">
        <v>313</v>
      </c>
      <c r="D1" s="1"/>
      <c r="E1" s="1"/>
      <c r="F1" s="1"/>
      <c r="G1" s="1"/>
      <c r="H1" s="1"/>
      <c r="I1" s="1"/>
    </row>
    <row r="2" spans="1:9" ht="15.75" customHeight="1">
      <c r="A2" s="1"/>
      <c r="B2" s="1"/>
      <c r="C2" s="1" t="s">
        <v>192</v>
      </c>
      <c r="D2" s="1"/>
      <c r="E2" s="1"/>
      <c r="F2" s="1"/>
      <c r="G2" s="1"/>
      <c r="H2" s="1"/>
      <c r="I2" s="1"/>
    </row>
    <row r="3" spans="1:9" ht="15.75" customHeight="1" thickBot="1">
      <c r="A3" s="1"/>
      <c r="B3" s="1"/>
      <c r="C3" s="1"/>
      <c r="D3" s="1"/>
      <c r="E3" s="1"/>
      <c r="F3" s="1"/>
      <c r="G3" s="1"/>
      <c r="H3" s="1"/>
      <c r="I3" s="1"/>
    </row>
    <row r="4" spans="1:9" ht="15.75" customHeight="1">
      <c r="A4" s="1"/>
      <c r="B4" s="4"/>
      <c r="C4" s="5"/>
      <c r="D4" s="5"/>
      <c r="E4" s="6"/>
      <c r="F4" s="7"/>
      <c r="G4" s="1"/>
      <c r="H4" s="1"/>
      <c r="I4" s="1"/>
    </row>
    <row r="5" spans="1:9" ht="15.75" customHeight="1">
      <c r="A5" s="1"/>
      <c r="B5" s="8"/>
      <c r="C5" s="9" t="s">
        <v>186</v>
      </c>
      <c r="D5" s="134">
        <v>1</v>
      </c>
      <c r="E5" s="134"/>
      <c r="F5" s="10"/>
      <c r="G5" s="1"/>
      <c r="H5" s="1"/>
      <c r="I5" s="1"/>
    </row>
    <row r="6" spans="1:9" ht="15.75" customHeight="1">
      <c r="A6" s="1"/>
      <c r="B6" s="8"/>
      <c r="C6" s="9" t="s">
        <v>109</v>
      </c>
      <c r="D6" s="127">
        <v>0</v>
      </c>
      <c r="E6" s="127"/>
      <c r="F6" s="10"/>
      <c r="G6" s="1"/>
      <c r="H6" s="1"/>
      <c r="I6" s="1"/>
    </row>
    <row r="7" spans="1:9" ht="15.75" customHeight="1">
      <c r="A7" s="1"/>
      <c r="B7" s="8"/>
      <c r="C7" s="9" t="s">
        <v>109</v>
      </c>
      <c r="D7" s="126">
        <v>1</v>
      </c>
      <c r="E7" s="126"/>
      <c r="F7" s="10"/>
      <c r="G7" s="1"/>
      <c r="H7" s="1"/>
      <c r="I7" s="1"/>
    </row>
    <row r="8" spans="1:9" ht="15.75" customHeight="1">
      <c r="A8" s="1"/>
      <c r="B8" s="8"/>
      <c r="C8" s="9" t="s">
        <v>109</v>
      </c>
      <c r="D8" s="126">
        <v>5</v>
      </c>
      <c r="E8" s="126"/>
      <c r="F8" s="10"/>
      <c r="G8" s="1"/>
      <c r="H8" s="1"/>
      <c r="I8" s="1"/>
    </row>
    <row r="9" spans="1:9" ht="15.75" customHeight="1">
      <c r="A9" s="1"/>
      <c r="B9" s="8"/>
      <c r="C9" s="9" t="s">
        <v>109</v>
      </c>
      <c r="D9" s="126">
        <v>20</v>
      </c>
      <c r="E9" s="126"/>
      <c r="F9" s="10"/>
      <c r="G9" s="1"/>
      <c r="H9" s="1"/>
      <c r="I9" s="1"/>
    </row>
    <row r="10" spans="1:9" ht="15.75" customHeight="1" thickBot="1">
      <c r="A10" s="1"/>
      <c r="B10" s="11"/>
      <c r="C10" s="12"/>
      <c r="D10" s="12"/>
      <c r="E10" s="13"/>
      <c r="F10" s="14"/>
      <c r="G10" s="1"/>
      <c r="H10" s="1"/>
      <c r="I10" s="1"/>
    </row>
    <row r="11" spans="1:9" ht="15.75" customHeight="1">
      <c r="A11" s="1"/>
      <c r="B11" s="1"/>
      <c r="C11" s="1"/>
      <c r="D11" s="1"/>
      <c r="E11" s="1"/>
      <c r="F11" s="1"/>
      <c r="G11" s="1"/>
      <c r="H11" s="1"/>
      <c r="I11" s="1"/>
    </row>
    <row r="12" spans="1:9" ht="15.75" customHeight="1">
      <c r="A12" s="1"/>
      <c r="B12" s="1"/>
      <c r="C12" s="3" t="s">
        <v>2</v>
      </c>
      <c r="D12" s="1"/>
      <c r="E12" s="1"/>
      <c r="F12" s="1"/>
      <c r="G12" s="1"/>
      <c r="H12" s="1"/>
      <c r="I12" s="1"/>
    </row>
    <row r="13" spans="1:9" ht="15.75" customHeight="1" thickBot="1">
      <c r="A13" s="1"/>
      <c r="B13" s="1"/>
      <c r="C13" s="1"/>
      <c r="D13" s="1"/>
      <c r="E13" s="1"/>
      <c r="F13" s="1"/>
      <c r="G13" s="1"/>
      <c r="H13" s="1"/>
      <c r="I13" s="1"/>
    </row>
    <row r="14" spans="1:9" ht="15.75" customHeight="1">
      <c r="A14" s="1"/>
      <c r="B14" s="15"/>
      <c r="C14" s="16"/>
      <c r="D14" s="16"/>
      <c r="E14" s="16"/>
      <c r="F14" s="17"/>
      <c r="G14" s="35"/>
      <c r="H14" s="35"/>
      <c r="I14" s="47"/>
    </row>
    <row r="15" spans="1:9" ht="15.75" customHeight="1">
      <c r="A15" s="1"/>
      <c r="B15" s="18"/>
      <c r="C15" s="133" t="s">
        <v>187</v>
      </c>
      <c r="D15" s="29"/>
      <c r="E15" s="29"/>
      <c r="F15" s="19"/>
      <c r="G15" s="35"/>
      <c r="H15" s="35"/>
      <c r="I15" s="47"/>
    </row>
    <row r="16" spans="1:9" ht="15.75" customHeight="1">
      <c r="A16" s="1"/>
      <c r="B16" s="18"/>
      <c r="C16" s="29"/>
      <c r="D16" s="29"/>
      <c r="E16" s="29"/>
      <c r="F16" s="19"/>
      <c r="G16" s="35"/>
      <c r="H16" s="35"/>
      <c r="I16" s="47"/>
    </row>
    <row r="17" spans="1:9" ht="15.75" customHeight="1">
      <c r="A17" s="1"/>
      <c r="B17" s="18"/>
      <c r="C17" s="135" t="s">
        <v>109</v>
      </c>
      <c r="D17" s="135" t="s">
        <v>188</v>
      </c>
      <c r="E17" s="29"/>
      <c r="F17" s="19"/>
      <c r="G17" s="35"/>
      <c r="H17" s="35"/>
      <c r="I17" s="47"/>
    </row>
    <row r="18" spans="1:9" ht="15.75" customHeight="1">
      <c r="A18" s="1"/>
      <c r="B18" s="18"/>
      <c r="C18" s="136">
        <f>D6</f>
        <v>0</v>
      </c>
      <c r="D18" s="137">
        <f>$D$5*(1+C18)</f>
        <v>1</v>
      </c>
      <c r="E18" s="29"/>
      <c r="F18" s="19"/>
      <c r="G18" s="35"/>
      <c r="H18" s="35"/>
      <c r="I18" s="47"/>
    </row>
    <row r="19" spans="1:9" ht="15.75" customHeight="1">
      <c r="A19" s="1"/>
      <c r="B19" s="18"/>
      <c r="C19" s="136">
        <f>D7</f>
        <v>1</v>
      </c>
      <c r="D19" s="137">
        <f>$D$5*(1+C19)</f>
        <v>2</v>
      </c>
      <c r="E19" s="29"/>
      <c r="F19" s="19"/>
      <c r="G19" s="35"/>
      <c r="H19" s="35"/>
      <c r="I19" s="47"/>
    </row>
    <row r="20" spans="1:9" ht="15.75" customHeight="1">
      <c r="A20" s="1"/>
      <c r="B20" s="18"/>
      <c r="C20" s="136">
        <f>D8</f>
        <v>5</v>
      </c>
      <c r="D20" s="137">
        <f>$D$5*(1+C20)</f>
        <v>6</v>
      </c>
      <c r="E20" s="29"/>
      <c r="F20" s="19"/>
      <c r="G20" s="35"/>
      <c r="H20" s="35"/>
      <c r="I20" s="47"/>
    </row>
    <row r="21" spans="1:9" ht="15.75" customHeight="1">
      <c r="A21" s="1"/>
      <c r="B21" s="18"/>
      <c r="C21" s="136">
        <f>D9</f>
        <v>20</v>
      </c>
      <c r="D21" s="137">
        <f>$D$5*(1+C21)</f>
        <v>21</v>
      </c>
      <c r="E21" s="29"/>
      <c r="F21" s="19"/>
      <c r="G21" s="35"/>
      <c r="H21" s="35"/>
      <c r="I21" s="47"/>
    </row>
    <row r="22" spans="1:9" ht="15.75" customHeight="1">
      <c r="A22" s="1"/>
      <c r="B22" s="18"/>
      <c r="C22" s="136"/>
      <c r="D22" s="29"/>
      <c r="E22" s="29"/>
      <c r="F22" s="19"/>
      <c r="G22" s="35"/>
      <c r="H22" s="35"/>
      <c r="I22" s="47"/>
    </row>
    <row r="23" spans="1:9" ht="15.75" customHeight="1">
      <c r="A23" s="1"/>
      <c r="B23" s="18"/>
      <c r="C23" s="29" t="s">
        <v>118</v>
      </c>
      <c r="D23" s="29"/>
      <c r="E23" s="29"/>
      <c r="F23" s="19"/>
      <c r="G23" s="35"/>
      <c r="H23" s="35"/>
      <c r="I23" s="47"/>
    </row>
    <row r="24" spans="1:9" ht="15.75" customHeight="1">
      <c r="A24" s="1"/>
      <c r="B24" s="18"/>
      <c r="C24" s="29" t="s">
        <v>119</v>
      </c>
      <c r="D24" s="29"/>
      <c r="E24" s="29"/>
      <c r="F24" s="19"/>
      <c r="G24" s="35"/>
      <c r="H24" s="35"/>
      <c r="I24" s="47"/>
    </row>
    <row r="25" spans="1:9" ht="15.75" customHeight="1">
      <c r="A25" s="1"/>
      <c r="B25" s="18"/>
      <c r="C25" s="29" t="s">
        <v>120</v>
      </c>
      <c r="D25" s="29"/>
      <c r="E25" s="29"/>
      <c r="F25" s="19"/>
      <c r="G25" s="35"/>
      <c r="H25" s="35"/>
      <c r="I25" s="47"/>
    </row>
    <row r="26" spans="1:9" ht="15.75" customHeight="1">
      <c r="A26" s="1"/>
      <c r="B26" s="18"/>
      <c r="C26" s="29" t="s">
        <v>121</v>
      </c>
      <c r="D26" s="29"/>
      <c r="E26" s="29"/>
      <c r="F26" s="19"/>
      <c r="G26" s="35"/>
      <c r="H26" s="35"/>
      <c r="I26" s="47"/>
    </row>
    <row r="27" spans="1:9" ht="15.75" customHeight="1">
      <c r="A27" s="1"/>
      <c r="B27" s="18"/>
      <c r="C27" s="29" t="s">
        <v>122</v>
      </c>
      <c r="D27" s="29"/>
      <c r="E27" s="29"/>
      <c r="F27" s="19"/>
      <c r="G27" s="35"/>
      <c r="H27" s="35"/>
      <c r="I27" s="47"/>
    </row>
    <row r="28" spans="1:9" ht="15.75" customHeight="1">
      <c r="A28" s="1"/>
      <c r="B28" s="18"/>
      <c r="C28" s="29" t="s">
        <v>123</v>
      </c>
      <c r="D28" s="29"/>
      <c r="E28" s="29"/>
      <c r="F28" s="19"/>
      <c r="G28" s="35"/>
      <c r="H28" s="35"/>
      <c r="I28" s="47"/>
    </row>
    <row r="29" spans="1:9" ht="15.75" customHeight="1" thickBot="1">
      <c r="A29" s="1"/>
      <c r="B29" s="20"/>
      <c r="C29" s="23"/>
      <c r="D29" s="48"/>
      <c r="E29" s="60"/>
      <c r="F29" s="49"/>
      <c r="G29" s="37"/>
      <c r="H29" s="35"/>
      <c r="I29" s="47"/>
    </row>
    <row r="30" spans="1:9" ht="15.75" customHeight="1">
      <c r="A30" s="1"/>
      <c r="B30" s="1"/>
      <c r="C30" s="47"/>
      <c r="D30" s="47"/>
      <c r="E30" s="47"/>
      <c r="F30" s="47"/>
      <c r="G30" s="47"/>
      <c r="H30" s="1"/>
      <c r="I30" s="1"/>
    </row>
    <row r="31" spans="1:9" ht="15.75" customHeight="1">
      <c r="A31" s="1"/>
      <c r="B31" s="1"/>
      <c r="C31" s="47"/>
      <c r="D31" s="47"/>
      <c r="E31" s="47"/>
      <c r="F31" s="47"/>
      <c r="G31" s="47"/>
      <c r="H31" s="1"/>
      <c r="I31" s="1"/>
    </row>
    <row r="32" spans="1:9" ht="15.75" customHeight="1">
      <c r="A32" s="1"/>
      <c r="B32" s="1"/>
      <c r="C32" s="47"/>
      <c r="D32" s="47"/>
      <c r="E32" s="47"/>
      <c r="F32" s="47"/>
      <c r="G32" s="47"/>
      <c r="H32" s="1"/>
      <c r="I32" s="1"/>
    </row>
    <row r="33" spans="1:9" ht="15.75" customHeight="1">
      <c r="A33" s="1"/>
      <c r="B33" s="1"/>
      <c r="C33" s="47"/>
      <c r="D33" s="47"/>
      <c r="E33" s="47"/>
      <c r="F33" s="47"/>
      <c r="G33" s="47"/>
      <c r="H33" s="1"/>
      <c r="I33" s="1"/>
    </row>
    <row r="34" spans="1:9" ht="15.75" customHeight="1">
      <c r="A34" s="1"/>
      <c r="B34" s="1"/>
      <c r="C34" s="1"/>
      <c r="D34" s="1"/>
      <c r="E34" s="1"/>
      <c r="F34" s="1"/>
      <c r="G34" s="1"/>
      <c r="H34" s="1"/>
      <c r="I34" s="1"/>
    </row>
    <row r="35" spans="1:9" ht="15.75" customHeight="1">
      <c r="A35" s="1"/>
      <c r="B35" s="1"/>
      <c r="C35" s="1"/>
      <c r="D35" s="1"/>
      <c r="E35" s="1"/>
      <c r="F35" s="1"/>
      <c r="G35" s="1"/>
      <c r="H35" s="1"/>
      <c r="I35" s="1"/>
    </row>
    <row r="36" spans="1:9" ht="15.75" customHeight="1">
      <c r="A36" s="1"/>
      <c r="B36" s="1"/>
      <c r="C36" s="1"/>
      <c r="D36" s="1"/>
      <c r="E36" s="1"/>
      <c r="F36" s="1"/>
      <c r="G36" s="1"/>
      <c r="H36" s="1"/>
      <c r="I36" s="1"/>
    </row>
    <row r="37" spans="1:9" ht="15.75" customHeight="1">
      <c r="A37" s="1"/>
      <c r="B37" s="1"/>
      <c r="C37" s="1"/>
      <c r="D37" s="1"/>
      <c r="E37" s="1"/>
      <c r="F37" s="1"/>
      <c r="G37" s="1"/>
      <c r="H37" s="1"/>
      <c r="I37" s="1"/>
    </row>
    <row r="38" spans="1:9" ht="15.75" customHeight="1">
      <c r="A38" s="1"/>
      <c r="B38" s="1"/>
      <c r="C38" s="1"/>
      <c r="D38" s="1"/>
      <c r="E38" s="1"/>
      <c r="F38" s="1"/>
      <c r="G38" s="1"/>
      <c r="H38" s="1"/>
      <c r="I38" s="1"/>
    </row>
    <row r="39" spans="1:9" ht="15.75" customHeight="1">
      <c r="A39" s="1"/>
      <c r="B39" s="1"/>
      <c r="C39" s="1"/>
      <c r="D39" s="1"/>
      <c r="E39" s="1"/>
      <c r="F39" s="1"/>
      <c r="G39" s="1"/>
      <c r="H39" s="1"/>
      <c r="I39" s="1"/>
    </row>
    <row r="40" spans="1:9" ht="15.75" customHeight="1">
      <c r="A40" s="1"/>
      <c r="B40" s="1"/>
      <c r="C40" s="1"/>
      <c r="D40" s="1"/>
      <c r="E40" s="1"/>
      <c r="F40" s="1"/>
      <c r="G40" s="1"/>
      <c r="H40" s="1"/>
      <c r="I40" s="1"/>
    </row>
    <row r="41" spans="1:9" ht="15.75" customHeight="1">
      <c r="A41" s="1"/>
      <c r="B41" s="1"/>
      <c r="C41" s="1"/>
      <c r="D41" s="1"/>
      <c r="E41" s="1"/>
      <c r="F41" s="1"/>
      <c r="G41" s="1"/>
      <c r="H41" s="1"/>
      <c r="I41" s="1"/>
    </row>
    <row r="42" spans="1:9" ht="15.75" customHeight="1">
      <c r="A42" s="1"/>
      <c r="B42" s="1"/>
      <c r="C42" s="1"/>
      <c r="D42" s="1"/>
      <c r="E42" s="1"/>
      <c r="F42" s="1"/>
      <c r="G42" s="1"/>
      <c r="H42" s="1"/>
      <c r="I42" s="1"/>
    </row>
    <row r="43" spans="1:9" ht="15.75" customHeight="1">
      <c r="A43" s="1"/>
      <c r="B43" s="1"/>
      <c r="C43" s="1"/>
      <c r="D43" s="1"/>
      <c r="E43" s="1"/>
      <c r="F43" s="1"/>
      <c r="G43" s="1"/>
      <c r="H43" s="1"/>
      <c r="I43" s="1"/>
    </row>
    <row r="44" spans="1:9" ht="15.75" customHeight="1">
      <c r="A44" s="1"/>
      <c r="B44" s="1"/>
      <c r="C44" s="1"/>
      <c r="D44" s="1"/>
      <c r="E44" s="1"/>
      <c r="F44" s="1"/>
      <c r="G44" s="1"/>
      <c r="H44" s="1"/>
      <c r="I44" s="1"/>
    </row>
    <row r="45" spans="1:9" ht="15.75" customHeight="1">
      <c r="A45" s="1"/>
      <c r="B45" s="1"/>
      <c r="C45" s="1"/>
      <c r="D45" s="1"/>
      <c r="E45" s="1"/>
      <c r="F45" s="1"/>
      <c r="G45" s="1"/>
      <c r="H45" s="1"/>
      <c r="I45" s="1"/>
    </row>
    <row r="46" spans="1:9" ht="15.75" customHeight="1">
      <c r="A46" s="1"/>
      <c r="B46" s="1"/>
      <c r="C46" s="1"/>
      <c r="D46" s="1"/>
      <c r="E46" s="1"/>
      <c r="F46" s="1"/>
      <c r="G46" s="1"/>
      <c r="H46" s="1"/>
      <c r="I46" s="1"/>
    </row>
    <row r="47" spans="1:9" ht="15.75" customHeight="1">
      <c r="A47" s="1"/>
      <c r="B47" s="1"/>
      <c r="C47" s="1"/>
      <c r="D47" s="1"/>
      <c r="E47" s="1"/>
      <c r="F47" s="1"/>
      <c r="G47" s="1"/>
      <c r="H47" s="1"/>
      <c r="I47" s="1"/>
    </row>
    <row r="48" spans="1:9" ht="15.75" customHeight="1">
      <c r="A48" s="1"/>
      <c r="B48" s="1"/>
      <c r="C48" s="1"/>
      <c r="D48" s="1"/>
      <c r="E48" s="1"/>
      <c r="F48" s="1"/>
      <c r="G48" s="1"/>
      <c r="H48" s="1"/>
      <c r="I48" s="1"/>
    </row>
    <row r="49" spans="1:9" ht="15.75" customHeight="1">
      <c r="A49" s="1"/>
      <c r="B49" s="1"/>
      <c r="C49" s="1"/>
      <c r="D49" s="1"/>
      <c r="E49" s="1"/>
      <c r="F49" s="1"/>
      <c r="G49" s="1"/>
      <c r="H49" s="1"/>
      <c r="I49" s="1"/>
    </row>
    <row r="50" spans="1:9" ht="15.75" customHeight="1">
      <c r="A50" s="1"/>
      <c r="B50" s="1"/>
      <c r="C50" s="1"/>
      <c r="D50" s="1"/>
      <c r="E50" s="1"/>
      <c r="F50" s="1"/>
      <c r="G50" s="1"/>
      <c r="H50" s="1"/>
      <c r="I50" s="1"/>
    </row>
    <row r="51" spans="1:9" ht="15.75" customHeight="1">
      <c r="A51" s="1"/>
      <c r="B51" s="1"/>
      <c r="C51" s="1"/>
      <c r="D51" s="1"/>
      <c r="E51" s="1"/>
      <c r="F51" s="1"/>
      <c r="G51" s="1"/>
      <c r="H51" s="1"/>
      <c r="I51" s="1"/>
    </row>
    <row r="52" spans="1:9" ht="15.75" customHeight="1">
      <c r="A52" s="1"/>
      <c r="B52" s="1"/>
      <c r="C52" s="1"/>
      <c r="D52" s="1"/>
      <c r="E52" s="1"/>
      <c r="F52" s="1"/>
      <c r="G52" s="1"/>
      <c r="H52" s="1"/>
      <c r="I52" s="1"/>
    </row>
    <row r="53" spans="1:9" ht="15.75" customHeight="1">
      <c r="A53" s="1"/>
      <c r="B53" s="1"/>
      <c r="C53" s="1"/>
      <c r="D53" s="1"/>
      <c r="E53" s="1"/>
      <c r="F53" s="1"/>
      <c r="G53" s="1"/>
      <c r="H53" s="1"/>
      <c r="I53" s="1"/>
    </row>
    <row r="54" spans="1:9" ht="15.75" customHeight="1">
      <c r="A54" s="1"/>
      <c r="B54" s="1"/>
      <c r="C54" s="1"/>
      <c r="D54" s="1"/>
      <c r="E54" s="1"/>
      <c r="F54" s="1"/>
      <c r="G54" s="1"/>
      <c r="H54" s="1"/>
      <c r="I54" s="1"/>
    </row>
    <row r="55" spans="1:9" ht="15.75" customHeight="1">
      <c r="A55" s="1"/>
      <c r="B55" s="1"/>
      <c r="C55" s="1"/>
      <c r="D55" s="1"/>
      <c r="E55" s="1"/>
      <c r="F55" s="1"/>
      <c r="G55" s="1"/>
      <c r="H55" s="1"/>
      <c r="I55" s="1"/>
    </row>
    <row r="56" spans="1:9" ht="15.75" customHeight="1">
      <c r="A56" s="1"/>
      <c r="B56" s="1"/>
      <c r="C56" s="1"/>
      <c r="D56" s="1"/>
      <c r="E56" s="1"/>
      <c r="F56" s="1"/>
      <c r="G56" s="1"/>
      <c r="H56" s="1"/>
      <c r="I56" s="1"/>
    </row>
    <row r="57" spans="1:9" ht="15">
      <c r="A57" s="1"/>
      <c r="B57" s="1"/>
      <c r="C57" s="1"/>
      <c r="D57" s="1"/>
      <c r="E57" s="1"/>
      <c r="F57" s="1"/>
      <c r="G57" s="1"/>
      <c r="H57" s="1"/>
      <c r="I57" s="1"/>
    </row>
    <row r="58" spans="1:9" ht="15">
      <c r="A58" s="1"/>
      <c r="B58" s="1"/>
      <c r="C58" s="1"/>
      <c r="D58" s="1"/>
      <c r="E58" s="1"/>
      <c r="F58" s="1"/>
      <c r="G58" s="1"/>
      <c r="H58" s="1"/>
      <c r="I58" s="1"/>
    </row>
    <row r="59" spans="1:9" ht="15">
      <c r="A59" s="1"/>
      <c r="B59" s="1"/>
      <c r="C59" s="1"/>
      <c r="D59" s="1"/>
      <c r="E59" s="1"/>
      <c r="F59" s="1"/>
      <c r="G59" s="1"/>
      <c r="H59" s="1"/>
      <c r="I59" s="1"/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dimension ref="A1:I53"/>
  <sheetViews>
    <sheetView workbookViewId="0"/>
  </sheetViews>
  <sheetFormatPr defaultRowHeight="12.75"/>
  <cols>
    <col min="2" max="2" width="3.140625" customWidth="1"/>
    <col min="3" max="4" width="18.140625" customWidth="1"/>
    <col min="5" max="5" width="26.85546875" customWidth="1"/>
    <col min="6" max="6" width="3.140625" customWidth="1"/>
    <col min="7" max="7" width="17.42578125" customWidth="1"/>
    <col min="8" max="8" width="15.42578125" customWidth="1"/>
  </cols>
  <sheetData>
    <row r="1" spans="1:9" ht="18">
      <c r="A1" s="1"/>
      <c r="B1" s="1"/>
      <c r="C1" s="139" t="s">
        <v>313</v>
      </c>
      <c r="D1" s="1"/>
      <c r="E1" s="1"/>
      <c r="F1" s="1"/>
      <c r="G1" s="1"/>
      <c r="H1" s="1"/>
      <c r="I1" s="1"/>
    </row>
    <row r="2" spans="1:9" ht="15">
      <c r="A2" s="1"/>
      <c r="B2" s="1"/>
      <c r="C2" s="1" t="s">
        <v>191</v>
      </c>
      <c r="D2" s="1"/>
      <c r="E2" s="1"/>
      <c r="F2" s="1"/>
      <c r="G2" s="1"/>
      <c r="H2" s="1"/>
      <c r="I2" s="1"/>
    </row>
    <row r="3" spans="1:9" ht="15">
      <c r="A3" s="1"/>
      <c r="B3" s="1"/>
      <c r="C3" s="1"/>
      <c r="D3" s="1"/>
      <c r="E3" s="1"/>
      <c r="F3" s="1"/>
      <c r="G3" s="1"/>
      <c r="H3" s="1"/>
      <c r="I3" s="1"/>
    </row>
    <row r="4" spans="1:9" ht="15">
      <c r="A4" s="1"/>
      <c r="B4" s="1"/>
      <c r="C4" s="3" t="s">
        <v>2</v>
      </c>
      <c r="D4" s="1"/>
      <c r="E4" s="1"/>
      <c r="F4" s="1"/>
      <c r="G4" s="1"/>
      <c r="H4" s="1"/>
      <c r="I4" s="1"/>
    </row>
    <row r="5" spans="1:9" ht="15.75" thickBot="1">
      <c r="A5" s="1"/>
      <c r="B5" s="1"/>
      <c r="C5" s="1"/>
      <c r="D5" s="1"/>
      <c r="E5" s="1"/>
      <c r="F5" s="1"/>
      <c r="G5" s="1"/>
      <c r="H5" s="1"/>
      <c r="I5" s="1"/>
    </row>
    <row r="6" spans="1:9" ht="15">
      <c r="A6" s="1"/>
      <c r="B6" s="15"/>
      <c r="C6" s="16"/>
      <c r="D6" s="16"/>
      <c r="E6" s="16"/>
      <c r="F6" s="17"/>
      <c r="G6" s="35"/>
      <c r="H6" s="35"/>
      <c r="I6" s="47"/>
    </row>
    <row r="7" spans="1:9" ht="15">
      <c r="A7" s="1"/>
      <c r="B7" s="18"/>
      <c r="C7" s="29" t="s">
        <v>300</v>
      </c>
      <c r="D7" s="29"/>
      <c r="E7" s="29"/>
      <c r="F7" s="19"/>
      <c r="G7" s="35"/>
      <c r="H7" s="35"/>
      <c r="I7" s="47"/>
    </row>
    <row r="8" spans="1:9" ht="15">
      <c r="A8" s="1"/>
      <c r="B8" s="18"/>
      <c r="C8" s="29" t="s">
        <v>301</v>
      </c>
      <c r="D8" s="29"/>
      <c r="E8" s="29"/>
      <c r="F8" s="19"/>
      <c r="G8" s="35"/>
      <c r="H8" s="35"/>
      <c r="I8" s="47"/>
    </row>
    <row r="9" spans="1:9" ht="15">
      <c r="A9" s="1"/>
      <c r="B9" s="18"/>
      <c r="C9" s="29"/>
      <c r="D9" s="29"/>
      <c r="E9" s="29"/>
      <c r="F9" s="19"/>
      <c r="G9" s="35"/>
      <c r="H9" s="35"/>
      <c r="I9" s="47"/>
    </row>
    <row r="10" spans="1:9" ht="19.5">
      <c r="A10" s="1"/>
      <c r="B10" s="18"/>
      <c r="C10" s="29" t="s">
        <v>302</v>
      </c>
      <c r="D10" s="29"/>
      <c r="E10" s="29"/>
      <c r="F10" s="19"/>
      <c r="G10" s="35"/>
      <c r="H10" s="35"/>
      <c r="I10" s="47"/>
    </row>
    <row r="11" spans="1:9" ht="15">
      <c r="A11" s="1"/>
      <c r="B11" s="18"/>
      <c r="C11" s="29"/>
      <c r="D11" s="29"/>
      <c r="E11" s="29"/>
      <c r="F11" s="19"/>
      <c r="G11" s="35"/>
      <c r="H11" s="35"/>
      <c r="I11" s="47"/>
    </row>
    <row r="12" spans="1:9" ht="15">
      <c r="A12" s="1"/>
      <c r="B12" s="18"/>
      <c r="C12" s="29" t="s">
        <v>303</v>
      </c>
      <c r="D12" s="29"/>
      <c r="E12" s="29"/>
      <c r="F12" s="19"/>
      <c r="G12" s="35"/>
      <c r="H12" s="35"/>
      <c r="I12" s="47"/>
    </row>
    <row r="13" spans="1:9" ht="15">
      <c r="A13" s="1"/>
      <c r="B13" s="18"/>
      <c r="C13" s="29"/>
      <c r="D13" s="29"/>
      <c r="E13" s="29"/>
      <c r="F13" s="19"/>
      <c r="G13" s="35"/>
      <c r="H13" s="35"/>
      <c r="I13" s="47"/>
    </row>
    <row r="14" spans="1:9" ht="19.5">
      <c r="A14" s="1"/>
      <c r="B14" s="18"/>
      <c r="C14" s="29" t="s">
        <v>304</v>
      </c>
      <c r="D14" s="29"/>
      <c r="E14" s="29"/>
      <c r="F14" s="19"/>
      <c r="G14" s="35"/>
      <c r="H14" s="35"/>
      <c r="I14" s="47"/>
    </row>
    <row r="15" spans="1:9" ht="15">
      <c r="A15" s="1"/>
      <c r="B15" s="18"/>
      <c r="C15" s="29"/>
      <c r="D15" s="29"/>
      <c r="E15" s="29"/>
      <c r="F15" s="19"/>
      <c r="G15" s="35"/>
      <c r="H15" s="35"/>
      <c r="I15" s="47"/>
    </row>
    <row r="16" spans="1:9" ht="15">
      <c r="A16" s="1"/>
      <c r="B16" s="18"/>
      <c r="C16" s="29" t="s">
        <v>305</v>
      </c>
      <c r="D16" s="29"/>
      <c r="E16" s="29"/>
      <c r="F16" s="19"/>
      <c r="G16" s="35"/>
      <c r="H16" s="35"/>
      <c r="I16" s="47"/>
    </row>
    <row r="17" spans="1:9" ht="15">
      <c r="A17" s="1"/>
      <c r="B17" s="18"/>
      <c r="C17" s="29"/>
      <c r="D17" s="29"/>
      <c r="E17" s="29"/>
      <c r="F17" s="19"/>
      <c r="G17" s="35"/>
      <c r="H17" s="35"/>
      <c r="I17" s="47"/>
    </row>
    <row r="18" spans="1:9" ht="19.5">
      <c r="A18" s="1"/>
      <c r="B18" s="18"/>
      <c r="C18" s="29" t="s">
        <v>306</v>
      </c>
      <c r="D18" s="29"/>
      <c r="E18" s="29"/>
      <c r="F18" s="19"/>
      <c r="G18" s="35"/>
      <c r="H18" s="35"/>
      <c r="I18" s="47"/>
    </row>
    <row r="19" spans="1:9" ht="15">
      <c r="A19" s="1"/>
      <c r="B19" s="18"/>
      <c r="C19" s="29"/>
      <c r="D19" s="29"/>
      <c r="E19" s="29"/>
      <c r="F19" s="19"/>
      <c r="G19" s="35"/>
      <c r="H19" s="35"/>
      <c r="I19" s="47"/>
    </row>
    <row r="20" spans="1:9" ht="19.5">
      <c r="A20" s="1"/>
      <c r="B20" s="18"/>
      <c r="C20" s="29" t="s">
        <v>307</v>
      </c>
      <c r="D20" s="29"/>
      <c r="E20" s="29"/>
      <c r="F20" s="19"/>
      <c r="G20" s="35"/>
      <c r="H20" s="35"/>
      <c r="I20" s="47"/>
    </row>
    <row r="21" spans="1:9" ht="15">
      <c r="A21" s="1"/>
      <c r="B21" s="18"/>
      <c r="C21" s="29"/>
      <c r="D21" s="29"/>
      <c r="E21" s="29"/>
      <c r="F21" s="19"/>
      <c r="G21" s="35"/>
      <c r="H21" s="35"/>
      <c r="I21" s="47"/>
    </row>
    <row r="22" spans="1:9" ht="19.5">
      <c r="A22" s="1"/>
      <c r="B22" s="18"/>
      <c r="C22" s="168" t="s">
        <v>308</v>
      </c>
      <c r="D22" s="29"/>
      <c r="E22" s="29"/>
      <c r="F22" s="19"/>
      <c r="G22" s="35"/>
      <c r="H22" s="35"/>
      <c r="I22" s="47"/>
    </row>
    <row r="23" spans="1:9" ht="15.75" thickBot="1">
      <c r="A23" s="1"/>
      <c r="B23" s="20"/>
      <c r="C23" s="23"/>
      <c r="D23" s="48"/>
      <c r="E23" s="60"/>
      <c r="F23" s="49"/>
      <c r="G23" s="37"/>
      <c r="H23" s="35"/>
      <c r="I23" s="47"/>
    </row>
    <row r="24" spans="1:9" ht="15">
      <c r="A24" s="1"/>
      <c r="B24" s="1"/>
      <c r="C24" s="47"/>
      <c r="D24" s="47"/>
      <c r="E24" s="47"/>
      <c r="F24" s="47"/>
      <c r="G24" s="47"/>
      <c r="H24" s="1"/>
      <c r="I24" s="1"/>
    </row>
    <row r="25" spans="1:9" ht="15">
      <c r="A25" s="1"/>
      <c r="B25" s="1"/>
      <c r="C25" s="47"/>
      <c r="D25" s="47"/>
      <c r="E25" s="47"/>
      <c r="F25" s="47"/>
      <c r="G25" s="47"/>
      <c r="H25" s="1"/>
      <c r="I25" s="1"/>
    </row>
    <row r="26" spans="1:9" ht="15">
      <c r="A26" s="1"/>
      <c r="B26" s="1"/>
      <c r="C26" s="47"/>
      <c r="D26" s="47"/>
      <c r="E26" s="47"/>
      <c r="F26" s="47"/>
      <c r="G26" s="47"/>
      <c r="H26" s="1"/>
      <c r="I26" s="1"/>
    </row>
    <row r="27" spans="1:9" ht="15">
      <c r="A27" s="1"/>
      <c r="B27" s="1"/>
      <c r="C27" s="47"/>
      <c r="D27" s="47"/>
      <c r="E27" s="47"/>
      <c r="F27" s="47"/>
      <c r="G27" s="47"/>
      <c r="H27" s="1"/>
      <c r="I27" s="1"/>
    </row>
    <row r="28" spans="1:9" ht="15">
      <c r="A28" s="1"/>
      <c r="B28" s="1"/>
      <c r="C28" s="1"/>
      <c r="D28" s="1"/>
      <c r="E28" s="1"/>
      <c r="F28" s="1"/>
      <c r="G28" s="1"/>
      <c r="H28" s="1"/>
      <c r="I28" s="1"/>
    </row>
    <row r="29" spans="1:9" ht="15">
      <c r="A29" s="1"/>
      <c r="B29" s="1"/>
      <c r="C29" s="1"/>
      <c r="D29" s="1"/>
      <c r="E29" s="1"/>
      <c r="F29" s="1"/>
      <c r="G29" s="1"/>
      <c r="H29" s="1"/>
      <c r="I29" s="1"/>
    </row>
    <row r="30" spans="1:9" ht="15">
      <c r="A30" s="1"/>
      <c r="B30" s="1"/>
      <c r="C30" s="1"/>
      <c r="D30" s="1"/>
      <c r="E30" s="1"/>
      <c r="F30" s="1"/>
      <c r="G30" s="1"/>
      <c r="H30" s="1"/>
      <c r="I30" s="1"/>
    </row>
    <row r="31" spans="1:9" ht="15">
      <c r="A31" s="1"/>
      <c r="B31" s="1"/>
      <c r="C31" s="1"/>
      <c r="D31" s="1"/>
      <c r="E31" s="1"/>
      <c r="F31" s="1"/>
      <c r="G31" s="1"/>
      <c r="H31" s="1"/>
      <c r="I31" s="1"/>
    </row>
    <row r="32" spans="1:9" ht="15">
      <c r="A32" s="1"/>
      <c r="B32" s="1"/>
      <c r="C32" s="1"/>
      <c r="D32" s="1"/>
      <c r="E32" s="1"/>
      <c r="F32" s="1"/>
      <c r="G32" s="1"/>
      <c r="H32" s="1"/>
      <c r="I32" s="1"/>
    </row>
    <row r="33" spans="1:9" ht="15">
      <c r="A33" s="1"/>
      <c r="B33" s="1"/>
      <c r="C33" s="1"/>
      <c r="D33" s="1"/>
      <c r="E33" s="1"/>
      <c r="F33" s="1"/>
      <c r="G33" s="1"/>
      <c r="H33" s="1"/>
      <c r="I33" s="1"/>
    </row>
    <row r="34" spans="1:9" ht="15">
      <c r="A34" s="1"/>
      <c r="B34" s="1"/>
      <c r="C34" s="1"/>
      <c r="D34" s="1"/>
      <c r="E34" s="1"/>
      <c r="F34" s="1"/>
      <c r="G34" s="1"/>
      <c r="H34" s="1"/>
      <c r="I34" s="1"/>
    </row>
    <row r="35" spans="1:9" ht="15">
      <c r="A35" s="1"/>
      <c r="B35" s="1"/>
      <c r="C35" s="1"/>
      <c r="D35" s="1"/>
      <c r="E35" s="1"/>
      <c r="F35" s="1"/>
      <c r="G35" s="1"/>
      <c r="H35" s="1"/>
      <c r="I35" s="1"/>
    </row>
    <row r="36" spans="1:9" ht="15">
      <c r="A36" s="1"/>
      <c r="B36" s="1"/>
      <c r="C36" s="1"/>
      <c r="D36" s="1"/>
      <c r="E36" s="1"/>
      <c r="F36" s="1"/>
      <c r="G36" s="1"/>
      <c r="H36" s="1"/>
      <c r="I36" s="1"/>
    </row>
    <row r="37" spans="1:9" ht="15">
      <c r="A37" s="1"/>
      <c r="B37" s="1"/>
      <c r="C37" s="1"/>
      <c r="D37" s="1"/>
      <c r="E37" s="1"/>
      <c r="F37" s="1"/>
      <c r="G37" s="1"/>
      <c r="H37" s="1"/>
      <c r="I37" s="1"/>
    </row>
    <row r="38" spans="1:9" ht="15">
      <c r="A38" s="1"/>
      <c r="B38" s="1"/>
      <c r="C38" s="1"/>
      <c r="D38" s="1"/>
      <c r="E38" s="1"/>
      <c r="F38" s="1"/>
      <c r="G38" s="1"/>
      <c r="H38" s="1"/>
      <c r="I38" s="1"/>
    </row>
    <row r="39" spans="1:9" ht="15">
      <c r="A39" s="1"/>
      <c r="B39" s="1"/>
      <c r="C39" s="1"/>
      <c r="D39" s="1"/>
      <c r="E39" s="1"/>
      <c r="F39" s="1"/>
      <c r="G39" s="1"/>
      <c r="H39" s="1"/>
      <c r="I39" s="1"/>
    </row>
    <row r="40" spans="1:9" ht="15">
      <c r="A40" s="1"/>
      <c r="B40" s="1"/>
      <c r="C40" s="1"/>
      <c r="D40" s="1"/>
      <c r="E40" s="1"/>
      <c r="F40" s="1"/>
      <c r="G40" s="1"/>
      <c r="H40" s="1"/>
      <c r="I40" s="1"/>
    </row>
    <row r="41" spans="1:9" ht="15">
      <c r="A41" s="1"/>
      <c r="B41" s="1"/>
      <c r="C41" s="1"/>
      <c r="D41" s="1"/>
      <c r="E41" s="1"/>
      <c r="F41" s="1"/>
      <c r="G41" s="1"/>
      <c r="H41" s="1"/>
      <c r="I41" s="1"/>
    </row>
    <row r="42" spans="1:9" ht="15">
      <c r="A42" s="1"/>
      <c r="B42" s="1"/>
      <c r="C42" s="1"/>
      <c r="D42" s="1"/>
      <c r="E42" s="1"/>
      <c r="F42" s="1"/>
      <c r="G42" s="1"/>
      <c r="H42" s="1"/>
      <c r="I42" s="1"/>
    </row>
    <row r="43" spans="1:9" ht="15">
      <c r="A43" s="1"/>
      <c r="B43" s="1"/>
      <c r="C43" s="1"/>
      <c r="D43" s="1"/>
      <c r="E43" s="1"/>
      <c r="F43" s="1"/>
      <c r="G43" s="1"/>
      <c r="H43" s="1"/>
      <c r="I43" s="1"/>
    </row>
    <row r="44" spans="1:9" ht="15">
      <c r="A44" s="1"/>
      <c r="B44" s="1"/>
      <c r="C44" s="1"/>
      <c r="D44" s="1"/>
      <c r="E44" s="1"/>
      <c r="F44" s="1"/>
      <c r="G44" s="1"/>
      <c r="H44" s="1"/>
      <c r="I44" s="1"/>
    </row>
    <row r="45" spans="1:9" ht="15">
      <c r="A45" s="1"/>
      <c r="B45" s="1"/>
      <c r="C45" s="1"/>
      <c r="D45" s="1"/>
      <c r="E45" s="1"/>
      <c r="F45" s="1"/>
      <c r="G45" s="1"/>
      <c r="H45" s="1"/>
      <c r="I45" s="1"/>
    </row>
    <row r="46" spans="1:9" ht="15">
      <c r="A46" s="1"/>
      <c r="B46" s="1"/>
      <c r="C46" s="1"/>
      <c r="D46" s="1"/>
      <c r="E46" s="1"/>
      <c r="F46" s="1"/>
      <c r="G46" s="1"/>
      <c r="H46" s="1"/>
      <c r="I46" s="1"/>
    </row>
    <row r="47" spans="1:9" ht="15">
      <c r="A47" s="1"/>
      <c r="B47" s="1"/>
      <c r="C47" s="1"/>
      <c r="D47" s="1"/>
      <c r="E47" s="1"/>
      <c r="F47" s="1"/>
      <c r="G47" s="1"/>
      <c r="H47" s="1"/>
      <c r="I47" s="1"/>
    </row>
    <row r="48" spans="1:9" ht="15">
      <c r="A48" s="1"/>
      <c r="B48" s="1"/>
      <c r="C48" s="1"/>
      <c r="D48" s="1"/>
      <c r="E48" s="1"/>
      <c r="F48" s="1"/>
      <c r="G48" s="1"/>
      <c r="H48" s="1"/>
      <c r="I48" s="1"/>
    </row>
    <row r="49" spans="1:9" ht="15">
      <c r="A49" s="1"/>
      <c r="B49" s="1"/>
      <c r="C49" s="1"/>
      <c r="D49" s="1"/>
      <c r="E49" s="1"/>
      <c r="F49" s="1"/>
      <c r="G49" s="1"/>
      <c r="H49" s="1"/>
      <c r="I49" s="1"/>
    </row>
    <row r="50" spans="1:9" ht="15">
      <c r="A50" s="1"/>
      <c r="B50" s="1"/>
      <c r="C50" s="1"/>
      <c r="D50" s="1"/>
      <c r="E50" s="1"/>
      <c r="F50" s="1"/>
      <c r="G50" s="1"/>
      <c r="H50" s="1"/>
      <c r="I50" s="1"/>
    </row>
    <row r="51" spans="1:9" ht="15">
      <c r="A51" s="1"/>
      <c r="B51" s="1"/>
      <c r="C51" s="1"/>
      <c r="D51" s="1"/>
      <c r="E51" s="1"/>
      <c r="F51" s="1"/>
      <c r="G51" s="1"/>
      <c r="H51" s="1"/>
      <c r="I51" s="1"/>
    </row>
    <row r="52" spans="1:9" ht="15">
      <c r="A52" s="1"/>
      <c r="B52" s="1"/>
      <c r="C52" s="1"/>
      <c r="D52" s="1"/>
      <c r="E52" s="1"/>
      <c r="F52" s="1"/>
      <c r="G52" s="1"/>
      <c r="H52" s="1"/>
      <c r="I52" s="1"/>
    </row>
    <row r="53" spans="1:9" ht="15">
      <c r="A53" s="1"/>
      <c r="B53" s="1"/>
      <c r="C53" s="1"/>
      <c r="D53" s="1"/>
      <c r="E53" s="1"/>
      <c r="F53" s="1"/>
      <c r="G53" s="1"/>
      <c r="H53" s="1"/>
      <c r="I53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  <legacyDrawing r:id="rId2"/>
  <oleObjects>
    <oleObject progId="Equation.3" shapeId="1026" r:id="rId3"/>
    <oleObject progId="Equation.3" shapeId="1025" r:id="rId4"/>
  </oleObjects>
</worksheet>
</file>

<file path=xl/worksheets/sheet4.xml><?xml version="1.0" encoding="utf-8"?>
<worksheet xmlns="http://schemas.openxmlformats.org/spreadsheetml/2006/main" xmlns:r="http://schemas.openxmlformats.org/officeDocument/2006/relationships">
  <dimension ref="A1:J89"/>
  <sheetViews>
    <sheetView zoomScaleNormal="100" workbookViewId="0"/>
  </sheetViews>
  <sheetFormatPr defaultRowHeight="12.75"/>
  <cols>
    <col min="2" max="2" width="3.140625" customWidth="1"/>
    <col min="3" max="3" width="21.42578125" bestFit="1" customWidth="1"/>
    <col min="4" max="4" width="18.140625" customWidth="1"/>
    <col min="5" max="5" width="3" customWidth="1"/>
    <col min="6" max="6" width="18.140625" customWidth="1"/>
    <col min="7" max="7" width="3.140625" customWidth="1"/>
    <col min="8" max="8" width="18.140625" customWidth="1"/>
    <col min="9" max="9" width="3.140625" customWidth="1"/>
  </cols>
  <sheetData>
    <row r="1" spans="1:10" ht="18">
      <c r="A1" s="1"/>
      <c r="B1" s="1"/>
      <c r="C1" s="139" t="s">
        <v>313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17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3" t="s">
        <v>1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">
      <c r="A6" s="1"/>
      <c r="B6" s="4"/>
      <c r="C6" s="5"/>
      <c r="D6" s="6"/>
      <c r="E6" s="7"/>
      <c r="F6" s="1"/>
      <c r="G6" s="1"/>
      <c r="H6" s="1"/>
      <c r="I6" s="1"/>
      <c r="J6" s="1"/>
    </row>
    <row r="7" spans="1:10" ht="15">
      <c r="A7" s="1"/>
      <c r="B7" s="8"/>
      <c r="C7" s="85" t="s">
        <v>129</v>
      </c>
      <c r="D7" s="26"/>
      <c r="E7" s="10"/>
      <c r="F7" s="1"/>
      <c r="G7" s="1"/>
      <c r="H7" s="1"/>
      <c r="I7" s="1"/>
      <c r="J7" s="1"/>
    </row>
    <row r="8" spans="1:10" ht="15">
      <c r="A8" s="1"/>
      <c r="B8" s="8"/>
      <c r="C8" s="9" t="s">
        <v>135</v>
      </c>
      <c r="D8" s="82">
        <f ca="1">'#1'!D7</f>
        <v>275000</v>
      </c>
      <c r="E8" s="10"/>
      <c r="F8" s="1"/>
      <c r="G8" s="1"/>
      <c r="H8" s="1"/>
      <c r="I8" s="1"/>
      <c r="J8" s="1"/>
    </row>
    <row r="9" spans="1:10" ht="15">
      <c r="A9" s="1"/>
      <c r="B9" s="8"/>
      <c r="C9" s="9"/>
      <c r="D9" s="26"/>
      <c r="E9" s="10"/>
      <c r="F9" s="1"/>
      <c r="G9" s="1"/>
      <c r="H9" s="1"/>
      <c r="I9" s="1"/>
      <c r="J9" s="1"/>
    </row>
    <row r="10" spans="1:10" ht="15">
      <c r="A10" s="1"/>
      <c r="B10" s="8"/>
      <c r="C10" s="85" t="s">
        <v>130</v>
      </c>
      <c r="D10" s="27"/>
      <c r="E10" s="10"/>
      <c r="F10" s="1"/>
      <c r="G10" s="1"/>
      <c r="H10" s="1"/>
      <c r="I10" s="1"/>
      <c r="J10" s="1"/>
    </row>
    <row r="11" spans="1:10" ht="15">
      <c r="A11" s="1"/>
      <c r="B11" s="8"/>
      <c r="C11" s="9" t="s">
        <v>136</v>
      </c>
      <c r="D11" s="86">
        <f ca="1">'#1'!D7-'#1'!D11</f>
        <v>176000</v>
      </c>
      <c r="E11" s="10"/>
      <c r="F11" s="1"/>
      <c r="G11" s="1"/>
      <c r="H11" s="1"/>
      <c r="I11" s="1"/>
      <c r="J11" s="1"/>
    </row>
    <row r="12" spans="1:10" ht="15.75" thickBot="1">
      <c r="A12" s="1"/>
      <c r="B12" s="11"/>
      <c r="C12" s="12"/>
      <c r="D12" s="13"/>
      <c r="E12" s="14"/>
      <c r="F12" s="1"/>
      <c r="G12" s="1"/>
      <c r="H12" s="1"/>
      <c r="I12" s="1"/>
      <c r="J12" s="1"/>
    </row>
    <row r="13" spans="1:10" ht="15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5">
      <c r="A14" s="1"/>
      <c r="B14" s="1"/>
      <c r="C14" s="3" t="s">
        <v>2</v>
      </c>
      <c r="D14" s="1"/>
      <c r="E14" s="1"/>
      <c r="F14" s="1"/>
      <c r="G14" s="1"/>
      <c r="H14" s="1"/>
      <c r="I14" s="1"/>
      <c r="J14" s="1"/>
    </row>
    <row r="15" spans="1:10" ht="15.75" thickBot="1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15">
      <c r="A16" s="1"/>
      <c r="B16" s="87"/>
      <c r="C16" s="16"/>
      <c r="D16" s="16"/>
      <c r="E16" s="16"/>
      <c r="F16" s="16"/>
      <c r="G16" s="16"/>
      <c r="H16" s="16"/>
      <c r="I16" s="17"/>
      <c r="J16" s="1"/>
    </row>
    <row r="17" spans="1:10" ht="15.75">
      <c r="A17" s="1"/>
      <c r="B17" s="88" t="s">
        <v>137</v>
      </c>
      <c r="C17" s="22" t="s">
        <v>18</v>
      </c>
      <c r="D17" s="99">
        <f ca="1">'#1'!D22/'#3'!D8</f>
        <v>4.581818181818182E-2</v>
      </c>
      <c r="E17" s="99"/>
      <c r="F17" s="99">
        <f ca="1">'#1'!F22/'#3'!D8</f>
        <v>7.636363636363637E-2</v>
      </c>
      <c r="G17" s="99"/>
      <c r="H17" s="99">
        <f ca="1">'#1'!H22/'#3'!D8</f>
        <v>9.5454545454545459E-2</v>
      </c>
      <c r="I17" s="19"/>
      <c r="J17" s="1"/>
    </row>
    <row r="18" spans="1:10" ht="15.75">
      <c r="A18" s="1"/>
      <c r="B18" s="88"/>
      <c r="C18" s="22" t="s">
        <v>19</v>
      </c>
      <c r="D18" s="89">
        <f ca="1">(D17-F17)/F17</f>
        <v>-0.4</v>
      </c>
      <c r="E18" s="89"/>
      <c r="F18" s="89">
        <f ca="1">(F17-F17)/F17</f>
        <v>0</v>
      </c>
      <c r="G18" s="89"/>
      <c r="H18" s="89">
        <f ca="1">(H17-F17)/F17</f>
        <v>0.24999999999999994</v>
      </c>
      <c r="I18" s="19"/>
      <c r="J18" s="1"/>
    </row>
    <row r="19" spans="1:10" ht="15.75">
      <c r="A19" s="1"/>
      <c r="B19" s="88"/>
      <c r="C19" s="22"/>
      <c r="D19" s="46"/>
      <c r="E19" s="46"/>
      <c r="F19" s="46"/>
      <c r="G19" s="46"/>
      <c r="H19" s="46"/>
      <c r="I19" s="19"/>
      <c r="J19" s="1"/>
    </row>
    <row r="20" spans="1:10" ht="15.75">
      <c r="A20" s="1"/>
      <c r="B20" s="88" t="s">
        <v>138</v>
      </c>
      <c r="C20" s="22" t="s">
        <v>18</v>
      </c>
      <c r="D20" s="99">
        <f ca="1">'#1'!D32/$D$11</f>
        <v>2.6590909090909092E-2</v>
      </c>
      <c r="E20" s="99"/>
      <c r="F20" s="99">
        <f ca="1">'#1'!F32/$D$11</f>
        <v>7.4318181818181825E-2</v>
      </c>
      <c r="G20" s="99"/>
      <c r="H20" s="99">
        <f ca="1">'#1'!H32/$D$11</f>
        <v>0.10414772727272727</v>
      </c>
      <c r="I20" s="19"/>
      <c r="J20" s="1"/>
    </row>
    <row r="21" spans="1:10" ht="15.75">
      <c r="A21" s="1"/>
      <c r="B21" s="88"/>
      <c r="C21" s="22" t="s">
        <v>20</v>
      </c>
      <c r="D21" s="89">
        <f>(D20-F20)/F20</f>
        <v>-0.64220183486238525</v>
      </c>
      <c r="E21" s="89"/>
      <c r="F21" s="89">
        <f>(F20-F20)/F20</f>
        <v>0</v>
      </c>
      <c r="G21" s="89"/>
      <c r="H21" s="89">
        <f>(H20-F20)/F20</f>
        <v>0.40137614678899064</v>
      </c>
      <c r="I21" s="19"/>
      <c r="J21" s="1"/>
    </row>
    <row r="22" spans="1:10" ht="15.75">
      <c r="A22" s="1"/>
      <c r="B22" s="88"/>
      <c r="C22" s="22"/>
      <c r="D22" s="90"/>
      <c r="E22" s="90"/>
      <c r="F22" s="90"/>
      <c r="G22" s="90"/>
      <c r="H22" s="90"/>
      <c r="I22" s="19"/>
      <c r="J22" s="1"/>
    </row>
    <row r="23" spans="1:10" ht="15.75">
      <c r="A23" s="1"/>
      <c r="B23" s="88" t="s">
        <v>139</v>
      </c>
      <c r="C23" s="79" t="s">
        <v>129</v>
      </c>
      <c r="D23" s="90"/>
      <c r="E23" s="90"/>
      <c r="F23" s="90"/>
      <c r="G23" s="90"/>
      <c r="H23" s="90"/>
      <c r="I23" s="19"/>
      <c r="J23" s="1"/>
    </row>
    <row r="24" spans="1:10" ht="15.75">
      <c r="A24" s="1"/>
      <c r="B24" s="88"/>
      <c r="C24" s="22" t="s">
        <v>21</v>
      </c>
      <c r="D24" s="99">
        <f ca="1">'#2'!D24/$D$8</f>
        <v>2.978181818181818E-2</v>
      </c>
      <c r="E24" s="99"/>
      <c r="F24" s="99">
        <f ca="1">'#2'!F24/$D$8</f>
        <v>4.9636363636363638E-2</v>
      </c>
      <c r="G24" s="99"/>
      <c r="H24" s="99">
        <f ca="1">'#2'!H24/$D$8</f>
        <v>6.2045454545454543E-2</v>
      </c>
      <c r="I24" s="19"/>
      <c r="J24" s="1"/>
    </row>
    <row r="25" spans="1:10" ht="15.75">
      <c r="A25" s="1"/>
      <c r="B25" s="88"/>
      <c r="C25" s="22" t="s">
        <v>20</v>
      </c>
      <c r="D25" s="89">
        <f>(D24-F24)/F24</f>
        <v>-0.40000000000000008</v>
      </c>
      <c r="E25" s="89"/>
      <c r="F25" s="89">
        <f>(F24-F24)/F24</f>
        <v>0</v>
      </c>
      <c r="G25" s="89"/>
      <c r="H25" s="89">
        <f>(H24-F24)/F24</f>
        <v>0.24999999999999989</v>
      </c>
      <c r="I25" s="19"/>
      <c r="J25" s="1"/>
    </row>
    <row r="26" spans="1:10" ht="15.75">
      <c r="A26" s="1"/>
      <c r="B26" s="88"/>
      <c r="C26" s="22"/>
      <c r="D26" s="90"/>
      <c r="E26" s="90"/>
      <c r="F26" s="90"/>
      <c r="G26" s="90"/>
      <c r="H26" s="90"/>
      <c r="I26" s="19"/>
      <c r="J26" s="1"/>
    </row>
    <row r="27" spans="1:10" ht="15.75">
      <c r="A27" s="1"/>
      <c r="B27" s="88"/>
      <c r="C27" s="79" t="s">
        <v>130</v>
      </c>
      <c r="D27" s="90"/>
      <c r="E27" s="90"/>
      <c r="F27" s="90"/>
      <c r="G27" s="90"/>
      <c r="H27" s="90"/>
      <c r="I27" s="19"/>
      <c r="J27" s="1"/>
    </row>
    <row r="28" spans="1:10" ht="15.75">
      <c r="A28" s="1"/>
      <c r="B28" s="88"/>
      <c r="C28" s="22" t="s">
        <v>22</v>
      </c>
      <c r="D28" s="99">
        <f ca="1">'#2'!D35/$D$11</f>
        <v>1.7284090909090909E-2</v>
      </c>
      <c r="E28" s="99"/>
      <c r="F28" s="99">
        <f ca="1">'#2'!F35/$D$11</f>
        <v>4.830681818181818E-2</v>
      </c>
      <c r="G28" s="99"/>
      <c r="H28" s="99">
        <f ca="1">'#2'!H35/$D$11</f>
        <v>6.7696022727272723E-2</v>
      </c>
      <c r="I28" s="19"/>
      <c r="J28" s="1"/>
    </row>
    <row r="29" spans="1:10" ht="15.75">
      <c r="A29" s="1"/>
      <c r="B29" s="88"/>
      <c r="C29" s="22" t="s">
        <v>20</v>
      </c>
      <c r="D29" s="89">
        <f>(D28-F28)/F28</f>
        <v>-0.64220183486238536</v>
      </c>
      <c r="E29" s="89"/>
      <c r="F29" s="89">
        <f>(F28-F28)/F28</f>
        <v>0</v>
      </c>
      <c r="G29" s="89"/>
      <c r="H29" s="89">
        <f>(H28-F28)/F28</f>
        <v>0.40137614678899081</v>
      </c>
      <c r="I29" s="19"/>
      <c r="J29" s="1"/>
    </row>
    <row r="30" spans="1:10" ht="15.75" thickBot="1">
      <c r="A30" s="1"/>
      <c r="B30" s="91"/>
      <c r="C30" s="23"/>
      <c r="D30" s="25"/>
      <c r="E30" s="30"/>
      <c r="F30" s="30"/>
      <c r="G30" s="30"/>
      <c r="H30" s="30"/>
      <c r="I30" s="21"/>
      <c r="J30" s="1"/>
    </row>
    <row r="31" spans="1:10" ht="1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5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ht="15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ht="15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ht="15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ht="15">
      <c r="A89" s="1"/>
      <c r="B89" s="1"/>
      <c r="C89" s="1"/>
      <c r="D89" s="1"/>
      <c r="E89" s="1"/>
      <c r="F89" s="1"/>
      <c r="G89" s="1"/>
      <c r="H89" s="1"/>
      <c r="I89" s="1"/>
      <c r="J89" s="1"/>
    </row>
  </sheetData>
  <phoneticPr fontId="18" type="noConversion"/>
  <pageMargins left="0.75" right="0.75" top="1" bottom="1" header="0.5" footer="0.5"/>
  <pageSetup scale="93" orientation="portrait" horizontalDpi="360" vertic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G89"/>
  <sheetViews>
    <sheetView workbookViewId="0"/>
  </sheetViews>
  <sheetFormatPr defaultRowHeight="12.75"/>
  <cols>
    <col min="2" max="2" width="3.140625" customWidth="1"/>
    <col min="3" max="3" width="21.42578125" bestFit="1" customWidth="1"/>
    <col min="4" max="4" width="18.140625" customWidth="1"/>
    <col min="5" max="5" width="3" customWidth="1"/>
    <col min="6" max="6" width="18.140625" customWidth="1"/>
    <col min="7" max="7" width="3.140625" customWidth="1"/>
  </cols>
  <sheetData>
    <row r="1" spans="1:7" ht="18">
      <c r="A1" s="1"/>
      <c r="B1" s="1"/>
      <c r="C1" s="139" t="s">
        <v>313</v>
      </c>
      <c r="D1" s="1"/>
      <c r="E1" s="1"/>
      <c r="F1" s="1"/>
      <c r="G1" s="1"/>
    </row>
    <row r="2" spans="1:7" ht="15">
      <c r="A2" s="1"/>
      <c r="B2" s="1"/>
      <c r="C2" s="1" t="s">
        <v>23</v>
      </c>
      <c r="D2" s="1"/>
      <c r="E2" s="1"/>
      <c r="F2" s="1"/>
      <c r="G2" s="1"/>
    </row>
    <row r="3" spans="1:7" ht="15">
      <c r="A3" s="1"/>
      <c r="B3" s="1"/>
      <c r="C3" s="1"/>
      <c r="D3" s="1"/>
      <c r="E3" s="1"/>
      <c r="F3" s="1"/>
      <c r="G3" s="1"/>
    </row>
    <row r="4" spans="1:7" ht="15">
      <c r="A4" s="1"/>
      <c r="B4" s="1"/>
      <c r="C4" s="3" t="s">
        <v>1</v>
      </c>
      <c r="D4" s="1"/>
      <c r="E4" s="1"/>
      <c r="F4" s="1"/>
      <c r="G4" s="1"/>
    </row>
    <row r="5" spans="1:7" ht="15.75" thickBot="1">
      <c r="A5" s="1"/>
      <c r="B5" s="1"/>
      <c r="C5" s="1"/>
      <c r="D5" s="1"/>
      <c r="E5" s="1"/>
      <c r="F5" s="1"/>
      <c r="G5" s="1"/>
    </row>
    <row r="6" spans="1:7" ht="15">
      <c r="A6" s="1"/>
      <c r="B6" s="4"/>
      <c r="C6" s="5"/>
      <c r="D6" s="6"/>
      <c r="E6" s="7"/>
      <c r="F6" s="1"/>
      <c r="G6" s="1"/>
    </row>
    <row r="7" spans="1:7" ht="15">
      <c r="A7" s="1"/>
      <c r="B7" s="8"/>
      <c r="C7" s="34" t="s">
        <v>24</v>
      </c>
      <c r="D7" s="75"/>
      <c r="E7" s="10"/>
      <c r="F7" s="1"/>
      <c r="G7" s="1"/>
    </row>
    <row r="8" spans="1:7" ht="15">
      <c r="A8" s="1"/>
      <c r="B8" s="8"/>
      <c r="C8" s="9" t="s">
        <v>7</v>
      </c>
      <c r="D8" s="77">
        <v>265000</v>
      </c>
      <c r="E8" s="10"/>
      <c r="F8" s="1"/>
      <c r="G8" s="1"/>
    </row>
    <row r="9" spans="1:7" ht="15">
      <c r="A9" s="1"/>
      <c r="B9" s="8"/>
      <c r="C9" s="9"/>
      <c r="D9" s="75"/>
      <c r="E9" s="10"/>
      <c r="F9" s="1"/>
      <c r="G9" s="1"/>
    </row>
    <row r="10" spans="1:7" ht="15">
      <c r="A10" s="1"/>
      <c r="B10" s="8"/>
      <c r="C10" s="34" t="s">
        <v>25</v>
      </c>
      <c r="D10" s="76"/>
      <c r="E10" s="10"/>
      <c r="F10" s="1"/>
      <c r="G10" s="1"/>
    </row>
    <row r="11" spans="1:7" ht="15">
      <c r="A11" s="1"/>
      <c r="B11" s="8"/>
      <c r="C11" s="9" t="s">
        <v>7</v>
      </c>
      <c r="D11" s="77">
        <v>185000</v>
      </c>
      <c r="E11" s="10"/>
      <c r="F11" s="1"/>
      <c r="G11" s="1"/>
    </row>
    <row r="12" spans="1:7" ht="15">
      <c r="A12" s="1"/>
      <c r="B12" s="8"/>
      <c r="C12" s="9" t="s">
        <v>26</v>
      </c>
      <c r="D12" s="75">
        <v>2800000</v>
      </c>
      <c r="E12" s="10"/>
      <c r="F12" s="1"/>
      <c r="G12" s="1"/>
    </row>
    <row r="13" spans="1:7" ht="15">
      <c r="A13" s="1"/>
      <c r="B13" s="8"/>
      <c r="C13" s="9" t="s">
        <v>6</v>
      </c>
      <c r="D13" s="76">
        <v>0.1</v>
      </c>
      <c r="E13" s="10"/>
      <c r="F13" s="1"/>
      <c r="G13" s="1"/>
    </row>
    <row r="14" spans="1:7" ht="15">
      <c r="A14" s="1"/>
      <c r="B14" s="8"/>
      <c r="C14" s="9"/>
      <c r="D14" s="105"/>
      <c r="E14" s="10"/>
      <c r="F14" s="1"/>
      <c r="G14" s="1"/>
    </row>
    <row r="15" spans="1:7" ht="15">
      <c r="A15" s="1"/>
      <c r="B15" s="106" t="s">
        <v>137</v>
      </c>
      <c r="C15" s="9" t="s">
        <v>4</v>
      </c>
      <c r="D15" s="75">
        <v>750000</v>
      </c>
      <c r="E15" s="10"/>
      <c r="F15" s="1"/>
      <c r="G15" s="1"/>
    </row>
    <row r="16" spans="1:7" ht="15">
      <c r="A16" s="1"/>
      <c r="B16" s="106" t="s">
        <v>138</v>
      </c>
      <c r="C16" s="9" t="s">
        <v>4</v>
      </c>
      <c r="D16" s="75">
        <v>1500000</v>
      </c>
      <c r="E16" s="10"/>
      <c r="F16" s="1"/>
      <c r="G16" s="1"/>
    </row>
    <row r="17" spans="1:7" ht="15.75" thickBot="1">
      <c r="A17" s="1"/>
      <c r="B17" s="11"/>
      <c r="C17" s="12"/>
      <c r="D17" s="107"/>
      <c r="E17" s="14"/>
      <c r="F17" s="1"/>
      <c r="G17" s="1"/>
    </row>
    <row r="18" spans="1:7" ht="15">
      <c r="A18" s="1"/>
      <c r="B18" s="1"/>
      <c r="C18" s="1"/>
      <c r="D18" s="1"/>
      <c r="E18" s="1"/>
      <c r="F18" s="1"/>
      <c r="G18" s="1"/>
    </row>
    <row r="19" spans="1:7" ht="15">
      <c r="A19" s="1"/>
      <c r="B19" s="1"/>
      <c r="C19" s="3" t="s">
        <v>2</v>
      </c>
      <c r="D19" s="1"/>
      <c r="E19" s="1"/>
      <c r="F19" s="1"/>
      <c r="G19" s="1"/>
    </row>
    <row r="20" spans="1:7" ht="15.75" thickBot="1">
      <c r="A20" s="1"/>
      <c r="B20" s="1"/>
      <c r="C20" s="1"/>
      <c r="D20" s="1"/>
      <c r="E20" s="1"/>
      <c r="F20" s="1"/>
      <c r="G20" s="1"/>
    </row>
    <row r="21" spans="1:7" ht="15">
      <c r="A21" s="1"/>
      <c r="B21" s="15"/>
      <c r="C21" s="16"/>
      <c r="D21" s="16"/>
      <c r="E21" s="16"/>
      <c r="F21" s="16"/>
      <c r="G21" s="17"/>
    </row>
    <row r="22" spans="1:7" ht="15">
      <c r="A22" s="1"/>
      <c r="B22" s="88" t="s">
        <v>137</v>
      </c>
      <c r="C22" s="22"/>
      <c r="D22" s="41" t="s">
        <v>11</v>
      </c>
      <c r="E22" s="41"/>
      <c r="F22" s="41" t="s">
        <v>12</v>
      </c>
      <c r="G22" s="38"/>
    </row>
    <row r="23" spans="1:7" ht="15.75">
      <c r="A23" s="1"/>
      <c r="B23" s="88"/>
      <c r="C23" s="40" t="s">
        <v>27</v>
      </c>
      <c r="D23" s="92">
        <f>D15</f>
        <v>750000</v>
      </c>
      <c r="E23" s="31"/>
      <c r="F23" s="52">
        <f>D23/D8</f>
        <v>2.8301886792452828</v>
      </c>
      <c r="G23" s="38"/>
    </row>
    <row r="24" spans="1:7" ht="15.75">
      <c r="A24" s="1"/>
      <c r="B24" s="88"/>
      <c r="C24" s="40" t="s">
        <v>28</v>
      </c>
      <c r="D24" s="92">
        <f>D15-(D13*D12)</f>
        <v>470000</v>
      </c>
      <c r="E24" s="31"/>
      <c r="F24" s="52">
        <f>D24/D11</f>
        <v>2.5405405405405403</v>
      </c>
      <c r="G24" s="38"/>
    </row>
    <row r="25" spans="1:7" ht="15">
      <c r="A25" s="1"/>
      <c r="B25" s="88"/>
      <c r="C25" s="22"/>
      <c r="D25" s="31"/>
      <c r="E25" s="31"/>
      <c r="F25" s="32"/>
      <c r="G25" s="38"/>
    </row>
    <row r="26" spans="1:7" ht="15.75">
      <c r="A26" s="1"/>
      <c r="B26" s="88" t="s">
        <v>138</v>
      </c>
      <c r="C26" s="40" t="s">
        <v>27</v>
      </c>
      <c r="D26" s="108">
        <f>D16</f>
        <v>1500000</v>
      </c>
      <c r="E26" s="33"/>
      <c r="F26" s="109">
        <f>D16/D8</f>
        <v>5.6603773584905657</v>
      </c>
      <c r="G26" s="39"/>
    </row>
    <row r="27" spans="1:7" ht="15.75">
      <c r="A27" s="1"/>
      <c r="B27" s="88"/>
      <c r="C27" s="40" t="s">
        <v>28</v>
      </c>
      <c r="D27" s="110">
        <f>D16-(D13*D12)</f>
        <v>1220000</v>
      </c>
      <c r="E27" s="29"/>
      <c r="F27" s="109">
        <f>D27/D11</f>
        <v>6.5945945945945947</v>
      </c>
      <c r="G27" s="19"/>
    </row>
    <row r="28" spans="1:7" ht="15">
      <c r="A28" s="1"/>
      <c r="B28" s="88"/>
      <c r="C28" s="22"/>
      <c r="D28" s="24"/>
      <c r="E28" s="29"/>
      <c r="F28" s="29"/>
      <c r="G28" s="19"/>
    </row>
    <row r="29" spans="1:7" ht="15.75">
      <c r="A29" s="1"/>
      <c r="B29" s="88" t="s">
        <v>139</v>
      </c>
      <c r="C29" s="22" t="s">
        <v>314</v>
      </c>
      <c r="D29" s="24"/>
      <c r="E29" s="29"/>
      <c r="F29" s="140">
        <f>(D8*D13*D12)/(D8-D11)</f>
        <v>927500</v>
      </c>
      <c r="G29" s="19"/>
    </row>
    <row r="30" spans="1:7" ht="15.75" thickBot="1">
      <c r="A30" s="1"/>
      <c r="B30" s="91"/>
      <c r="C30" s="23"/>
      <c r="D30" s="25"/>
      <c r="E30" s="30"/>
      <c r="F30" s="30"/>
      <c r="G30" s="21"/>
    </row>
    <row r="31" spans="1:7" ht="15">
      <c r="A31" s="1"/>
      <c r="B31" s="1"/>
      <c r="C31" s="1"/>
      <c r="D31" s="1"/>
      <c r="E31" s="1"/>
      <c r="F31" s="1"/>
      <c r="G31" s="1"/>
    </row>
    <row r="32" spans="1:7" ht="15">
      <c r="A32" s="1"/>
      <c r="B32" s="1"/>
      <c r="C32" s="1"/>
      <c r="D32" s="1"/>
      <c r="E32" s="1"/>
      <c r="F32" s="1"/>
      <c r="G32" s="1"/>
    </row>
    <row r="33" spans="1:7" ht="15">
      <c r="A33" s="1"/>
      <c r="B33" s="1"/>
      <c r="C33" s="1"/>
      <c r="D33" s="1"/>
      <c r="E33" s="1"/>
      <c r="F33" s="1"/>
      <c r="G33" s="1"/>
    </row>
    <row r="34" spans="1:7" ht="15">
      <c r="A34" s="1"/>
      <c r="B34" s="1"/>
      <c r="C34" s="1"/>
      <c r="D34" s="1"/>
      <c r="E34" s="1"/>
      <c r="F34" s="1"/>
      <c r="G34" s="1"/>
    </row>
    <row r="35" spans="1:7" ht="15">
      <c r="A35" s="1"/>
      <c r="B35" s="1"/>
      <c r="C35" s="1"/>
      <c r="D35" s="1"/>
      <c r="E35" s="1"/>
      <c r="F35" s="1"/>
      <c r="G35" s="1"/>
    </row>
    <row r="36" spans="1:7" ht="15">
      <c r="A36" s="1"/>
      <c r="B36" s="1"/>
      <c r="C36" s="1"/>
      <c r="D36" s="1"/>
      <c r="E36" s="1"/>
      <c r="F36" s="1"/>
      <c r="G36" s="1"/>
    </row>
    <row r="37" spans="1:7" ht="15">
      <c r="A37" s="1"/>
      <c r="B37" s="1"/>
      <c r="C37" s="1"/>
      <c r="D37" s="1"/>
      <c r="E37" s="1"/>
      <c r="F37" s="1"/>
      <c r="G37" s="1"/>
    </row>
    <row r="38" spans="1:7" ht="15">
      <c r="A38" s="1"/>
      <c r="B38" s="1"/>
      <c r="C38" s="1"/>
      <c r="D38" s="1"/>
      <c r="E38" s="1"/>
      <c r="F38" s="1"/>
      <c r="G38" s="1"/>
    </row>
    <row r="39" spans="1:7" ht="15">
      <c r="A39" s="1"/>
      <c r="B39" s="1"/>
      <c r="C39" s="1"/>
      <c r="D39" s="1"/>
      <c r="E39" s="1"/>
      <c r="F39" s="1"/>
      <c r="G39" s="1"/>
    </row>
    <row r="40" spans="1:7" ht="15">
      <c r="A40" s="1"/>
      <c r="B40" s="1"/>
      <c r="C40" s="1"/>
      <c r="D40" s="1"/>
      <c r="E40" s="1"/>
      <c r="F40" s="1"/>
      <c r="G40" s="1"/>
    </row>
    <row r="41" spans="1:7" ht="15">
      <c r="A41" s="1"/>
      <c r="B41" s="1"/>
      <c r="C41" s="1"/>
      <c r="D41" s="1"/>
      <c r="E41" s="1"/>
      <c r="F41" s="1"/>
      <c r="G41" s="1"/>
    </row>
    <row r="42" spans="1:7" ht="15">
      <c r="A42" s="1"/>
      <c r="B42" s="1"/>
      <c r="C42" s="1"/>
      <c r="D42" s="1"/>
      <c r="E42" s="1"/>
      <c r="F42" s="1"/>
      <c r="G42" s="1"/>
    </row>
    <row r="43" spans="1:7" ht="15">
      <c r="A43" s="1"/>
      <c r="B43" s="1"/>
      <c r="C43" s="1"/>
      <c r="D43" s="1"/>
      <c r="E43" s="1"/>
      <c r="F43" s="1"/>
      <c r="G43" s="1"/>
    </row>
    <row r="44" spans="1:7" ht="15">
      <c r="A44" s="1"/>
      <c r="B44" s="1"/>
      <c r="C44" s="1"/>
      <c r="D44" s="1"/>
      <c r="E44" s="1"/>
      <c r="F44" s="1"/>
      <c r="G44" s="1"/>
    </row>
    <row r="45" spans="1:7" ht="15">
      <c r="A45" s="1"/>
      <c r="B45" s="1"/>
      <c r="C45" s="1"/>
      <c r="D45" s="1"/>
      <c r="E45" s="1"/>
      <c r="F45" s="1"/>
      <c r="G45" s="1"/>
    </row>
    <row r="46" spans="1:7" ht="15">
      <c r="A46" s="1"/>
      <c r="B46" s="1"/>
      <c r="C46" s="1"/>
      <c r="D46" s="1"/>
      <c r="E46" s="1"/>
      <c r="F46" s="1"/>
      <c r="G46" s="1"/>
    </row>
    <row r="47" spans="1:7" ht="15">
      <c r="A47" s="1"/>
      <c r="B47" s="1"/>
      <c r="C47" s="1"/>
      <c r="D47" s="1"/>
      <c r="E47" s="1"/>
      <c r="F47" s="1"/>
      <c r="G47" s="1"/>
    </row>
    <row r="48" spans="1:7" ht="15">
      <c r="A48" s="1"/>
      <c r="B48" s="1"/>
      <c r="C48" s="1"/>
      <c r="D48" s="1"/>
      <c r="E48" s="1"/>
      <c r="F48" s="1"/>
      <c r="G48" s="1"/>
    </row>
    <row r="49" spans="1:7" ht="15">
      <c r="A49" s="1"/>
      <c r="B49" s="1"/>
      <c r="C49" s="1"/>
      <c r="D49" s="1"/>
      <c r="E49" s="1"/>
      <c r="F49" s="1"/>
      <c r="G49" s="1"/>
    </row>
    <row r="50" spans="1:7" ht="15">
      <c r="A50" s="1"/>
      <c r="B50" s="1"/>
      <c r="C50" s="1"/>
      <c r="D50" s="1"/>
      <c r="E50" s="1"/>
      <c r="F50" s="1"/>
      <c r="G50" s="1"/>
    </row>
    <row r="51" spans="1:7" ht="15">
      <c r="A51" s="1"/>
      <c r="B51" s="1"/>
      <c r="C51" s="1"/>
      <c r="D51" s="1"/>
      <c r="E51" s="1"/>
      <c r="F51" s="1"/>
      <c r="G51" s="1"/>
    </row>
    <row r="52" spans="1:7" ht="15">
      <c r="A52" s="1"/>
      <c r="B52" s="1"/>
      <c r="C52" s="1"/>
      <c r="D52" s="1"/>
      <c r="E52" s="1"/>
      <c r="F52" s="1"/>
      <c r="G52" s="1"/>
    </row>
    <row r="53" spans="1:7" ht="15">
      <c r="A53" s="1"/>
      <c r="B53" s="1"/>
      <c r="C53" s="1"/>
      <c r="D53" s="1"/>
      <c r="E53" s="1"/>
      <c r="F53" s="1"/>
      <c r="G53" s="1"/>
    </row>
    <row r="54" spans="1:7" ht="15">
      <c r="A54" s="1"/>
      <c r="B54" s="1"/>
      <c r="C54" s="1"/>
      <c r="D54" s="1"/>
      <c r="E54" s="1"/>
      <c r="F54" s="1"/>
      <c r="G54" s="1"/>
    </row>
    <row r="55" spans="1:7" ht="15">
      <c r="A55" s="1"/>
      <c r="B55" s="1"/>
      <c r="C55" s="1"/>
      <c r="D55" s="1"/>
      <c r="E55" s="1"/>
      <c r="F55" s="1"/>
      <c r="G55" s="1"/>
    </row>
    <row r="56" spans="1:7" ht="15">
      <c r="A56" s="1"/>
      <c r="B56" s="1"/>
      <c r="C56" s="1"/>
      <c r="D56" s="1"/>
      <c r="E56" s="1"/>
      <c r="F56" s="1"/>
      <c r="G56" s="1"/>
    </row>
    <row r="57" spans="1:7" ht="15">
      <c r="A57" s="1"/>
      <c r="B57" s="1"/>
      <c r="C57" s="1"/>
      <c r="D57" s="1"/>
      <c r="E57" s="1"/>
      <c r="F57" s="1"/>
      <c r="G57" s="1"/>
    </row>
    <row r="58" spans="1:7" ht="15">
      <c r="A58" s="1"/>
      <c r="B58" s="1"/>
      <c r="C58" s="1"/>
      <c r="D58" s="1"/>
      <c r="E58" s="1"/>
      <c r="F58" s="1"/>
      <c r="G58" s="1"/>
    </row>
    <row r="59" spans="1:7" ht="15">
      <c r="A59" s="1"/>
      <c r="B59" s="1"/>
      <c r="C59" s="1"/>
      <c r="D59" s="1"/>
      <c r="E59" s="1"/>
      <c r="F59" s="1"/>
      <c r="G59" s="1"/>
    </row>
    <row r="60" spans="1:7" ht="15">
      <c r="A60" s="1"/>
      <c r="B60" s="1"/>
      <c r="C60" s="1"/>
      <c r="D60" s="1"/>
      <c r="E60" s="1"/>
      <c r="F60" s="1"/>
      <c r="G60" s="1"/>
    </row>
    <row r="61" spans="1:7" ht="15">
      <c r="A61" s="1"/>
      <c r="B61" s="1"/>
      <c r="C61" s="1"/>
      <c r="D61" s="1"/>
      <c r="E61" s="1"/>
      <c r="F61" s="1"/>
      <c r="G61" s="1"/>
    </row>
    <row r="62" spans="1:7" ht="15">
      <c r="A62" s="1"/>
      <c r="B62" s="1"/>
      <c r="C62" s="1"/>
      <c r="D62" s="1"/>
      <c r="E62" s="1"/>
      <c r="F62" s="1"/>
      <c r="G62" s="1"/>
    </row>
    <row r="63" spans="1:7" ht="15">
      <c r="A63" s="1"/>
      <c r="B63" s="1"/>
      <c r="C63" s="1"/>
      <c r="D63" s="1"/>
      <c r="E63" s="1"/>
      <c r="F63" s="1"/>
      <c r="G63" s="1"/>
    </row>
    <row r="64" spans="1:7" ht="15">
      <c r="A64" s="1"/>
      <c r="B64" s="1"/>
      <c r="C64" s="1"/>
      <c r="D64" s="1"/>
      <c r="E64" s="1"/>
      <c r="F64" s="1"/>
      <c r="G64" s="1"/>
    </row>
    <row r="65" spans="1:7" ht="15">
      <c r="A65" s="1"/>
      <c r="B65" s="1"/>
      <c r="C65" s="1"/>
      <c r="D65" s="1"/>
      <c r="E65" s="1"/>
      <c r="F65" s="1"/>
      <c r="G65" s="1"/>
    </row>
    <row r="66" spans="1:7" ht="15">
      <c r="A66" s="1"/>
      <c r="B66" s="1"/>
      <c r="C66" s="1"/>
      <c r="D66" s="1"/>
      <c r="E66" s="1"/>
      <c r="F66" s="1"/>
      <c r="G66" s="1"/>
    </row>
    <row r="67" spans="1:7" ht="15">
      <c r="A67" s="1"/>
      <c r="B67" s="1"/>
      <c r="C67" s="1"/>
      <c r="D67" s="1"/>
      <c r="E67" s="1"/>
      <c r="F67" s="1"/>
      <c r="G67" s="1"/>
    </row>
    <row r="68" spans="1:7" ht="15">
      <c r="A68" s="1"/>
      <c r="B68" s="1"/>
      <c r="C68" s="1"/>
      <c r="D68" s="1"/>
      <c r="E68" s="1"/>
      <c r="F68" s="1"/>
      <c r="G68" s="1"/>
    </row>
    <row r="69" spans="1:7" ht="15">
      <c r="A69" s="1"/>
      <c r="B69" s="1"/>
      <c r="C69" s="1"/>
      <c r="D69" s="1"/>
      <c r="E69" s="1"/>
      <c r="F69" s="1"/>
      <c r="G69" s="1"/>
    </row>
    <row r="70" spans="1:7" ht="15">
      <c r="A70" s="1"/>
      <c r="B70" s="1"/>
      <c r="C70" s="1"/>
      <c r="D70" s="1"/>
      <c r="E70" s="1"/>
      <c r="F70" s="1"/>
      <c r="G70" s="1"/>
    </row>
    <row r="71" spans="1:7" ht="15">
      <c r="A71" s="1"/>
      <c r="B71" s="1"/>
      <c r="C71" s="1"/>
      <c r="D71" s="1"/>
      <c r="E71" s="1"/>
      <c r="F71" s="1"/>
      <c r="G71" s="1"/>
    </row>
    <row r="72" spans="1:7" ht="15">
      <c r="A72" s="1"/>
      <c r="B72" s="1"/>
      <c r="C72" s="1"/>
      <c r="D72" s="1"/>
      <c r="E72" s="1"/>
      <c r="F72" s="1"/>
      <c r="G72" s="1"/>
    </row>
    <row r="73" spans="1:7" ht="15">
      <c r="A73" s="1"/>
      <c r="B73" s="1"/>
      <c r="C73" s="1"/>
      <c r="D73" s="1"/>
      <c r="E73" s="1"/>
      <c r="F73" s="1"/>
      <c r="G73" s="1"/>
    </row>
    <row r="74" spans="1:7" ht="15">
      <c r="A74" s="1"/>
      <c r="B74" s="1"/>
      <c r="C74" s="1"/>
      <c r="D74" s="1"/>
      <c r="E74" s="1"/>
      <c r="F74" s="1"/>
      <c r="G74" s="1"/>
    </row>
    <row r="75" spans="1:7" ht="15">
      <c r="A75" s="1"/>
      <c r="B75" s="1"/>
      <c r="C75" s="1"/>
      <c r="D75" s="1"/>
      <c r="E75" s="1"/>
      <c r="F75" s="1"/>
      <c r="G75" s="1"/>
    </row>
    <row r="76" spans="1:7" ht="15">
      <c r="A76" s="1"/>
      <c r="B76" s="1"/>
      <c r="C76" s="1"/>
      <c r="D76" s="1"/>
      <c r="E76" s="1"/>
      <c r="F76" s="1"/>
      <c r="G76" s="1"/>
    </row>
    <row r="77" spans="1:7" ht="15">
      <c r="A77" s="1"/>
      <c r="B77" s="1"/>
      <c r="C77" s="1"/>
      <c r="D77" s="1"/>
      <c r="E77" s="1"/>
      <c r="F77" s="1"/>
      <c r="G77" s="1"/>
    </row>
    <row r="78" spans="1:7" ht="15">
      <c r="A78" s="1"/>
      <c r="B78" s="1"/>
      <c r="C78" s="1"/>
      <c r="D78" s="1"/>
      <c r="E78" s="1"/>
      <c r="F78" s="1"/>
      <c r="G78" s="1"/>
    </row>
    <row r="79" spans="1:7" ht="15">
      <c r="A79" s="1"/>
      <c r="B79" s="1"/>
      <c r="C79" s="1"/>
      <c r="D79" s="1"/>
      <c r="E79" s="1"/>
      <c r="F79" s="1"/>
      <c r="G79" s="1"/>
    </row>
    <row r="80" spans="1:7" ht="15">
      <c r="A80" s="1"/>
      <c r="B80" s="1"/>
      <c r="C80" s="1"/>
      <c r="D80" s="1"/>
      <c r="E80" s="1"/>
      <c r="F80" s="1"/>
      <c r="G80" s="1"/>
    </row>
    <row r="81" spans="1:7" ht="15">
      <c r="A81" s="1"/>
      <c r="B81" s="1"/>
      <c r="C81" s="1"/>
      <c r="D81" s="1"/>
      <c r="E81" s="1"/>
      <c r="F81" s="1"/>
      <c r="G81" s="1"/>
    </row>
    <row r="82" spans="1:7" ht="15">
      <c r="A82" s="1"/>
      <c r="B82" s="1"/>
      <c r="C82" s="1"/>
      <c r="D82" s="1"/>
      <c r="E82" s="1"/>
      <c r="F82" s="1"/>
      <c r="G82" s="1"/>
    </row>
    <row r="83" spans="1:7" ht="15">
      <c r="A83" s="1"/>
      <c r="B83" s="1"/>
      <c r="C83" s="1"/>
      <c r="D83" s="1"/>
      <c r="E83" s="1"/>
      <c r="F83" s="1"/>
      <c r="G83" s="1"/>
    </row>
    <row r="84" spans="1:7" ht="15">
      <c r="A84" s="1"/>
      <c r="B84" s="1"/>
      <c r="C84" s="1"/>
      <c r="D84" s="1"/>
      <c r="E84" s="1"/>
      <c r="F84" s="1"/>
      <c r="G84" s="1"/>
    </row>
    <row r="85" spans="1:7" ht="15">
      <c r="A85" s="1"/>
      <c r="B85" s="1"/>
      <c r="C85" s="1"/>
      <c r="D85" s="1"/>
      <c r="E85" s="1"/>
      <c r="F85" s="1"/>
      <c r="G85" s="1"/>
    </row>
    <row r="86" spans="1:7" ht="15">
      <c r="A86" s="1"/>
      <c r="B86" s="1"/>
      <c r="C86" s="1"/>
      <c r="D86" s="1"/>
      <c r="E86" s="1"/>
      <c r="F86" s="1"/>
      <c r="G86" s="1"/>
    </row>
    <row r="87" spans="1:7" ht="15">
      <c r="A87" s="1"/>
      <c r="B87" s="1"/>
      <c r="C87" s="1"/>
      <c r="D87" s="1"/>
      <c r="E87" s="1"/>
      <c r="F87" s="1"/>
      <c r="G87" s="1"/>
    </row>
    <row r="88" spans="1:7" ht="15">
      <c r="A88" s="1"/>
      <c r="B88" s="1"/>
      <c r="C88" s="1"/>
      <c r="D88" s="1"/>
      <c r="E88" s="1"/>
      <c r="F88" s="1"/>
      <c r="G88" s="1"/>
    </row>
    <row r="89" spans="1:7" ht="15">
      <c r="A89" s="1"/>
      <c r="B89" s="1"/>
      <c r="C89" s="1"/>
      <c r="D89" s="1"/>
      <c r="E89" s="1"/>
      <c r="F89" s="1"/>
      <c r="G89" s="1"/>
    </row>
  </sheetData>
  <phoneticPr fontId="18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J84"/>
  <sheetViews>
    <sheetView workbookViewId="0"/>
  </sheetViews>
  <sheetFormatPr defaultRowHeight="12.75"/>
  <cols>
    <col min="2" max="2" width="3.140625" customWidth="1"/>
    <col min="3" max="3" width="21.42578125" bestFit="1" customWidth="1"/>
    <col min="4" max="4" width="18.140625" customWidth="1"/>
    <col min="5" max="5" width="3" customWidth="1"/>
    <col min="6" max="6" width="18.140625" customWidth="1"/>
    <col min="7" max="7" width="3.140625" customWidth="1"/>
    <col min="8" max="8" width="18.140625" customWidth="1"/>
    <col min="9" max="9" width="3.140625" customWidth="1"/>
  </cols>
  <sheetData>
    <row r="1" spans="1:10" ht="18">
      <c r="A1" s="1"/>
      <c r="B1" s="1"/>
      <c r="C1" s="139" t="s">
        <v>313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29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3" t="s">
        <v>1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">
      <c r="A6" s="1"/>
      <c r="B6" s="4"/>
      <c r="C6" s="5"/>
      <c r="D6" s="6"/>
      <c r="E6" s="7"/>
      <c r="F6" s="1"/>
      <c r="G6" s="1"/>
      <c r="H6" s="1"/>
      <c r="I6" s="1"/>
      <c r="J6" s="1"/>
    </row>
    <row r="7" spans="1:10" ht="15">
      <c r="A7" s="1"/>
      <c r="B7" s="8"/>
      <c r="C7" s="34" t="s">
        <v>24</v>
      </c>
      <c r="D7" s="26"/>
      <c r="E7" s="10"/>
      <c r="F7" s="1"/>
      <c r="G7" s="1"/>
      <c r="H7" s="1"/>
      <c r="I7" s="1"/>
      <c r="J7" s="1"/>
    </row>
    <row r="8" spans="1:10" ht="15">
      <c r="A8" s="1"/>
      <c r="B8" s="8"/>
      <c r="C8" s="9" t="s">
        <v>7</v>
      </c>
      <c r="D8" s="84">
        <f ca="1">'#4'!D8</f>
        <v>265000</v>
      </c>
      <c r="E8" s="10"/>
      <c r="F8" s="1"/>
      <c r="G8" s="1"/>
      <c r="H8" s="1"/>
      <c r="I8" s="1"/>
      <c r="J8" s="1"/>
    </row>
    <row r="9" spans="1:10" ht="15">
      <c r="A9" s="1"/>
      <c r="B9" s="8"/>
      <c r="C9" s="9"/>
      <c r="D9" s="82"/>
      <c r="E9" s="10"/>
      <c r="F9" s="1"/>
      <c r="G9" s="1"/>
      <c r="H9" s="1"/>
      <c r="I9" s="1"/>
      <c r="J9" s="1"/>
    </row>
    <row r="10" spans="1:10" ht="15">
      <c r="A10" s="1"/>
      <c r="B10" s="8"/>
      <c r="C10" s="34" t="s">
        <v>25</v>
      </c>
      <c r="D10" s="83"/>
      <c r="E10" s="10"/>
      <c r="F10" s="1"/>
      <c r="G10" s="1"/>
      <c r="H10" s="1"/>
      <c r="I10" s="1"/>
      <c r="J10" s="1"/>
    </row>
    <row r="11" spans="1:10" ht="15">
      <c r="A11" s="1"/>
      <c r="B11" s="8"/>
      <c r="C11" s="9" t="s">
        <v>7</v>
      </c>
      <c r="D11" s="84">
        <f ca="1">'#4'!D11</f>
        <v>185000</v>
      </c>
      <c r="E11" s="10"/>
      <c r="F11" s="1"/>
      <c r="G11" s="1"/>
      <c r="H11" s="1"/>
      <c r="I11" s="1"/>
      <c r="J11" s="1"/>
    </row>
    <row r="12" spans="1:10" ht="15">
      <c r="A12" s="1"/>
      <c r="B12" s="8"/>
      <c r="C12" s="9" t="s">
        <v>26</v>
      </c>
      <c r="D12" s="82">
        <f ca="1">'#4'!D12</f>
        <v>2800000</v>
      </c>
      <c r="E12" s="10"/>
      <c r="F12" s="1"/>
      <c r="G12" s="1"/>
      <c r="H12" s="1"/>
      <c r="I12" s="1"/>
      <c r="J12" s="1"/>
    </row>
    <row r="13" spans="1:10" ht="15">
      <c r="A13" s="1"/>
      <c r="B13" s="8"/>
      <c r="C13" s="9" t="s">
        <v>6</v>
      </c>
      <c r="D13" s="83">
        <f ca="1">'#4'!D13</f>
        <v>0.1</v>
      </c>
      <c r="E13" s="10"/>
      <c r="F13" s="1"/>
      <c r="G13" s="1"/>
      <c r="H13" s="1"/>
      <c r="I13" s="1"/>
      <c r="J13" s="1"/>
    </row>
    <row r="14" spans="1:10" ht="15">
      <c r="A14" s="1"/>
      <c r="B14" s="8"/>
      <c r="C14" s="9"/>
      <c r="D14" s="112"/>
      <c r="E14" s="10"/>
      <c r="F14" s="1"/>
      <c r="G14" s="1"/>
      <c r="H14" s="1"/>
      <c r="I14" s="1"/>
      <c r="J14" s="1"/>
    </row>
    <row r="15" spans="1:10" ht="15">
      <c r="A15" s="1"/>
      <c r="B15" s="106" t="s">
        <v>137</v>
      </c>
      <c r="C15" s="9" t="s">
        <v>4</v>
      </c>
      <c r="D15" s="82">
        <f ca="1">'#4'!D15</f>
        <v>750000</v>
      </c>
      <c r="E15" s="10"/>
      <c r="F15" s="1"/>
      <c r="G15" s="1"/>
      <c r="H15" s="1"/>
      <c r="I15" s="1"/>
      <c r="J15" s="1"/>
    </row>
    <row r="16" spans="1:10" ht="15">
      <c r="A16" s="1"/>
      <c r="B16" s="106" t="s">
        <v>138</v>
      </c>
      <c r="C16" s="9" t="s">
        <v>4</v>
      </c>
      <c r="D16" s="82">
        <f ca="1">'#4'!D16</f>
        <v>1500000</v>
      </c>
      <c r="E16" s="10"/>
      <c r="F16" s="1"/>
      <c r="G16" s="1"/>
      <c r="H16" s="1"/>
      <c r="I16" s="1"/>
      <c r="J16" s="1"/>
    </row>
    <row r="17" spans="1:10" ht="15.75" thickBot="1">
      <c r="A17" s="1"/>
      <c r="B17" s="11"/>
      <c r="C17" s="12"/>
      <c r="D17" s="13"/>
      <c r="E17" s="14"/>
      <c r="F17" s="1"/>
      <c r="G17" s="1"/>
      <c r="H17" s="1"/>
      <c r="I17" s="1"/>
      <c r="J17" s="1"/>
    </row>
    <row r="18" spans="1:10" ht="1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15">
      <c r="A19" s="1"/>
      <c r="B19" s="1"/>
      <c r="C19" s="3" t="s">
        <v>2</v>
      </c>
      <c r="D19" s="1"/>
      <c r="E19" s="1"/>
      <c r="F19" s="1"/>
      <c r="G19" s="1"/>
      <c r="H19" s="1"/>
      <c r="I19" s="1"/>
      <c r="J19" s="1"/>
    </row>
    <row r="20" spans="1:10" ht="15.75" thickBot="1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ht="15">
      <c r="A21" s="1"/>
      <c r="B21" s="15"/>
      <c r="C21" s="16"/>
      <c r="D21" s="16"/>
      <c r="E21" s="17"/>
      <c r="F21" s="35"/>
      <c r="G21" s="35"/>
      <c r="H21" s="35"/>
      <c r="I21" s="35"/>
      <c r="J21" s="1"/>
    </row>
    <row r="22" spans="1:10" ht="15.75">
      <c r="A22" s="1"/>
      <c r="B22" s="18"/>
      <c r="C22" s="22" t="s">
        <v>30</v>
      </c>
      <c r="D22" s="111">
        <f>D12/(D8-D11)</f>
        <v>35</v>
      </c>
      <c r="E22" s="43"/>
      <c r="F22" s="42"/>
      <c r="G22" s="36"/>
      <c r="H22" s="36"/>
      <c r="I22" s="35"/>
      <c r="J22" s="1"/>
    </row>
    <row r="23" spans="1:10" ht="15.75">
      <c r="A23" s="1"/>
      <c r="B23" s="18"/>
      <c r="C23" s="22" t="s">
        <v>31</v>
      </c>
      <c r="D23" s="44">
        <f>D22*D8</f>
        <v>9275000</v>
      </c>
      <c r="E23" s="38"/>
      <c r="F23" s="37"/>
      <c r="G23" s="36"/>
      <c r="H23" s="36"/>
      <c r="I23" s="35"/>
      <c r="J23" s="1"/>
    </row>
    <row r="24" spans="1:10" ht="15.75">
      <c r="A24" s="1"/>
      <c r="B24" s="18"/>
      <c r="C24" s="22" t="s">
        <v>32</v>
      </c>
      <c r="D24" s="44">
        <f>D22*D11+D12</f>
        <v>9275000</v>
      </c>
      <c r="E24" s="38"/>
      <c r="F24" s="37"/>
      <c r="G24" s="36"/>
      <c r="H24" s="36"/>
      <c r="I24" s="35"/>
      <c r="J24" s="1"/>
    </row>
    <row r="25" spans="1:10" ht="15.75" thickBot="1">
      <c r="A25" s="1"/>
      <c r="B25" s="20"/>
      <c r="C25" s="23"/>
      <c r="D25" s="25"/>
      <c r="E25" s="21"/>
      <c r="F25" s="35"/>
      <c r="G25" s="35"/>
      <c r="H25" s="35"/>
      <c r="I25" s="35"/>
      <c r="J25" s="1"/>
    </row>
    <row r="26" spans="1:10" ht="1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5">
      <c r="A84" s="1"/>
      <c r="B84" s="1"/>
      <c r="C84" s="1"/>
      <c r="D84" s="1"/>
      <c r="E84" s="1"/>
      <c r="F84" s="1"/>
      <c r="G84" s="1"/>
      <c r="H84" s="1"/>
      <c r="I84" s="1"/>
      <c r="J84" s="1"/>
    </row>
  </sheetData>
  <phoneticPr fontId="18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J112"/>
  <sheetViews>
    <sheetView zoomScaleNormal="100" workbookViewId="0"/>
  </sheetViews>
  <sheetFormatPr defaultRowHeight="12.75"/>
  <cols>
    <col min="2" max="2" width="3.140625" customWidth="1"/>
    <col min="3" max="3" width="21.42578125" bestFit="1" customWidth="1"/>
    <col min="4" max="4" width="18.140625" customWidth="1"/>
    <col min="5" max="5" width="3" customWidth="1"/>
    <col min="6" max="6" width="18.140625" customWidth="1"/>
    <col min="7" max="7" width="3.140625" customWidth="1"/>
    <col min="8" max="8" width="18.140625" customWidth="1"/>
    <col min="9" max="9" width="3.140625" customWidth="1"/>
  </cols>
  <sheetData>
    <row r="1" spans="1:10" ht="18">
      <c r="A1" s="1"/>
      <c r="B1" s="1"/>
      <c r="C1" s="139" t="s">
        <v>313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33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3" t="s">
        <v>1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">
      <c r="A6" s="1"/>
      <c r="B6" s="4"/>
      <c r="C6" s="5"/>
      <c r="D6" s="6"/>
      <c r="E6" s="7"/>
      <c r="F6" s="1"/>
      <c r="G6" s="1"/>
      <c r="H6" s="1"/>
      <c r="I6" s="1"/>
      <c r="J6" s="1"/>
    </row>
    <row r="7" spans="1:10" ht="15">
      <c r="A7" s="1"/>
      <c r="B7" s="8"/>
      <c r="C7" s="34" t="s">
        <v>24</v>
      </c>
      <c r="D7" s="26"/>
      <c r="E7" s="10"/>
      <c r="F7" s="1"/>
      <c r="G7" s="1"/>
      <c r="H7" s="1"/>
      <c r="I7" s="1"/>
      <c r="J7" s="1"/>
    </row>
    <row r="8" spans="1:10" ht="15">
      <c r="A8" s="1"/>
      <c r="B8" s="8"/>
      <c r="C8" s="9" t="s">
        <v>7</v>
      </c>
      <c r="D8" s="77">
        <v>900</v>
      </c>
      <c r="E8" s="10"/>
      <c r="F8" s="1"/>
      <c r="G8" s="1"/>
      <c r="H8" s="1"/>
      <c r="I8" s="1"/>
      <c r="J8" s="1"/>
    </row>
    <row r="9" spans="1:10" ht="15">
      <c r="A9" s="1"/>
      <c r="B9" s="8"/>
      <c r="C9" s="9" t="s">
        <v>34</v>
      </c>
      <c r="D9" s="75">
        <v>65700</v>
      </c>
      <c r="E9" s="10"/>
      <c r="F9" s="1"/>
      <c r="G9" s="1"/>
      <c r="H9" s="1"/>
      <c r="I9" s="1"/>
      <c r="J9" s="1"/>
    </row>
    <row r="10" spans="1:10" ht="15">
      <c r="A10" s="1"/>
      <c r="B10" s="8"/>
      <c r="C10" s="34" t="s">
        <v>25</v>
      </c>
      <c r="D10" s="76"/>
      <c r="E10" s="10"/>
      <c r="F10" s="1"/>
      <c r="G10" s="1"/>
      <c r="H10" s="1"/>
      <c r="I10" s="1"/>
      <c r="J10" s="1"/>
    </row>
    <row r="11" spans="1:10" ht="15">
      <c r="A11" s="1"/>
      <c r="B11" s="8"/>
      <c r="C11" s="9" t="s">
        <v>7</v>
      </c>
      <c r="D11" s="77">
        <v>1900</v>
      </c>
      <c r="E11" s="10"/>
      <c r="F11" s="1"/>
      <c r="G11" s="1"/>
      <c r="H11" s="1"/>
      <c r="I11" s="1"/>
      <c r="J11" s="1"/>
    </row>
    <row r="12" spans="1:10" ht="15">
      <c r="A12" s="1"/>
      <c r="B12" s="8"/>
      <c r="C12" s="9" t="s">
        <v>26</v>
      </c>
      <c r="D12" s="75">
        <v>29200</v>
      </c>
      <c r="E12" s="10"/>
      <c r="F12" s="1"/>
      <c r="G12" s="1"/>
      <c r="H12" s="1"/>
      <c r="I12" s="1"/>
      <c r="J12" s="1"/>
    </row>
    <row r="13" spans="1:10" ht="15">
      <c r="A13" s="1"/>
      <c r="B13" s="8"/>
      <c r="C13" s="9" t="s">
        <v>6</v>
      </c>
      <c r="D13" s="76">
        <v>0.1</v>
      </c>
      <c r="E13" s="10"/>
      <c r="F13" s="1"/>
      <c r="G13" s="1"/>
      <c r="H13" s="1"/>
      <c r="I13" s="1"/>
      <c r="J13" s="1"/>
    </row>
    <row r="14" spans="1:10" ht="15">
      <c r="A14" s="1"/>
      <c r="B14" s="8"/>
      <c r="C14" s="9"/>
      <c r="D14" s="105"/>
      <c r="E14" s="10"/>
      <c r="F14" s="1"/>
      <c r="G14" s="1"/>
      <c r="H14" s="1"/>
      <c r="I14" s="1"/>
      <c r="J14" s="1"/>
    </row>
    <row r="15" spans="1:10" ht="15">
      <c r="A15" s="1"/>
      <c r="B15" s="106" t="s">
        <v>137</v>
      </c>
      <c r="C15" s="9" t="s">
        <v>4</v>
      </c>
      <c r="D15" s="75">
        <v>8500</v>
      </c>
      <c r="E15" s="10"/>
      <c r="F15" s="1"/>
      <c r="G15" s="1"/>
      <c r="H15" s="1"/>
      <c r="I15" s="1"/>
      <c r="J15" s="1"/>
    </row>
    <row r="16" spans="1:10" ht="15">
      <c r="A16" s="1"/>
      <c r="B16" s="8"/>
      <c r="C16" s="9" t="s">
        <v>35</v>
      </c>
      <c r="D16" s="113">
        <v>2700</v>
      </c>
      <c r="E16" s="10"/>
      <c r="F16" s="1"/>
      <c r="G16" s="1"/>
      <c r="H16" s="217"/>
      <c r="I16" s="1"/>
      <c r="J16" s="1"/>
    </row>
    <row r="17" spans="1:10" ht="15">
      <c r="A17" s="1"/>
      <c r="B17" s="106" t="s">
        <v>140</v>
      </c>
      <c r="C17" s="9" t="s">
        <v>15</v>
      </c>
      <c r="D17" s="76">
        <v>0.4</v>
      </c>
      <c r="E17" s="10"/>
      <c r="F17" s="1"/>
      <c r="G17" s="1"/>
      <c r="H17" s="1"/>
      <c r="I17" s="1"/>
      <c r="J17" s="1"/>
    </row>
    <row r="18" spans="1:10" ht="15.75" thickBot="1">
      <c r="A18" s="1"/>
      <c r="B18" s="11"/>
      <c r="C18" s="12"/>
      <c r="D18" s="13"/>
      <c r="E18" s="14"/>
      <c r="F18" s="1"/>
      <c r="G18" s="1"/>
      <c r="H18" s="1"/>
      <c r="I18" s="1"/>
      <c r="J18" s="1"/>
    </row>
    <row r="19" spans="1:10" ht="1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ht="15">
      <c r="A20" s="1"/>
      <c r="B20" s="1"/>
      <c r="C20" s="3" t="s">
        <v>2</v>
      </c>
      <c r="D20" s="1"/>
      <c r="E20" s="1"/>
      <c r="F20" s="1"/>
      <c r="G20" s="1"/>
      <c r="H20" s="1"/>
      <c r="I20" s="1"/>
      <c r="J20" s="1"/>
    </row>
    <row r="21" spans="1:10" ht="15.75" thickBot="1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5">
      <c r="A22" s="1"/>
      <c r="B22" s="15"/>
      <c r="C22" s="16"/>
      <c r="D22" s="16"/>
      <c r="E22" s="16"/>
      <c r="F22" s="16"/>
      <c r="G22" s="16"/>
      <c r="H22" s="16"/>
      <c r="I22" s="17"/>
      <c r="J22" s="1"/>
    </row>
    <row r="23" spans="1:10" ht="15">
      <c r="A23" s="1"/>
      <c r="B23" s="88" t="s">
        <v>137</v>
      </c>
      <c r="C23" s="22"/>
      <c r="D23" s="41" t="s">
        <v>36</v>
      </c>
      <c r="E23" s="41"/>
      <c r="F23" s="41" t="s">
        <v>37</v>
      </c>
      <c r="G23" s="31"/>
      <c r="H23" s="41" t="s">
        <v>38</v>
      </c>
      <c r="I23" s="19"/>
      <c r="J23" s="1"/>
    </row>
    <row r="24" spans="1:10" ht="15">
      <c r="A24" s="1"/>
      <c r="B24" s="18"/>
      <c r="C24" s="22" t="s">
        <v>4</v>
      </c>
      <c r="D24" s="92">
        <f>D15</f>
        <v>8500</v>
      </c>
      <c r="E24" s="92"/>
      <c r="F24" s="92">
        <f>D15</f>
        <v>8500</v>
      </c>
      <c r="G24" s="92"/>
      <c r="H24" s="92">
        <f>D15</f>
        <v>8500</v>
      </c>
      <c r="I24" s="19"/>
      <c r="J24" s="1"/>
    </row>
    <row r="25" spans="1:10" ht="15">
      <c r="A25" s="1"/>
      <c r="B25" s="18"/>
      <c r="C25" s="22" t="s">
        <v>10</v>
      </c>
      <c r="D25" s="103">
        <f>D9*D13</f>
        <v>6570</v>
      </c>
      <c r="E25" s="103"/>
      <c r="F25" s="103">
        <f>D12*D13</f>
        <v>2920</v>
      </c>
      <c r="G25" s="103"/>
      <c r="H25" s="103">
        <v>0</v>
      </c>
      <c r="I25" s="19"/>
      <c r="J25" s="1"/>
    </row>
    <row r="26" spans="1:10" ht="15.75" thickBot="1">
      <c r="A26" s="1"/>
      <c r="B26" s="18"/>
      <c r="C26" s="22" t="s">
        <v>11</v>
      </c>
      <c r="D26" s="95">
        <f>D24-D25</f>
        <v>1930</v>
      </c>
      <c r="E26" s="95"/>
      <c r="F26" s="95">
        <f>F24-F25</f>
        <v>5580</v>
      </c>
      <c r="G26" s="95"/>
      <c r="H26" s="95">
        <f>H24-H25</f>
        <v>8500</v>
      </c>
      <c r="I26" s="19"/>
      <c r="J26" s="1"/>
    </row>
    <row r="27" spans="1:10" ht="16.5" thickTop="1">
      <c r="A27" s="1"/>
      <c r="B27" s="18"/>
      <c r="C27" s="22" t="s">
        <v>12</v>
      </c>
      <c r="D27" s="51">
        <f>D26/D8</f>
        <v>2.1444444444444444</v>
      </c>
      <c r="E27" s="46"/>
      <c r="F27" s="51">
        <f>F26/D11</f>
        <v>2.9368421052631577</v>
      </c>
      <c r="G27" s="46"/>
      <c r="H27" s="51">
        <f>H26/D16</f>
        <v>3.1481481481481484</v>
      </c>
      <c r="I27" s="19"/>
      <c r="J27" s="1"/>
    </row>
    <row r="28" spans="1:10" ht="15">
      <c r="A28" s="1"/>
      <c r="B28" s="18"/>
      <c r="C28" s="22"/>
      <c r="D28" s="31"/>
      <c r="E28" s="31"/>
      <c r="F28" s="32"/>
      <c r="G28" s="31"/>
      <c r="H28" s="31"/>
      <c r="I28" s="19"/>
      <c r="J28" s="1"/>
    </row>
    <row r="29" spans="1:10" ht="15">
      <c r="A29" s="1"/>
      <c r="B29" s="18"/>
      <c r="C29" s="22"/>
      <c r="D29" s="41"/>
      <c r="E29" s="31"/>
      <c r="F29" s="32"/>
      <c r="G29" s="31"/>
      <c r="H29" s="41" t="s">
        <v>4</v>
      </c>
      <c r="I29" s="19"/>
      <c r="J29" s="1"/>
    </row>
    <row r="30" spans="1:10" ht="15.75">
      <c r="A30" s="1"/>
      <c r="B30" s="88" t="s">
        <v>138</v>
      </c>
      <c r="C30" s="22" t="s">
        <v>39</v>
      </c>
      <c r="D30" s="31"/>
      <c r="E30" s="31"/>
      <c r="F30" s="32"/>
      <c r="G30" s="31"/>
      <c r="H30" s="44">
        <f>(D16*D13*D9)/(D16-D8)</f>
        <v>9855</v>
      </c>
      <c r="I30" s="19"/>
      <c r="J30" s="1"/>
    </row>
    <row r="31" spans="1:10" ht="15.75">
      <c r="A31" s="1"/>
      <c r="B31" s="18"/>
      <c r="C31" s="22" t="s">
        <v>40</v>
      </c>
      <c r="D31" s="31"/>
      <c r="E31" s="31"/>
      <c r="F31" s="32"/>
      <c r="G31" s="31"/>
      <c r="H31" s="44">
        <f>(D16*D13*D12)/(D16-D11)</f>
        <v>9855</v>
      </c>
      <c r="I31" s="19"/>
      <c r="J31" s="1"/>
    </row>
    <row r="32" spans="1:10" ht="15">
      <c r="A32" s="1"/>
      <c r="B32" s="18"/>
      <c r="C32" s="22" t="s">
        <v>41</v>
      </c>
      <c r="D32" s="31"/>
      <c r="E32" s="31"/>
      <c r="F32" s="32"/>
      <c r="G32" s="31"/>
      <c r="H32" s="31"/>
      <c r="I32" s="19"/>
      <c r="J32" s="1"/>
    </row>
    <row r="33" spans="1:10" ht="15">
      <c r="A33" s="1"/>
      <c r="B33" s="18"/>
      <c r="C33" s="22"/>
      <c r="D33" s="31"/>
      <c r="E33" s="31"/>
      <c r="F33" s="32"/>
      <c r="G33" s="31"/>
      <c r="H33" s="31"/>
      <c r="I33" s="19"/>
      <c r="J33" s="1"/>
    </row>
    <row r="34" spans="1:10" ht="15.75">
      <c r="A34" s="1"/>
      <c r="B34" s="88" t="s">
        <v>139</v>
      </c>
      <c r="C34" s="22" t="s">
        <v>141</v>
      </c>
      <c r="D34" s="31"/>
      <c r="E34" s="31"/>
      <c r="F34" s="32"/>
      <c r="G34" s="31"/>
      <c r="H34" s="44">
        <f>((D11*D13*D9)-(D8*D13*D12))/(D11-D8)</f>
        <v>9855</v>
      </c>
      <c r="I34" s="19"/>
      <c r="J34" s="1"/>
    </row>
    <row r="35" spans="1:10" ht="15">
      <c r="A35" s="1"/>
      <c r="B35" s="18"/>
      <c r="C35" s="22" t="s">
        <v>42</v>
      </c>
      <c r="D35" s="31"/>
      <c r="E35" s="31"/>
      <c r="F35" s="32"/>
      <c r="G35" s="31"/>
      <c r="H35" s="31"/>
      <c r="I35" s="19"/>
      <c r="J35" s="1"/>
    </row>
    <row r="36" spans="1:10" ht="15">
      <c r="A36" s="1"/>
      <c r="B36" s="18"/>
      <c r="C36" s="22" t="s">
        <v>43</v>
      </c>
      <c r="D36" s="31"/>
      <c r="E36" s="31"/>
      <c r="F36" s="32"/>
      <c r="G36" s="31"/>
      <c r="H36" s="31"/>
      <c r="I36" s="19"/>
      <c r="J36" s="1"/>
    </row>
    <row r="37" spans="1:10" ht="15">
      <c r="A37" s="1"/>
      <c r="B37" s="18"/>
      <c r="C37" s="22"/>
      <c r="D37" s="31"/>
      <c r="E37" s="31"/>
      <c r="F37" s="32"/>
      <c r="G37" s="31"/>
      <c r="H37" s="31"/>
      <c r="I37" s="19"/>
      <c r="J37" s="1"/>
    </row>
    <row r="38" spans="1:10" ht="15">
      <c r="A38" s="1"/>
      <c r="B38" s="88" t="s">
        <v>140</v>
      </c>
      <c r="C38" s="22"/>
      <c r="D38" s="41" t="s">
        <v>36</v>
      </c>
      <c r="E38" s="41"/>
      <c r="F38" s="45" t="s">
        <v>37</v>
      </c>
      <c r="G38" s="41"/>
      <c r="H38" s="41" t="s">
        <v>71</v>
      </c>
      <c r="I38" s="19"/>
      <c r="J38" s="1"/>
    </row>
    <row r="39" spans="1:10" ht="15">
      <c r="A39" s="1"/>
      <c r="B39" s="18"/>
      <c r="C39" s="22" t="s">
        <v>4</v>
      </c>
      <c r="D39" s="92">
        <f>D15</f>
        <v>8500</v>
      </c>
      <c r="E39" s="92"/>
      <c r="F39" s="92">
        <f>D15</f>
        <v>8500</v>
      </c>
      <c r="G39" s="92"/>
      <c r="H39" s="92">
        <f>D15</f>
        <v>8500</v>
      </c>
      <c r="I39" s="19"/>
      <c r="J39" s="1"/>
    </row>
    <row r="40" spans="1:10" ht="15">
      <c r="A40" s="1"/>
      <c r="B40" s="18"/>
      <c r="C40" s="22" t="s">
        <v>10</v>
      </c>
      <c r="D40" s="103">
        <f>D9*D13</f>
        <v>6570</v>
      </c>
      <c r="E40" s="103"/>
      <c r="F40" s="103">
        <f>D13*D12</f>
        <v>2920</v>
      </c>
      <c r="G40" s="103"/>
      <c r="H40" s="103">
        <v>0</v>
      </c>
      <c r="I40" s="19"/>
      <c r="J40" s="1"/>
    </row>
    <row r="41" spans="1:10" ht="15">
      <c r="A41" s="1"/>
      <c r="B41" s="18"/>
      <c r="C41" s="22" t="s">
        <v>16</v>
      </c>
      <c r="D41" s="103">
        <f>(D39-D40)*D17</f>
        <v>772</v>
      </c>
      <c r="E41" s="103"/>
      <c r="F41" s="103">
        <f>(F39-F40)*D17</f>
        <v>2232</v>
      </c>
      <c r="G41" s="103"/>
      <c r="H41" s="103">
        <f>H39*D17</f>
        <v>3400</v>
      </c>
      <c r="I41" s="19"/>
      <c r="J41" s="1"/>
    </row>
    <row r="42" spans="1:10" ht="15.75" thickBot="1">
      <c r="A42" s="1"/>
      <c r="B42" s="18"/>
      <c r="C42" s="22" t="s">
        <v>11</v>
      </c>
      <c r="D42" s="95">
        <f>D39-D40-D41</f>
        <v>1158</v>
      </c>
      <c r="E42" s="95"/>
      <c r="F42" s="95">
        <f>F39-F40-F41</f>
        <v>3348</v>
      </c>
      <c r="G42" s="95"/>
      <c r="H42" s="95">
        <f>H39-H40-H41</f>
        <v>5100</v>
      </c>
      <c r="I42" s="19"/>
      <c r="J42" s="1"/>
    </row>
    <row r="43" spans="1:10" ht="16.5" thickTop="1">
      <c r="A43" s="1"/>
      <c r="B43" s="18"/>
      <c r="C43" s="22" t="s">
        <v>12</v>
      </c>
      <c r="D43" s="51">
        <f>D42/D8</f>
        <v>1.2866666666666666</v>
      </c>
      <c r="E43" s="46"/>
      <c r="F43" s="51">
        <f>F42/D11</f>
        <v>1.7621052631578948</v>
      </c>
      <c r="G43" s="46"/>
      <c r="H43" s="51">
        <f>H42/D16</f>
        <v>1.8888888888888888</v>
      </c>
      <c r="I43" s="19"/>
      <c r="J43" s="1"/>
    </row>
    <row r="44" spans="1:10" ht="15">
      <c r="A44" s="1"/>
      <c r="B44" s="18"/>
      <c r="C44" s="22"/>
      <c r="D44" s="31"/>
      <c r="E44" s="31"/>
      <c r="F44" s="32"/>
      <c r="G44" s="31"/>
      <c r="H44" s="31"/>
      <c r="I44" s="19"/>
      <c r="J44" s="1"/>
    </row>
    <row r="45" spans="1:10" ht="15">
      <c r="A45" s="1"/>
      <c r="B45" s="18"/>
      <c r="C45" s="22" t="s">
        <v>142</v>
      </c>
      <c r="D45" s="31"/>
      <c r="E45" s="31"/>
      <c r="F45" s="32"/>
      <c r="G45" s="31"/>
      <c r="H45" s="41"/>
      <c r="I45" s="19"/>
      <c r="J45" s="1"/>
    </row>
    <row r="46" spans="1:10" ht="15.75">
      <c r="A46" s="1"/>
      <c r="B46" s="18"/>
      <c r="C46" s="22" t="s">
        <v>44</v>
      </c>
      <c r="D46" s="31"/>
      <c r="E46" s="31"/>
      <c r="F46" s="32"/>
      <c r="G46" s="31"/>
      <c r="H46" s="44">
        <f>(D16*D13*D9*(1-D17))/((D16-D8)*(1-D17))</f>
        <v>9855</v>
      </c>
      <c r="I46" s="19"/>
      <c r="J46" s="1"/>
    </row>
    <row r="47" spans="1:10" ht="15.75">
      <c r="A47" s="1"/>
      <c r="B47" s="18"/>
      <c r="C47" s="22" t="s">
        <v>45</v>
      </c>
      <c r="D47" s="31"/>
      <c r="E47" s="31"/>
      <c r="F47" s="32"/>
      <c r="G47" s="31"/>
      <c r="H47" s="44">
        <f>(D16*D13*D12*(1-D17))/(D16*(1-D17)-(D11*(1-D17)))</f>
        <v>9855</v>
      </c>
      <c r="I47" s="19"/>
      <c r="J47" s="1"/>
    </row>
    <row r="48" spans="1:10" ht="15.75">
      <c r="A48" s="1"/>
      <c r="B48" s="18"/>
      <c r="C48" s="22" t="s">
        <v>143</v>
      </c>
      <c r="D48" s="31"/>
      <c r="E48" s="31"/>
      <c r="F48" s="32"/>
      <c r="G48" s="31"/>
      <c r="H48" s="44">
        <f>(((D11*D13*D9)*(1-D17))-((D8*D13*D12)*(1-D17)))/((D11-D8)*(1-D17))</f>
        <v>9855</v>
      </c>
      <c r="I48" s="19"/>
      <c r="J48" s="1"/>
    </row>
    <row r="49" spans="1:10" ht="15.75">
      <c r="A49" s="1"/>
      <c r="B49" s="18"/>
      <c r="C49" s="22"/>
      <c r="D49" s="31"/>
      <c r="E49" s="31"/>
      <c r="F49" s="32"/>
      <c r="G49" s="31"/>
      <c r="H49" s="46"/>
      <c r="I49" s="19"/>
      <c r="J49" s="1"/>
    </row>
    <row r="50" spans="1:10" ht="15.75">
      <c r="A50" s="1"/>
      <c r="B50" s="18"/>
      <c r="C50" s="22" t="s">
        <v>46</v>
      </c>
      <c r="D50" s="31"/>
      <c r="E50" s="31"/>
      <c r="F50" s="32"/>
      <c r="G50" s="31"/>
      <c r="H50" s="46"/>
      <c r="I50" s="19"/>
      <c r="J50" s="1"/>
    </row>
    <row r="51" spans="1:10" ht="15.75">
      <c r="A51" s="1"/>
      <c r="B51" s="18"/>
      <c r="C51" s="22" t="s">
        <v>47</v>
      </c>
      <c r="D51" s="31"/>
      <c r="E51" s="31"/>
      <c r="F51" s="32"/>
      <c r="G51" s="31"/>
      <c r="H51" s="46"/>
      <c r="I51" s="19"/>
      <c r="J51" s="1"/>
    </row>
    <row r="52" spans="1:10" ht="15">
      <c r="A52" s="1"/>
      <c r="B52" s="18"/>
      <c r="C52" s="22" t="s">
        <v>48</v>
      </c>
      <c r="D52" s="31"/>
      <c r="E52" s="31"/>
      <c r="F52" s="32"/>
      <c r="G52" s="31"/>
      <c r="H52" s="31"/>
      <c r="I52" s="19"/>
      <c r="J52" s="1"/>
    </row>
    <row r="53" spans="1:10" ht="15.75" thickBot="1">
      <c r="A53" s="1"/>
      <c r="B53" s="20"/>
      <c r="C53" s="23"/>
      <c r="D53" s="25"/>
      <c r="E53" s="30"/>
      <c r="F53" s="30"/>
      <c r="G53" s="30"/>
      <c r="H53" s="30"/>
      <c r="I53" s="2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5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ht="15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ht="15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ht="15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ht="15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ht="15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ht="15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ht="15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ht="15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ht="15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ht="15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ht="15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ht="15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ht="15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ht="15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ht="15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ht="15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ht="15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ht="15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ht="15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ht="15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ht="15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ht="15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ht="15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ht="15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ht="15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ht="15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ht="15">
      <c r="A112" s="1"/>
      <c r="B112" s="1"/>
      <c r="C112" s="1"/>
      <c r="D112" s="1"/>
      <c r="E112" s="1"/>
      <c r="F112" s="1"/>
      <c r="G112" s="1"/>
      <c r="H112" s="1"/>
      <c r="I112" s="1"/>
      <c r="J112" s="1"/>
    </row>
  </sheetData>
  <phoneticPr fontId="18" type="noConversion"/>
  <pageMargins left="0.75" right="0.75" top="1" bottom="1" header="0.5" footer="0.5"/>
  <pageSetup scale="93" orientation="portrait" horizontalDpi="360" verticalDpi="36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J55"/>
  <sheetViews>
    <sheetView workbookViewId="0"/>
  </sheetViews>
  <sheetFormatPr defaultRowHeight="12.75"/>
  <cols>
    <col min="2" max="2" width="3.140625" customWidth="1"/>
    <col min="3" max="3" width="27.140625" customWidth="1"/>
    <col min="4" max="4" width="18.140625" customWidth="1"/>
    <col min="5" max="5" width="3" customWidth="1"/>
    <col min="6" max="6" width="18.140625" customWidth="1"/>
    <col min="7" max="7" width="3.140625" customWidth="1"/>
    <col min="8" max="8" width="18.140625" customWidth="1"/>
    <col min="9" max="9" width="3.140625" customWidth="1"/>
  </cols>
  <sheetData>
    <row r="1" spans="1:10" ht="18">
      <c r="A1" s="1"/>
      <c r="B1" s="1"/>
      <c r="C1" s="139" t="s">
        <v>313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49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3" t="s">
        <v>1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">
      <c r="A6" s="1"/>
      <c r="B6" s="4"/>
      <c r="C6" s="5"/>
      <c r="D6" s="6"/>
      <c r="E6" s="7"/>
      <c r="F6" s="1"/>
      <c r="G6" s="1"/>
      <c r="H6" s="1"/>
      <c r="I6" s="1"/>
      <c r="J6" s="1"/>
    </row>
    <row r="7" spans="1:10" ht="15">
      <c r="A7" s="1"/>
      <c r="B7" s="8"/>
      <c r="C7" s="34" t="s">
        <v>24</v>
      </c>
      <c r="D7" s="26"/>
      <c r="E7" s="10"/>
      <c r="F7" s="1"/>
      <c r="G7" s="1"/>
      <c r="H7" s="1"/>
      <c r="I7" s="1"/>
      <c r="J7" s="1"/>
    </row>
    <row r="8" spans="1:10" ht="15">
      <c r="A8" s="1"/>
      <c r="B8" s="8"/>
      <c r="C8" s="9" t="s">
        <v>7</v>
      </c>
      <c r="D8" s="84">
        <f ca="1">'#6'!D8</f>
        <v>900</v>
      </c>
      <c r="E8" s="10"/>
      <c r="F8" s="1"/>
      <c r="G8" s="1"/>
      <c r="H8" s="1"/>
      <c r="I8" s="1"/>
      <c r="J8" s="1"/>
    </row>
    <row r="9" spans="1:10" ht="15">
      <c r="A9" s="1"/>
      <c r="B9" s="8"/>
      <c r="C9" s="9" t="s">
        <v>34</v>
      </c>
      <c r="D9" s="82">
        <f ca="1">'#6'!D9</f>
        <v>65700</v>
      </c>
      <c r="E9" s="10"/>
      <c r="F9" s="1"/>
      <c r="G9" s="1"/>
      <c r="H9" s="1"/>
      <c r="I9" s="1"/>
      <c r="J9" s="1"/>
    </row>
    <row r="10" spans="1:10" ht="15">
      <c r="A10" s="1"/>
      <c r="B10" s="8"/>
      <c r="C10" s="34" t="s">
        <v>25</v>
      </c>
      <c r="D10" s="83"/>
      <c r="E10" s="10"/>
      <c r="F10" s="1"/>
      <c r="G10" s="1"/>
      <c r="H10" s="1"/>
      <c r="I10" s="1"/>
      <c r="J10" s="1"/>
    </row>
    <row r="11" spans="1:10" ht="15">
      <c r="A11" s="1"/>
      <c r="B11" s="8"/>
      <c r="C11" s="9" t="s">
        <v>7</v>
      </c>
      <c r="D11" s="84">
        <f ca="1">'#6'!D11</f>
        <v>1900</v>
      </c>
      <c r="E11" s="10"/>
      <c r="F11" s="1"/>
      <c r="G11" s="1"/>
      <c r="H11" s="1"/>
      <c r="I11" s="1"/>
      <c r="J11" s="1"/>
    </row>
    <row r="12" spans="1:10" ht="15">
      <c r="A12" s="1"/>
      <c r="B12" s="8"/>
      <c r="C12" s="9" t="s">
        <v>26</v>
      </c>
      <c r="D12" s="82">
        <f ca="1">'#6'!D12</f>
        <v>29200</v>
      </c>
      <c r="E12" s="10"/>
      <c r="F12" s="1"/>
      <c r="G12" s="1"/>
      <c r="H12" s="1"/>
      <c r="I12" s="1"/>
      <c r="J12" s="1"/>
    </row>
    <row r="13" spans="1:10" ht="15">
      <c r="A13" s="1"/>
      <c r="B13" s="8"/>
      <c r="C13" s="9" t="s">
        <v>6</v>
      </c>
      <c r="D13" s="83">
        <f ca="1">'#6'!D13</f>
        <v>0.1</v>
      </c>
      <c r="E13" s="10"/>
      <c r="F13" s="1"/>
      <c r="G13" s="1"/>
      <c r="H13" s="1"/>
      <c r="I13" s="1"/>
      <c r="J13" s="1"/>
    </row>
    <row r="14" spans="1:10" ht="15.75" thickBot="1">
      <c r="A14" s="1"/>
      <c r="B14" s="11"/>
      <c r="C14" s="12"/>
      <c r="D14" s="13"/>
      <c r="E14" s="14"/>
      <c r="F14" s="1"/>
      <c r="G14" s="1"/>
      <c r="H14" s="1"/>
      <c r="I14" s="1"/>
      <c r="J14" s="1"/>
    </row>
    <row r="15" spans="1:10" ht="1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15">
      <c r="A16" s="1"/>
      <c r="B16" s="1"/>
      <c r="C16" s="3" t="s">
        <v>2</v>
      </c>
      <c r="D16" s="1"/>
      <c r="E16" s="1"/>
      <c r="F16" s="1"/>
      <c r="G16" s="1"/>
      <c r="H16" s="1"/>
      <c r="I16" s="1"/>
      <c r="J16" s="1"/>
    </row>
    <row r="17" spans="1:10" ht="15.75" thickBot="1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5">
      <c r="A18" s="1"/>
      <c r="B18" s="15"/>
      <c r="C18" s="16"/>
      <c r="D18" s="16"/>
      <c r="E18" s="17"/>
      <c r="F18" s="35"/>
      <c r="G18" s="35"/>
      <c r="H18" s="35"/>
      <c r="I18" s="35"/>
      <c r="J18" s="47"/>
    </row>
    <row r="19" spans="1:10" ht="15.75">
      <c r="A19" s="1"/>
      <c r="B19" s="18"/>
      <c r="C19" s="22" t="s">
        <v>50</v>
      </c>
      <c r="D19" s="156">
        <f>(D9-D12)/(D11-D8)</f>
        <v>36.5</v>
      </c>
      <c r="E19" s="43"/>
      <c r="F19" s="42"/>
      <c r="G19" s="36"/>
      <c r="H19" s="42"/>
      <c r="I19" s="35"/>
      <c r="J19" s="47"/>
    </row>
    <row r="20" spans="1:10" ht="15.75">
      <c r="A20" s="1"/>
      <c r="B20" s="18"/>
      <c r="C20" s="22" t="s">
        <v>51</v>
      </c>
      <c r="D20" s="52">
        <f ca="1">D12/('#6'!D16-D11)</f>
        <v>36.5</v>
      </c>
      <c r="E20" s="38"/>
      <c r="F20" s="36"/>
      <c r="G20" s="36"/>
      <c r="H20" s="36"/>
      <c r="I20" s="35"/>
      <c r="J20" s="47"/>
    </row>
    <row r="21" spans="1:10" ht="15">
      <c r="A21" s="1"/>
      <c r="B21" s="18"/>
      <c r="C21" s="22" t="s">
        <v>52</v>
      </c>
      <c r="D21" s="31"/>
      <c r="E21" s="38"/>
      <c r="F21" s="36"/>
      <c r="G21" s="36"/>
      <c r="H21" s="36"/>
      <c r="I21" s="35"/>
      <c r="J21" s="47"/>
    </row>
    <row r="22" spans="1:10" ht="15">
      <c r="A22" s="1"/>
      <c r="B22" s="18"/>
      <c r="C22" s="22" t="s">
        <v>53</v>
      </c>
      <c r="D22" s="31"/>
      <c r="E22" s="38"/>
      <c r="F22" s="36"/>
      <c r="G22" s="36"/>
      <c r="H22" s="36"/>
      <c r="I22" s="35"/>
      <c r="J22" s="47"/>
    </row>
    <row r="23" spans="1:10" ht="15">
      <c r="A23" s="1"/>
      <c r="B23" s="18"/>
      <c r="C23" s="22" t="s">
        <v>54</v>
      </c>
      <c r="D23" s="31"/>
      <c r="E23" s="38"/>
      <c r="F23" s="36"/>
      <c r="G23" s="36"/>
      <c r="H23" s="36"/>
      <c r="I23" s="35"/>
      <c r="J23" s="47"/>
    </row>
    <row r="24" spans="1:10" ht="15">
      <c r="A24" s="1"/>
      <c r="B24" s="18"/>
      <c r="C24" s="22" t="s">
        <v>55</v>
      </c>
      <c r="D24" s="31"/>
      <c r="E24" s="38"/>
      <c r="F24" s="36"/>
      <c r="G24" s="36"/>
      <c r="H24" s="36"/>
      <c r="I24" s="35"/>
      <c r="J24" s="47"/>
    </row>
    <row r="25" spans="1:10" ht="15.75" thickBot="1">
      <c r="A25" s="1"/>
      <c r="B25" s="20"/>
      <c r="C25" s="23"/>
      <c r="D25" s="48"/>
      <c r="E25" s="49"/>
      <c r="F25" s="37"/>
      <c r="G25" s="36"/>
      <c r="H25" s="37"/>
      <c r="I25" s="35"/>
      <c r="J25" s="47"/>
    </row>
    <row r="26" spans="1:10" ht="15">
      <c r="A26" s="1"/>
      <c r="B26" s="1"/>
      <c r="C26" s="47"/>
      <c r="D26" s="47"/>
      <c r="E26" s="47"/>
      <c r="F26" s="47"/>
      <c r="G26" s="47"/>
      <c r="H26" s="47"/>
      <c r="I26" s="1"/>
      <c r="J26" s="1"/>
    </row>
    <row r="27" spans="1:10" ht="15">
      <c r="A27" s="1"/>
      <c r="B27" s="1"/>
      <c r="C27" s="47"/>
      <c r="D27" s="47"/>
      <c r="E27" s="47"/>
      <c r="F27" s="47"/>
      <c r="G27" s="47"/>
      <c r="H27" s="47"/>
      <c r="I27" s="1"/>
      <c r="J27" s="1"/>
    </row>
    <row r="28" spans="1:10" ht="15">
      <c r="A28" s="1"/>
      <c r="B28" s="1"/>
      <c r="C28" s="47"/>
      <c r="D28" s="47"/>
      <c r="E28" s="47"/>
      <c r="F28" s="47"/>
      <c r="G28" s="47"/>
      <c r="H28" s="47"/>
      <c r="I28" s="1"/>
      <c r="J28" s="1"/>
    </row>
    <row r="29" spans="1:10" ht="15">
      <c r="A29" s="1"/>
      <c r="B29" s="1"/>
      <c r="C29" s="47"/>
      <c r="D29" s="47"/>
      <c r="E29" s="47"/>
      <c r="F29" s="47"/>
      <c r="G29" s="47"/>
      <c r="H29" s="47"/>
      <c r="I29" s="1"/>
      <c r="J29" s="1"/>
    </row>
    <row r="30" spans="1:10" ht="1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</sheetData>
  <phoneticPr fontId="18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K71"/>
  <sheetViews>
    <sheetView zoomScaleNormal="100" workbookViewId="0"/>
  </sheetViews>
  <sheetFormatPr defaultRowHeight="12.75"/>
  <cols>
    <col min="2" max="2" width="3.140625" customWidth="1"/>
    <col min="3" max="3" width="27.5703125" customWidth="1"/>
    <col min="4" max="4" width="4.5703125" bestFit="1" customWidth="1"/>
    <col min="5" max="5" width="18.140625" customWidth="1"/>
    <col min="6" max="6" width="4" customWidth="1"/>
    <col min="7" max="7" width="18.140625" customWidth="1"/>
    <col min="8" max="8" width="3.140625" customWidth="1"/>
    <col min="9" max="9" width="18.140625" customWidth="1"/>
    <col min="10" max="10" width="3.140625" customWidth="1"/>
  </cols>
  <sheetData>
    <row r="1" spans="1:11" ht="18">
      <c r="A1" s="1"/>
      <c r="B1" s="1"/>
      <c r="C1" s="139" t="s">
        <v>313</v>
      </c>
      <c r="D1" s="2"/>
      <c r="E1" s="1"/>
      <c r="F1" s="1"/>
      <c r="G1" s="1"/>
      <c r="H1" s="1"/>
      <c r="I1" s="1"/>
      <c r="J1" s="1"/>
      <c r="K1" s="1"/>
    </row>
    <row r="2" spans="1:11" ht="15">
      <c r="A2" s="1"/>
      <c r="B2" s="1"/>
      <c r="C2" s="1" t="s">
        <v>56</v>
      </c>
      <c r="D2" s="1"/>
      <c r="E2" s="1"/>
      <c r="F2" s="1"/>
      <c r="G2" s="1"/>
      <c r="H2" s="1"/>
      <c r="I2" s="1"/>
      <c r="J2" s="1"/>
      <c r="K2" s="1"/>
    </row>
    <row r="3" spans="1:11" ht="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>
      <c r="A4" s="1"/>
      <c r="B4" s="1"/>
      <c r="C4" s="3" t="s">
        <v>1</v>
      </c>
      <c r="D4" s="3"/>
      <c r="E4" s="1"/>
      <c r="F4" s="1"/>
      <c r="G4" s="1"/>
      <c r="H4" s="1"/>
      <c r="I4" s="1"/>
      <c r="J4" s="1"/>
      <c r="K4" s="1"/>
    </row>
    <row r="5" spans="1:11" ht="15.75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>
      <c r="A6" s="1"/>
      <c r="B6" s="4"/>
      <c r="C6" s="5"/>
      <c r="D6" s="5"/>
      <c r="E6" s="6"/>
      <c r="F6" s="7"/>
      <c r="G6" s="1"/>
      <c r="H6" s="1"/>
      <c r="I6" s="1"/>
      <c r="J6" s="1"/>
      <c r="K6" s="1"/>
    </row>
    <row r="7" spans="1:11" ht="15">
      <c r="A7" s="1"/>
      <c r="B7" s="8"/>
      <c r="C7" s="9" t="s">
        <v>320</v>
      </c>
      <c r="D7" s="9"/>
      <c r="E7" s="76">
        <v>0.35</v>
      </c>
      <c r="F7" s="10"/>
      <c r="G7" s="1"/>
      <c r="H7" s="1"/>
      <c r="I7" s="1"/>
      <c r="J7" s="1"/>
      <c r="K7" s="1"/>
    </row>
    <row r="8" spans="1:11" ht="15">
      <c r="A8" s="1"/>
      <c r="B8" s="8"/>
      <c r="C8" s="9" t="s">
        <v>7</v>
      </c>
      <c r="D8" s="9"/>
      <c r="E8" s="77">
        <v>6000</v>
      </c>
      <c r="F8" s="10"/>
      <c r="G8" s="1"/>
      <c r="H8" s="1"/>
      <c r="I8" s="1"/>
      <c r="J8" s="1"/>
      <c r="K8" s="1"/>
    </row>
    <row r="9" spans="1:11" ht="15">
      <c r="A9" s="1"/>
      <c r="B9" s="8"/>
      <c r="C9" s="9" t="s">
        <v>30</v>
      </c>
      <c r="D9" s="9"/>
      <c r="E9" s="75">
        <v>58</v>
      </c>
      <c r="F9" s="10"/>
      <c r="G9" s="1"/>
      <c r="H9" s="1"/>
      <c r="I9" s="1"/>
      <c r="J9" s="1"/>
      <c r="K9" s="1"/>
    </row>
    <row r="10" spans="1:11" ht="15">
      <c r="A10" s="1"/>
      <c r="B10" s="8"/>
      <c r="C10" s="9" t="s">
        <v>4</v>
      </c>
      <c r="D10" s="9"/>
      <c r="E10" s="75">
        <v>33000</v>
      </c>
      <c r="F10" s="10"/>
      <c r="G10" s="1"/>
      <c r="H10" s="1"/>
      <c r="I10" s="1"/>
      <c r="J10" s="1"/>
      <c r="K10" s="1"/>
    </row>
    <row r="11" spans="1:11" ht="15">
      <c r="A11" s="1"/>
      <c r="B11" s="8"/>
      <c r="C11" s="9" t="s">
        <v>6</v>
      </c>
      <c r="D11" s="9"/>
      <c r="E11" s="76">
        <v>0.08</v>
      </c>
      <c r="F11" s="10"/>
      <c r="G11" s="1"/>
      <c r="H11" s="1"/>
      <c r="I11" s="1"/>
      <c r="J11" s="1"/>
      <c r="K11" s="1"/>
    </row>
    <row r="12" spans="1:11" ht="15">
      <c r="A12" s="1"/>
      <c r="B12" s="8"/>
      <c r="C12" s="34" t="s">
        <v>189</v>
      </c>
      <c r="D12" s="34"/>
      <c r="E12" s="75"/>
      <c r="F12" s="10"/>
      <c r="G12" s="1"/>
      <c r="H12" s="1"/>
      <c r="I12" s="1"/>
      <c r="J12" s="1"/>
      <c r="K12" s="1"/>
    </row>
    <row r="13" spans="1:11" ht="15">
      <c r="A13" s="1"/>
      <c r="B13" s="8"/>
      <c r="C13" s="9" t="s">
        <v>144</v>
      </c>
      <c r="D13" s="9"/>
      <c r="E13" s="77">
        <v>100</v>
      </c>
      <c r="F13" s="10"/>
      <c r="G13" s="1"/>
      <c r="H13" s="1"/>
      <c r="I13" s="1"/>
      <c r="J13" s="1"/>
      <c r="K13" s="1"/>
    </row>
    <row r="14" spans="1:11" ht="15">
      <c r="A14" s="1"/>
      <c r="B14" s="8"/>
      <c r="C14" s="9" t="s">
        <v>57</v>
      </c>
      <c r="D14" s="9"/>
      <c r="E14" s="76">
        <v>1</v>
      </c>
      <c r="F14" s="10"/>
      <c r="G14" s="1"/>
      <c r="H14" s="1"/>
      <c r="I14" s="1"/>
      <c r="J14" s="1"/>
      <c r="K14" s="1"/>
    </row>
    <row r="15" spans="1:11" ht="15.75" thickBot="1">
      <c r="A15" s="1"/>
      <c r="B15" s="11"/>
      <c r="C15" s="12"/>
      <c r="D15" s="12"/>
      <c r="E15" s="13"/>
      <c r="F15" s="14"/>
      <c r="G15" s="1"/>
      <c r="H15" s="1"/>
      <c r="I15" s="1"/>
      <c r="J15" s="1"/>
      <c r="K15" s="1"/>
    </row>
    <row r="16" spans="1:11" ht="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15">
      <c r="A17" s="1"/>
      <c r="B17" s="1"/>
      <c r="C17" s="3" t="s">
        <v>2</v>
      </c>
      <c r="D17" s="3"/>
      <c r="E17" s="1"/>
      <c r="F17" s="1"/>
      <c r="G17" s="1"/>
      <c r="H17" s="1"/>
      <c r="I17" s="1"/>
      <c r="J17" s="1"/>
      <c r="K17" s="1"/>
    </row>
    <row r="18" spans="1:11" ht="15.75" thickBo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ht="15">
      <c r="A19" s="1"/>
      <c r="B19" s="15"/>
      <c r="C19" s="16"/>
      <c r="D19" s="16"/>
      <c r="E19" s="16"/>
      <c r="F19" s="17"/>
      <c r="G19" s="35"/>
      <c r="H19" s="35"/>
      <c r="I19" s="35"/>
      <c r="J19" s="35"/>
      <c r="K19" s="47"/>
    </row>
    <row r="20" spans="1:11" ht="15">
      <c r="A20" s="1"/>
      <c r="B20" s="88" t="s">
        <v>137</v>
      </c>
      <c r="C20" s="22" t="s">
        <v>12</v>
      </c>
      <c r="D20" s="22"/>
      <c r="E20" s="114">
        <f>E10/E8</f>
        <v>5.5</v>
      </c>
      <c r="F20" s="43"/>
      <c r="G20" s="42"/>
      <c r="H20" s="36"/>
      <c r="I20" s="42"/>
      <c r="J20" s="35"/>
      <c r="K20" s="47"/>
    </row>
    <row r="21" spans="1:11" ht="15.75">
      <c r="A21" s="1"/>
      <c r="B21" s="18"/>
      <c r="C21" s="22" t="s">
        <v>148</v>
      </c>
      <c r="D21" s="22"/>
      <c r="E21" s="52">
        <f>E20*E13</f>
        <v>550</v>
      </c>
      <c r="F21" s="38"/>
      <c r="G21" s="36"/>
      <c r="H21" s="36"/>
      <c r="I21" s="36"/>
      <c r="J21" s="35"/>
      <c r="K21" s="47"/>
    </row>
    <row r="22" spans="1:11" ht="15">
      <c r="A22" s="1"/>
      <c r="B22" s="18"/>
      <c r="C22" s="22"/>
      <c r="D22" s="22"/>
      <c r="E22" s="31"/>
      <c r="F22" s="38"/>
      <c r="G22" s="36"/>
      <c r="H22" s="36"/>
      <c r="I22" s="36"/>
      <c r="J22" s="35"/>
      <c r="K22" s="47"/>
    </row>
    <row r="23" spans="1:11" ht="15">
      <c r="A23" s="1"/>
      <c r="B23" s="88" t="s">
        <v>138</v>
      </c>
      <c r="C23" s="22" t="s">
        <v>58</v>
      </c>
      <c r="D23" s="22"/>
      <c r="E23" s="92">
        <f>E9*E8</f>
        <v>348000</v>
      </c>
      <c r="F23" s="38"/>
      <c r="G23" s="36"/>
      <c r="H23" s="36"/>
      <c r="I23" s="36"/>
      <c r="J23" s="35"/>
      <c r="K23" s="47"/>
    </row>
    <row r="24" spans="1:11" ht="15">
      <c r="A24" s="1"/>
      <c r="B24" s="18"/>
      <c r="C24" s="22" t="s">
        <v>59</v>
      </c>
      <c r="D24" s="22"/>
      <c r="E24" s="92">
        <f>E7*E23</f>
        <v>121799.99999999999</v>
      </c>
      <c r="F24" s="38"/>
      <c r="G24" s="36"/>
      <c r="H24" s="36"/>
      <c r="I24" s="36"/>
      <c r="J24" s="35"/>
      <c r="K24" s="47"/>
    </row>
    <row r="25" spans="1:11" ht="15">
      <c r="A25" s="1"/>
      <c r="B25" s="18"/>
      <c r="C25" s="22" t="s">
        <v>60</v>
      </c>
      <c r="D25" s="22"/>
      <c r="E25" s="115">
        <f>E24/E9</f>
        <v>2099.9999999999995</v>
      </c>
      <c r="F25" s="38"/>
      <c r="G25" s="36"/>
      <c r="H25" s="36"/>
      <c r="I25" s="36"/>
      <c r="J25" s="35"/>
      <c r="K25" s="47"/>
    </row>
    <row r="26" spans="1:11" ht="15">
      <c r="A26" s="1"/>
      <c r="B26" s="18"/>
      <c r="C26" s="22" t="s">
        <v>11</v>
      </c>
      <c r="D26" s="22"/>
      <c r="E26" s="92">
        <f>E10-(E11*E24)</f>
        <v>23256</v>
      </c>
      <c r="F26" s="38"/>
      <c r="G26" s="36"/>
      <c r="H26" s="36"/>
      <c r="I26" s="36"/>
      <c r="J26" s="35"/>
      <c r="K26" s="47"/>
    </row>
    <row r="27" spans="1:11" ht="15">
      <c r="A27" s="1"/>
      <c r="B27" s="18"/>
      <c r="C27" s="22" t="s">
        <v>12</v>
      </c>
      <c r="D27" s="22"/>
      <c r="E27" s="116">
        <f>E26/(E8-E25)</f>
        <v>5.9630769230769225</v>
      </c>
      <c r="F27" s="38"/>
      <c r="G27" s="36"/>
      <c r="H27" s="36"/>
      <c r="I27" s="36"/>
      <c r="J27" s="35"/>
      <c r="K27" s="47"/>
    </row>
    <row r="28" spans="1:11" ht="15.75">
      <c r="A28" s="1"/>
      <c r="B28" s="18"/>
      <c r="C28" s="22" t="s">
        <v>148</v>
      </c>
      <c r="D28" s="22"/>
      <c r="E28" s="52">
        <f>E27*E13</f>
        <v>596.30769230769226</v>
      </c>
      <c r="F28" s="38"/>
      <c r="G28" s="36"/>
      <c r="H28" s="36"/>
      <c r="I28" s="36"/>
      <c r="J28" s="35"/>
      <c r="K28" s="47"/>
    </row>
    <row r="29" spans="1:11" ht="15">
      <c r="A29" s="1"/>
      <c r="B29" s="18"/>
      <c r="C29" s="22"/>
      <c r="D29" s="22"/>
      <c r="E29" s="31"/>
      <c r="F29" s="38"/>
      <c r="G29" s="36"/>
      <c r="H29" s="36"/>
      <c r="I29" s="36"/>
      <c r="J29" s="35"/>
      <c r="K29" s="47"/>
    </row>
    <row r="30" spans="1:11" ht="15.75">
      <c r="A30" s="1"/>
      <c r="B30" s="88" t="s">
        <v>139</v>
      </c>
      <c r="C30" s="117" t="s">
        <v>145</v>
      </c>
      <c r="D30" s="138">
        <f>E7*100</f>
        <v>35</v>
      </c>
      <c r="E30" s="118" t="s">
        <v>146</v>
      </c>
      <c r="F30" s="38"/>
      <c r="G30" s="36"/>
      <c r="H30" s="36"/>
      <c r="I30" s="36"/>
      <c r="J30" s="35"/>
      <c r="K30" s="47"/>
    </row>
    <row r="31" spans="1:11" ht="15">
      <c r="A31" s="1"/>
      <c r="B31" s="18"/>
      <c r="C31" s="117" t="s">
        <v>147</v>
      </c>
      <c r="D31" s="119">
        <f>E11</f>
        <v>0.08</v>
      </c>
      <c r="E31" s="31"/>
      <c r="F31" s="38"/>
      <c r="G31" s="36"/>
      <c r="H31" s="36"/>
      <c r="I31" s="36"/>
      <c r="J31" s="35"/>
      <c r="K31" s="47"/>
    </row>
    <row r="32" spans="1:11" ht="15">
      <c r="A32" s="1"/>
      <c r="B32" s="18"/>
      <c r="C32" s="22" t="s">
        <v>61</v>
      </c>
      <c r="D32" s="22"/>
      <c r="E32" s="116">
        <f>E9*D30*E11</f>
        <v>162.4</v>
      </c>
      <c r="F32" s="38"/>
      <c r="G32" s="36"/>
      <c r="H32" s="36"/>
      <c r="I32" s="36"/>
      <c r="J32" s="35"/>
      <c r="K32" s="47"/>
    </row>
    <row r="33" spans="1:11" ht="15">
      <c r="A33" s="1"/>
      <c r="B33" s="18"/>
      <c r="C33" s="22" t="s">
        <v>62</v>
      </c>
      <c r="D33" s="22"/>
      <c r="E33" s="116">
        <f>E27*(E13-D30)</f>
        <v>387.59999999999997</v>
      </c>
      <c r="F33" s="38"/>
      <c r="G33" s="36"/>
      <c r="H33" s="36"/>
      <c r="I33" s="36"/>
      <c r="J33" s="35"/>
      <c r="K33" s="47"/>
    </row>
    <row r="34" spans="1:11" ht="15.75">
      <c r="A34" s="1"/>
      <c r="B34" s="18"/>
      <c r="C34" s="22" t="s">
        <v>63</v>
      </c>
      <c r="D34" s="22"/>
      <c r="E34" s="52">
        <f>E32+E33</f>
        <v>550</v>
      </c>
      <c r="F34" s="38"/>
      <c r="G34" s="36"/>
      <c r="H34" s="36"/>
      <c r="I34" s="36"/>
      <c r="J34" s="35"/>
      <c r="K34" s="47"/>
    </row>
    <row r="35" spans="1:11" ht="15">
      <c r="A35" s="1"/>
      <c r="B35" s="18"/>
      <c r="C35" s="22"/>
      <c r="D35" s="22"/>
      <c r="E35" s="31"/>
      <c r="F35" s="38"/>
      <c r="G35" s="36"/>
      <c r="H35" s="36"/>
      <c r="I35" s="36"/>
      <c r="J35" s="35"/>
      <c r="K35" s="47"/>
    </row>
    <row r="36" spans="1:11" ht="15">
      <c r="A36" s="1"/>
      <c r="B36" s="88" t="s">
        <v>140</v>
      </c>
      <c r="C36" s="22" t="s">
        <v>64</v>
      </c>
      <c r="D36" s="22"/>
      <c r="E36" s="31"/>
      <c r="F36" s="38"/>
      <c r="G36" s="36"/>
      <c r="H36" s="36"/>
      <c r="I36" s="36"/>
      <c r="J36" s="35"/>
      <c r="K36" s="47"/>
    </row>
    <row r="37" spans="1:11" ht="15">
      <c r="A37" s="1"/>
      <c r="B37" s="18"/>
      <c r="C37" s="22" t="s">
        <v>65</v>
      </c>
      <c r="D37" s="22"/>
      <c r="E37" s="31"/>
      <c r="F37" s="38"/>
      <c r="G37" s="36"/>
      <c r="H37" s="36"/>
      <c r="I37" s="36"/>
      <c r="J37" s="35"/>
      <c r="K37" s="47"/>
    </row>
    <row r="38" spans="1:11" ht="15">
      <c r="A38" s="1"/>
      <c r="B38" s="18"/>
      <c r="C38" s="22" t="s">
        <v>66</v>
      </c>
      <c r="D38" s="22"/>
      <c r="E38" s="31"/>
      <c r="F38" s="38"/>
      <c r="G38" s="36"/>
      <c r="H38" s="36"/>
      <c r="I38" s="36"/>
      <c r="J38" s="35"/>
      <c r="K38" s="47"/>
    </row>
    <row r="39" spans="1:11" ht="15">
      <c r="A39" s="1"/>
      <c r="B39" s="18"/>
      <c r="C39" s="22" t="s">
        <v>67</v>
      </c>
      <c r="D39" s="22"/>
      <c r="E39" s="31"/>
      <c r="F39" s="38"/>
      <c r="G39" s="36"/>
      <c r="H39" s="36"/>
      <c r="I39" s="36"/>
      <c r="J39" s="35"/>
      <c r="K39" s="47"/>
    </row>
    <row r="40" spans="1:11" ht="15">
      <c r="A40" s="1"/>
      <c r="B40" s="18"/>
      <c r="C40" s="22" t="s">
        <v>68</v>
      </c>
      <c r="D40" s="22"/>
      <c r="E40" s="31"/>
      <c r="F40" s="38"/>
      <c r="G40" s="36"/>
      <c r="H40" s="36"/>
      <c r="I40" s="36"/>
      <c r="J40" s="35"/>
      <c r="K40" s="47"/>
    </row>
    <row r="41" spans="1:11" ht="15.75" thickBot="1">
      <c r="A41" s="1"/>
      <c r="B41" s="20"/>
      <c r="C41" s="23"/>
      <c r="D41" s="23"/>
      <c r="E41" s="48"/>
      <c r="F41" s="49"/>
      <c r="G41" s="37"/>
      <c r="H41" s="36"/>
      <c r="I41" s="37"/>
      <c r="J41" s="35"/>
      <c r="K41" s="47"/>
    </row>
    <row r="42" spans="1:11" ht="15">
      <c r="A42" s="1"/>
      <c r="B42" s="1"/>
      <c r="C42" s="47"/>
      <c r="D42" s="47"/>
      <c r="E42" s="47"/>
      <c r="F42" s="47"/>
      <c r="G42" s="47"/>
      <c r="H42" s="47"/>
      <c r="I42" s="47"/>
      <c r="J42" s="1"/>
      <c r="K42" s="1"/>
    </row>
    <row r="43" spans="1:11" ht="15">
      <c r="A43" s="1"/>
      <c r="B43" s="1"/>
      <c r="C43" s="47"/>
      <c r="D43" s="47"/>
      <c r="E43" s="47"/>
      <c r="F43" s="47"/>
      <c r="G43" s="47"/>
      <c r="H43" s="47"/>
      <c r="I43" s="47"/>
      <c r="J43" s="1"/>
      <c r="K43" s="1"/>
    </row>
    <row r="44" spans="1:11" ht="15">
      <c r="A44" s="1"/>
      <c r="B44" s="1"/>
      <c r="C44" s="47"/>
      <c r="D44" s="47"/>
      <c r="E44" s="47"/>
      <c r="F44" s="47"/>
      <c r="G44" s="47"/>
      <c r="H44" s="47"/>
      <c r="I44" s="47"/>
      <c r="J44" s="1"/>
      <c r="K44" s="1"/>
    </row>
    <row r="45" spans="1:11" ht="15">
      <c r="A45" s="1"/>
      <c r="B45" s="1"/>
      <c r="C45" s="47"/>
      <c r="D45" s="47"/>
      <c r="E45" s="47"/>
      <c r="F45" s="47"/>
      <c r="G45" s="47"/>
      <c r="H45" s="47"/>
      <c r="I45" s="47"/>
      <c r="J45" s="1"/>
      <c r="K45" s="1"/>
    </row>
    <row r="46" spans="1:11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</sheetData>
  <phoneticPr fontId="18" type="noConversion"/>
  <pageMargins left="0.75" right="0.75" top="1" bottom="1" header="0.5" footer="0.5"/>
  <pageSetup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Chapter 16</vt:lpstr>
      <vt:lpstr>#1</vt:lpstr>
      <vt:lpstr>#2</vt:lpstr>
      <vt:lpstr>#3</vt:lpstr>
      <vt:lpstr>#4</vt:lpstr>
      <vt:lpstr>#5</vt:lpstr>
      <vt:lpstr>#6</vt:lpstr>
      <vt:lpstr>#7</vt:lpstr>
      <vt:lpstr>#8</vt:lpstr>
      <vt:lpstr>#9</vt:lpstr>
      <vt:lpstr>#10</vt:lpstr>
      <vt:lpstr>#11</vt:lpstr>
      <vt:lpstr>#12</vt:lpstr>
      <vt:lpstr>#13</vt:lpstr>
      <vt:lpstr>#14</vt:lpstr>
      <vt:lpstr>#15</vt:lpstr>
      <vt:lpstr>#16</vt:lpstr>
      <vt:lpstr>#17</vt:lpstr>
      <vt:lpstr>#18</vt:lpstr>
      <vt:lpstr>#19</vt:lpstr>
      <vt:lpstr>#20</vt:lpstr>
      <vt:lpstr>#21</vt:lpstr>
      <vt:lpstr>#22</vt:lpstr>
      <vt:lpstr>#23</vt:lpstr>
      <vt:lpstr>#24</vt:lpstr>
      <vt:lpstr>#25</vt:lpstr>
      <vt:lpstr>#26</vt:lpstr>
      <vt:lpstr>#27</vt:lpstr>
      <vt:lpstr>#28</vt:lpstr>
      <vt:lpstr>#29</vt:lpstr>
      <vt:lpstr>#30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Faiyaz Ahmed</cp:lastModifiedBy>
  <cp:lastPrinted>2004-10-03T19:17:22Z</cp:lastPrinted>
  <dcterms:created xsi:type="dcterms:W3CDTF">2002-05-21T01:05:54Z</dcterms:created>
  <dcterms:modified xsi:type="dcterms:W3CDTF">2012-11-06T10:51:16Z</dcterms:modified>
</cp:coreProperties>
</file>