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60" windowWidth="11295" windowHeight="7245"/>
  </bookViews>
  <sheets>
    <sheet name="Chapter 26" sheetId="21" r:id="rId1"/>
    <sheet name="#1" sheetId="1" r:id="rId2"/>
    <sheet name="#2" sheetId="36" r:id="rId3"/>
    <sheet name="#3" sheetId="6" r:id="rId4"/>
    <sheet name="#4" sheetId="7" r:id="rId5"/>
    <sheet name="#5" sheetId="22" r:id="rId6"/>
    <sheet name="#6" sheetId="23" r:id="rId7"/>
    <sheet name="#7" sheetId="25" r:id="rId8"/>
    <sheet name="#8" sheetId="26" r:id="rId9"/>
    <sheet name="#9" sheetId="27" r:id="rId10"/>
    <sheet name="#10" sheetId="28" r:id="rId11"/>
    <sheet name="#11" sheetId="31" r:id="rId12"/>
    <sheet name="#12" sheetId="32" r:id="rId13"/>
    <sheet name="#13,14" sheetId="35" r:id="rId14"/>
  </sheets>
  <calcPr calcId="145621"/>
</workbook>
</file>

<file path=xl/calcChain.xml><?xml version="1.0" encoding="utf-8"?>
<calcChain xmlns="http://schemas.openxmlformats.org/spreadsheetml/2006/main">
  <c r="D19" i="36"/>
  <c r="D17"/>
  <c r="D21"/>
  <c r="D23"/>
  <c r="D23" i="27"/>
  <c r="F76" i="35"/>
  <c r="C76"/>
  <c r="D73"/>
  <c r="H67"/>
  <c r="G67"/>
  <c r="G68"/>
  <c r="F67"/>
  <c r="F68"/>
  <c r="E67"/>
  <c r="E68"/>
  <c r="D67"/>
  <c r="D65"/>
  <c r="H59"/>
  <c r="G59"/>
  <c r="F59"/>
  <c r="E59"/>
  <c r="D59"/>
  <c r="H55"/>
  <c r="G55"/>
  <c r="F55"/>
  <c r="E55"/>
  <c r="D55"/>
  <c r="E54"/>
  <c r="E56"/>
  <c r="D52"/>
  <c r="H43"/>
  <c r="G43"/>
  <c r="F43"/>
  <c r="D43"/>
  <c r="F42"/>
  <c r="H41"/>
  <c r="G41"/>
  <c r="F41"/>
  <c r="D41"/>
  <c r="H40"/>
  <c r="H44"/>
  <c r="H47"/>
  <c r="G40"/>
  <c r="F40"/>
  <c r="D40"/>
  <c r="H36"/>
  <c r="G36"/>
  <c r="F36"/>
  <c r="D36"/>
  <c r="D35"/>
  <c r="D33"/>
  <c r="D32"/>
  <c r="D31"/>
  <c r="D30"/>
  <c r="D32" i="22"/>
  <c r="D33"/>
  <c r="E32"/>
  <c r="E33"/>
  <c r="F32"/>
  <c r="F33"/>
  <c r="G32"/>
  <c r="G33"/>
  <c r="E21" i="32"/>
  <c r="D29"/>
  <c r="D24"/>
  <c r="E24"/>
  <c r="G25"/>
  <c r="F25"/>
  <c r="E25"/>
  <c r="D25"/>
  <c r="D26"/>
  <c r="E30" i="31"/>
  <c r="E31"/>
  <c r="E32"/>
  <c r="E33"/>
  <c r="E35"/>
  <c r="E36"/>
  <c r="E37"/>
  <c r="E38"/>
  <c r="D38"/>
  <c r="D37"/>
  <c r="D36"/>
  <c r="D35"/>
  <c r="D33"/>
  <c r="D32"/>
  <c r="D31"/>
  <c r="D30"/>
  <c r="D15"/>
  <c r="D24"/>
  <c r="D23"/>
  <c r="E15"/>
  <c r="E24"/>
  <c r="E23"/>
  <c r="F33" i="28"/>
  <c r="E33"/>
  <c r="D33"/>
  <c r="D28"/>
  <c r="D30"/>
  <c r="D34"/>
  <c r="D35"/>
  <c r="D36"/>
  <c r="E30"/>
  <c r="E34"/>
  <c r="E35"/>
  <c r="E36"/>
  <c r="F30"/>
  <c r="F34"/>
  <c r="F35"/>
  <c r="F36"/>
  <c r="D21" i="27"/>
  <c r="D25"/>
  <c r="D26"/>
  <c r="D27"/>
  <c r="D19" i="26"/>
  <c r="D22"/>
  <c r="E22"/>
  <c r="F22"/>
  <c r="G22"/>
  <c r="D23"/>
  <c r="E23"/>
  <c r="F23"/>
  <c r="G23"/>
  <c r="D24"/>
  <c r="E24"/>
  <c r="F24"/>
  <c r="G24"/>
  <c r="D26" i="25"/>
  <c r="D23"/>
  <c r="D21"/>
  <c r="F21"/>
  <c r="H21"/>
  <c r="J21"/>
  <c r="D24"/>
  <c r="F24"/>
  <c r="G24"/>
  <c r="H24"/>
  <c r="I24"/>
  <c r="J24"/>
  <c r="D27"/>
  <c r="E27"/>
  <c r="F27"/>
  <c r="G27"/>
  <c r="H27"/>
  <c r="I27"/>
  <c r="J27"/>
  <c r="F18" i="23"/>
  <c r="F19"/>
  <c r="F20"/>
  <c r="F21"/>
  <c r="F23"/>
  <c r="F24"/>
  <c r="C31" i="22"/>
  <c r="C25"/>
  <c r="C18"/>
  <c r="D20"/>
  <c r="D21"/>
  <c r="E20"/>
  <c r="E21"/>
  <c r="F20"/>
  <c r="F21"/>
  <c r="G20"/>
  <c r="G21"/>
  <c r="D22"/>
  <c r="D23"/>
  <c r="D26"/>
  <c r="D27"/>
  <c r="E26"/>
  <c r="E27"/>
  <c r="F26"/>
  <c r="F27"/>
  <c r="G26"/>
  <c r="G27"/>
  <c r="D28"/>
  <c r="F44" i="35"/>
  <c r="F47"/>
  <c r="D44"/>
  <c r="D47"/>
  <c r="G44"/>
  <c r="G47"/>
  <c r="D34" i="22"/>
  <c r="D35"/>
  <c r="F69" i="35"/>
  <c r="D68"/>
  <c r="D69"/>
  <c r="H68"/>
  <c r="H69"/>
  <c r="D37"/>
  <c r="D46"/>
  <c r="D48"/>
  <c r="E69"/>
  <c r="G69"/>
  <c r="D71"/>
  <c r="H76"/>
  <c r="F24" i="32"/>
  <c r="F26"/>
  <c r="E26"/>
  <c r="F29"/>
  <c r="E39" i="31"/>
  <c r="D39"/>
  <c r="D31" i="28"/>
  <c r="E37"/>
  <c r="D37"/>
  <c r="D38"/>
  <c r="E28"/>
  <c r="E31"/>
  <c r="F37"/>
  <c r="D25" i="26"/>
  <c r="G25"/>
  <c r="F25"/>
  <c r="E25"/>
  <c r="F22" i="23"/>
  <c r="F25"/>
  <c r="F34" i="22"/>
  <c r="F35"/>
  <c r="G34"/>
  <c r="G35"/>
  <c r="E34"/>
  <c r="E35"/>
  <c r="G22"/>
  <c r="G28"/>
  <c r="G29"/>
  <c r="F22"/>
  <c r="F23"/>
  <c r="F28"/>
  <c r="F29"/>
  <c r="E28"/>
  <c r="E22"/>
  <c r="E23"/>
  <c r="E29"/>
  <c r="D29"/>
  <c r="E29" i="32"/>
  <c r="D28"/>
  <c r="D30"/>
  <c r="G24"/>
  <c r="G26"/>
  <c r="G28"/>
  <c r="G23" i="22"/>
  <c r="E28" i="32"/>
  <c r="E30"/>
  <c r="D76" i="35"/>
  <c r="G76"/>
  <c r="D38"/>
  <c r="F35"/>
  <c r="D60"/>
  <c r="D53"/>
  <c r="D54"/>
  <c r="E38" i="28"/>
  <c r="F28"/>
  <c r="F31"/>
  <c r="F38"/>
  <c r="G29" i="32"/>
  <c r="F28"/>
  <c r="F30"/>
  <c r="G30"/>
  <c r="F37" i="35"/>
  <c r="F46"/>
  <c r="F48"/>
  <c r="D62"/>
  <c r="D82"/>
  <c r="D56"/>
  <c r="F52"/>
  <c r="D66"/>
  <c r="D61"/>
  <c r="D63"/>
  <c r="D72"/>
  <c r="F71"/>
  <c r="D64"/>
  <c r="D74"/>
  <c r="F77"/>
  <c r="C77"/>
  <c r="F38"/>
  <c r="G35"/>
  <c r="F60"/>
  <c r="F53"/>
  <c r="F54"/>
  <c r="F73"/>
  <c r="D77"/>
  <c r="F56"/>
  <c r="G52"/>
  <c r="F66"/>
  <c r="G37"/>
  <c r="G46"/>
  <c r="G48"/>
  <c r="H77"/>
  <c r="G77"/>
  <c r="D83"/>
  <c r="F65"/>
  <c r="F62"/>
  <c r="F78"/>
  <c r="C78"/>
  <c r="G38"/>
  <c r="H35"/>
  <c r="F63"/>
  <c r="F72"/>
  <c r="G71"/>
  <c r="G60"/>
  <c r="G53"/>
  <c r="F61"/>
  <c r="G54"/>
  <c r="G56"/>
  <c r="H52"/>
  <c r="H37"/>
  <c r="H46"/>
  <c r="H48"/>
  <c r="H78"/>
  <c r="F64"/>
  <c r="F74"/>
  <c r="G73"/>
  <c r="F79"/>
  <c r="C79"/>
  <c r="H38"/>
  <c r="D78"/>
  <c r="G78"/>
  <c r="G65"/>
  <c r="G66"/>
  <c r="H60"/>
  <c r="H53"/>
  <c r="H54"/>
  <c r="H56"/>
  <c r="H79"/>
  <c r="D84"/>
  <c r="G62"/>
  <c r="G63"/>
  <c r="G64"/>
  <c r="G74"/>
  <c r="H73"/>
  <c r="G61"/>
  <c r="G72"/>
  <c r="D79"/>
  <c r="G79"/>
  <c r="H65"/>
  <c r="H66"/>
  <c r="H71"/>
  <c r="H62"/>
  <c r="H63"/>
  <c r="D85"/>
  <c r="D86"/>
  <c r="H64"/>
  <c r="H74"/>
  <c r="H61"/>
  <c r="H72"/>
</calcChain>
</file>

<file path=xl/sharedStrings.xml><?xml version="1.0" encoding="utf-8"?>
<sst xmlns="http://schemas.openxmlformats.org/spreadsheetml/2006/main" count="415" uniqueCount="223">
  <si>
    <t>Question 1</t>
  </si>
  <si>
    <t>Input Area:</t>
  </si>
  <si>
    <t>Output Area:</t>
  </si>
  <si>
    <t>Increase</t>
  </si>
  <si>
    <t>I</t>
  </si>
  <si>
    <t>Decrease</t>
  </si>
  <si>
    <t>D</t>
  </si>
  <si>
    <t>No change</t>
  </si>
  <si>
    <t>N</t>
  </si>
  <si>
    <t>Question 2</t>
  </si>
  <si>
    <t>Long-term debt</t>
  </si>
  <si>
    <t>Fixed assets</t>
  </si>
  <si>
    <t>Current liabilities</t>
  </si>
  <si>
    <t>Cash</t>
  </si>
  <si>
    <t>Current assets</t>
  </si>
  <si>
    <t>Question 3</t>
  </si>
  <si>
    <t>Question 4</t>
  </si>
  <si>
    <t>Cash Cycle</t>
  </si>
  <si>
    <t>Operating Cycle</t>
  </si>
  <si>
    <t>Question 5</t>
  </si>
  <si>
    <t>A/R</t>
  </si>
  <si>
    <t>Collection period</t>
  </si>
  <si>
    <t>Sales</t>
  </si>
  <si>
    <t>Q1</t>
  </si>
  <si>
    <t>Q2</t>
  </si>
  <si>
    <t>Q3</t>
  </si>
  <si>
    <t>Q4</t>
  </si>
  <si>
    <t>Beginning receivables</t>
  </si>
  <si>
    <t>Cash collections</t>
  </si>
  <si>
    <t>Ending receivables</t>
  </si>
  <si>
    <t>Question 6</t>
  </si>
  <si>
    <t>Item</t>
  </si>
  <si>
    <t>Beginning</t>
  </si>
  <si>
    <t>Ending</t>
  </si>
  <si>
    <t>Inventory</t>
  </si>
  <si>
    <t>A/P</t>
  </si>
  <si>
    <t xml:space="preserve">    Net sales </t>
  </si>
  <si>
    <t xml:space="preserve">    COGS</t>
  </si>
  <si>
    <t>Inventory Period</t>
  </si>
  <si>
    <t>Receivable turnover</t>
  </si>
  <si>
    <t>Inventory turnover</t>
  </si>
  <si>
    <t>Receivable period</t>
  </si>
  <si>
    <t>Operating cycle</t>
  </si>
  <si>
    <t>Payables turnover</t>
  </si>
  <si>
    <t>Payables period</t>
  </si>
  <si>
    <t>Cash cycle</t>
  </si>
  <si>
    <t>Question 7</t>
  </si>
  <si>
    <t>Question 8</t>
  </si>
  <si>
    <t>Payment in each period = 0.30 times next period sales</t>
  </si>
  <si>
    <t>Payment of accounts</t>
  </si>
  <si>
    <t>Payment of account</t>
  </si>
  <si>
    <t>Question 9</t>
  </si>
  <si>
    <t>Interest &amp; dividends per Q</t>
  </si>
  <si>
    <t>Wages, taxes, other expenses</t>
  </si>
  <si>
    <t>Long-term financing expenses</t>
  </si>
  <si>
    <t xml:space="preserve">        Total</t>
  </si>
  <si>
    <t>Question 10</t>
  </si>
  <si>
    <t>Credit sales:</t>
  </si>
  <si>
    <t>In the month of the sale</t>
  </si>
  <si>
    <t>In the month of after the sale</t>
  </si>
  <si>
    <t>In the second month after the sale</t>
  </si>
  <si>
    <t>January</t>
  </si>
  <si>
    <t>February</t>
  </si>
  <si>
    <t>March</t>
  </si>
  <si>
    <t>Sales budget</t>
  </si>
  <si>
    <t>A/R balance at the end of previous Q</t>
  </si>
  <si>
    <t>December uncollected sales</t>
  </si>
  <si>
    <t>November sales</t>
  </si>
  <si>
    <t>December sales</t>
  </si>
  <si>
    <t>January collections</t>
  </si>
  <si>
    <t>Febuary collections</t>
  </si>
  <si>
    <t>March collections</t>
  </si>
  <si>
    <t>Uncollected credit sales</t>
  </si>
  <si>
    <t>Collected in the month of the sale</t>
  </si>
  <si>
    <t>Collected in the following month</t>
  </si>
  <si>
    <t>Credit sales</t>
  </si>
  <si>
    <t>April</t>
  </si>
  <si>
    <t>May</t>
  </si>
  <si>
    <t>June</t>
  </si>
  <si>
    <t>Credit purchases</t>
  </si>
  <si>
    <t>Cash disbursements</t>
  </si>
  <si>
    <t xml:space="preserve">   Wages, taxes, and expenses</t>
  </si>
  <si>
    <t xml:space="preserve">   Interest</t>
  </si>
  <si>
    <t xml:space="preserve">   Equipment purchases</t>
  </si>
  <si>
    <t>Beginning cash sales</t>
  </si>
  <si>
    <t>Cash receipts</t>
  </si>
  <si>
    <t xml:space="preserve">   Total cash available</t>
  </si>
  <si>
    <t xml:space="preserve">    </t>
  </si>
  <si>
    <t xml:space="preserve">   Purchases</t>
  </si>
  <si>
    <t xml:space="preserve">       Total cash disbursements</t>
  </si>
  <si>
    <t>Ending cash balance</t>
  </si>
  <si>
    <t xml:space="preserve">   Cash collections from credit sales</t>
  </si>
  <si>
    <t>% of purchases for next Q sales</t>
  </si>
  <si>
    <t>Suppliers paid</t>
  </si>
  <si>
    <t>% of sales for expenses</t>
  </si>
  <si>
    <t>Interest and dividends</t>
  </si>
  <si>
    <t>Outlay in second Q</t>
  </si>
  <si>
    <t>Beginning cash balance</t>
  </si>
  <si>
    <t>Borrowing rate</t>
  </si>
  <si>
    <t>Invested securities</t>
  </si>
  <si>
    <t>45-day collection period means sales collectiond = 1/2 current sales + 1/2 old sales</t>
  </si>
  <si>
    <t>36-day payables period means payables = 3/5 current orders + 2/5 old orders</t>
  </si>
  <si>
    <t>Q1: Cash flow</t>
  </si>
  <si>
    <t>Q2: Cash flow</t>
  </si>
  <si>
    <t>Q3: Cash flow</t>
  </si>
  <si>
    <t>Q4: Cash flow</t>
  </si>
  <si>
    <t>Sales (in millions)</t>
  </si>
  <si>
    <t>Net cash inflow</t>
  </si>
  <si>
    <t>Minimum cash balance</t>
  </si>
  <si>
    <t>Cumulative surplus (deficit)</t>
  </si>
  <si>
    <t>New short-term investments</t>
  </si>
  <si>
    <t>Income on short-term investments</t>
  </si>
  <si>
    <t>Short-term investments sold</t>
  </si>
  <si>
    <t>New short-term borrowing</t>
  </si>
  <si>
    <t>Interest on short-term borrowing</t>
  </si>
  <si>
    <t>Short-term borrowing repaid</t>
  </si>
  <si>
    <t>Beginning short-term investments</t>
  </si>
  <si>
    <t>Ending short-term investments</t>
  </si>
  <si>
    <t>Beginning short-term debt</t>
  </si>
  <si>
    <t>Ending short-term debt</t>
  </si>
  <si>
    <t>Input boxes in tan</t>
  </si>
  <si>
    <t>Output boxes in yellow</t>
  </si>
  <si>
    <t>Given data in blue</t>
  </si>
  <si>
    <t>Calculations in red</t>
  </si>
  <si>
    <t>Answers in green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</si>
  <si>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</si>
  <si>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</si>
  <si>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</si>
  <si>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</si>
  <si>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</si>
  <si>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</si>
  <si>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</si>
  <si>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</si>
  <si>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</si>
  <si>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</si>
  <si>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</si>
  <si>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</si>
  <si>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m.</t>
  </si>
  <si>
    <t>n.</t>
  </si>
  <si>
    <t>o.</t>
  </si>
  <si>
    <t>Beginning A/R</t>
  </si>
  <si>
    <t>-day collection period</t>
  </si>
  <si>
    <t>Projected sales increase</t>
  </si>
  <si>
    <t>Orders (% of sales)</t>
  </si>
  <si>
    <t xml:space="preserve">The payable period is zero since payment is made immediately. </t>
  </si>
  <si>
    <t>If the payables period is</t>
  </si>
  <si>
    <t>days.</t>
  </si>
  <si>
    <t>Purchases (% of sales)</t>
  </si>
  <si>
    <t>Projected sales Q(1) next year</t>
  </si>
  <si>
    <t>Expenses (% of sales)</t>
  </si>
  <si>
    <t>With a payables period of</t>
  </si>
  <si>
    <t>Previous month credit sales</t>
  </si>
  <si>
    <t>Beginning cash</t>
  </si>
  <si>
    <t>Previous month credit purchases</t>
  </si>
  <si>
    <t>Sales (1st quarter of next year)</t>
  </si>
  <si>
    <t>Q1:</t>
  </si>
  <si>
    <t>Q2:</t>
  </si>
  <si>
    <t>Q3:</t>
  </si>
  <si>
    <t>Q4:</t>
  </si>
  <si>
    <t>Short-term Financial Plan</t>
  </si>
  <si>
    <t>Cash Balance</t>
  </si>
  <si>
    <t>Net cash cost</t>
  </si>
  <si>
    <t>Beginning short-term borrowing</t>
  </si>
  <si>
    <t>Cash generated by short-term financing</t>
  </si>
  <si>
    <t>Sales collections = .35 times current month sales + .60 times previous month sales.</t>
  </si>
  <si>
    <t>days</t>
  </si>
  <si>
    <t>Input area:</t>
  </si>
  <si>
    <t>Total assets</t>
  </si>
  <si>
    <t>Output area:</t>
  </si>
  <si>
    <t xml:space="preserve">Cash </t>
  </si>
  <si>
    <t>Accounts receivable</t>
  </si>
  <si>
    <t>Inventories</t>
  </si>
  <si>
    <t>Property, plant, and equipment</t>
  </si>
  <si>
    <t xml:space="preserve">   Less: Accumulated depreciation</t>
  </si>
  <si>
    <t>Liabilities and Equity</t>
  </si>
  <si>
    <t>Assets</t>
  </si>
  <si>
    <t>Accounts payable</t>
  </si>
  <si>
    <t>Accrued expenses</t>
  </si>
  <si>
    <t xml:space="preserve">Common stock </t>
  </si>
  <si>
    <t>Accumulated retained earnings</t>
  </si>
  <si>
    <t>Total liabilities and equity</t>
  </si>
  <si>
    <t>Chapter 26</t>
  </si>
  <si>
    <t>Problem 11</t>
  </si>
  <si>
    <t>Problems 1-14</t>
  </si>
  <si>
    <t>Sales growth rate</t>
  </si>
  <si>
    <t>First quarter sales</t>
  </si>
  <si>
    <t>Quarter 1 adjustment</t>
  </si>
  <si>
    <t>Quarter 2 adjustment</t>
  </si>
  <si>
    <t>Quarter 3 adjustment</t>
  </si>
  <si>
    <t>Quarter 4 adjustment</t>
  </si>
  <si>
    <t>Sales (basic trend)</t>
  </si>
  <si>
    <t>Seasonal adjustment</t>
  </si>
  <si>
    <t>Sales projection</t>
  </si>
  <si>
    <t>Cash collections from sales</t>
  </si>
  <si>
    <t>Quarter 1</t>
  </si>
  <si>
    <t>Quarter 2</t>
  </si>
  <si>
    <t>Quarter 4</t>
  </si>
  <si>
    <t>Collected in quarter of sale</t>
  </si>
  <si>
    <t>Collected in quarter after sale</t>
  </si>
  <si>
    <t>Collected within quarter</t>
  </si>
  <si>
    <t>Collection from previous quarter</t>
  </si>
  <si>
    <t>Beginning accounts payable</t>
  </si>
  <si>
    <t>Sales in fourth quarter of previous year</t>
  </si>
  <si>
    <t>Question 12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</si>
  <si>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</si>
  <si>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</si>
  <si>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</si>
  <si>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</si>
  <si>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NWC other than cash</t>
  </si>
  <si>
    <t>Total L&amp;E</t>
  </si>
  <si>
    <t>Minimum balance (in millions)</t>
  </si>
  <si>
    <t>Collection of accounts</t>
  </si>
  <si>
    <t>Wages, taxes, and other expenses</t>
  </si>
  <si>
    <t>Capital expenditures</t>
  </si>
  <si>
    <t>Interest &amp; dividends</t>
  </si>
  <si>
    <t>Total cash disbursements</t>
  </si>
  <si>
    <t>Total cash collections</t>
  </si>
  <si>
    <t>Target cash balance</t>
  </si>
  <si>
    <t>Questions 13, 14</t>
  </si>
  <si>
    <t xml:space="preserve">Balance Sheet </t>
  </si>
  <si>
    <t>Chapter 16</t>
  </si>
  <si>
    <t>Book value of equity</t>
  </si>
  <si>
    <t>Accts. Rec + Inventory</t>
  </si>
</sst>
</file>

<file path=xl/styles.xml><?xml version="1.0" encoding="utf-8"?>
<styleSheet xmlns="http://schemas.openxmlformats.org/spreadsheetml/2006/main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_);_(* \(#,##0.0000\);_(* &quot;-&quot;????_);_(@_)"/>
    <numFmt numFmtId="167" formatCode="&quot;$&quot;#,##0.00"/>
    <numFmt numFmtId="168" formatCode="_(&quot;$&quot;* #,##0.0_);_(&quot;$&quot;* \(#,##0.0\);_(&quot;$&quot;* &quot;-&quot;?_);_(@_)"/>
    <numFmt numFmtId="169" formatCode="_(* #,##0.0_);_(* \(#,##0.0\);_(* &quot;-&quot;?_);_(@_)"/>
  </numFmts>
  <fonts count="29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12"/>
      <color indexed="57"/>
      <name val="Arial"/>
      <family val="2"/>
    </font>
    <font>
      <i/>
      <sz val="12"/>
      <color indexed="8"/>
      <name val="Arial"/>
      <family val="2"/>
    </font>
    <font>
      <b/>
      <sz val="12"/>
      <color indexed="57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i/>
      <u/>
      <sz val="12"/>
      <name val="Arial"/>
      <family val="2"/>
    </font>
    <font>
      <u/>
      <sz val="12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2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5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5" fillId="3" borderId="0" xfId="0" applyFont="1" applyFill="1" applyBorder="1"/>
    <xf numFmtId="0" fontId="6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2" borderId="0" xfId="0" applyFont="1" applyFill="1" applyBorder="1"/>
    <xf numFmtId="0" fontId="0" fillId="2" borderId="0" xfId="0" applyFill="1" applyBorder="1"/>
    <xf numFmtId="0" fontId="0" fillId="2" borderId="3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" xfId="0" applyFill="1" applyBorder="1"/>
    <xf numFmtId="0" fontId="0" fillId="2" borderId="7" xfId="0" applyFill="1" applyBorder="1"/>
    <xf numFmtId="165" fontId="7" fillId="2" borderId="0" xfId="1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3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5" xfId="0" applyFill="1" applyBorder="1"/>
    <xf numFmtId="0" fontId="0" fillId="3" borderId="7" xfId="0" applyFill="1" applyBorder="1"/>
    <xf numFmtId="0" fontId="0" fillId="3" borderId="8" xfId="0" applyFill="1" applyBorder="1"/>
    <xf numFmtId="165" fontId="7" fillId="3" borderId="0" xfId="1" applyNumberFormat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4" fillId="2" borderId="0" xfId="0" applyFont="1" applyFill="1" applyBorder="1"/>
    <xf numFmtId="164" fontId="8" fillId="3" borderId="0" xfId="3" applyNumberFormat="1" applyFont="1" applyFill="1" applyBorder="1"/>
    <xf numFmtId="44" fontId="8" fillId="3" borderId="9" xfId="3" applyNumberFormat="1" applyFont="1" applyFill="1" applyBorder="1"/>
    <xf numFmtId="44" fontId="7" fillId="3" borderId="0" xfId="3" applyNumberFormat="1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10" fillId="4" borderId="0" xfId="0" applyFont="1" applyFill="1" applyBorder="1"/>
    <xf numFmtId="0" fontId="10" fillId="4" borderId="0" xfId="0" applyFont="1" applyFill="1"/>
    <xf numFmtId="0" fontId="0" fillId="4" borderId="0" xfId="0" applyFill="1"/>
    <xf numFmtId="2" fontId="11" fillId="4" borderId="0" xfId="0" applyNumberFormat="1" applyFont="1" applyFill="1" applyBorder="1" applyAlignment="1"/>
    <xf numFmtId="0" fontId="12" fillId="4" borderId="0" xfId="0" applyFont="1" applyFill="1" applyBorder="1"/>
    <xf numFmtId="0" fontId="13" fillId="4" borderId="0" xfId="0" applyFont="1" applyFill="1" applyBorder="1" applyAlignment="1">
      <alignment horizontal="center"/>
    </xf>
    <xf numFmtId="0" fontId="5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8" fillId="4" borderId="0" xfId="0" applyFont="1" applyFill="1" applyBorder="1"/>
    <xf numFmtId="0" fontId="0" fillId="4" borderId="0" xfId="0" applyFill="1" applyBorder="1"/>
    <xf numFmtId="0" fontId="18" fillId="2" borderId="0" xfId="0" applyFont="1" applyFill="1" applyBorder="1" applyAlignment="1">
      <alignment horizontal="center"/>
    </xf>
    <xf numFmtId="164" fontId="18" fillId="2" borderId="0" xfId="3" applyNumberFormat="1" applyFont="1" applyFill="1" applyBorder="1" applyAlignment="1">
      <alignment horizontal="right"/>
    </xf>
    <xf numFmtId="0" fontId="4" fillId="2" borderId="4" xfId="0" applyFont="1" applyFill="1" applyBorder="1"/>
    <xf numFmtId="165" fontId="18" fillId="2" borderId="0" xfId="1" applyNumberFormat="1" applyFont="1" applyFill="1" applyBorder="1" applyAlignment="1">
      <alignment horizontal="right"/>
    </xf>
    <xf numFmtId="164" fontId="18" fillId="2" borderId="0" xfId="3" applyNumberFormat="1" applyFont="1" applyFill="1" applyBorder="1"/>
    <xf numFmtId="164" fontId="20" fillId="2" borderId="0" xfId="3" applyNumberFormat="1" applyFont="1" applyFill="1" applyBorder="1"/>
    <xf numFmtId="0" fontId="4" fillId="3" borderId="4" xfId="0" applyFont="1" applyFill="1" applyBorder="1"/>
    <xf numFmtId="0" fontId="8" fillId="3" borderId="0" xfId="0" applyFont="1" applyFill="1" applyBorder="1"/>
    <xf numFmtId="0" fontId="2" fillId="3" borderId="0" xfId="0" quotePrefix="1" applyFont="1" applyFill="1" applyBorder="1"/>
    <xf numFmtId="165" fontId="22" fillId="3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164" fontId="18" fillId="2" borderId="0" xfId="3" applyNumberFormat="1" applyFont="1" applyFill="1" applyBorder="1" applyAlignment="1">
      <alignment horizontal="center"/>
    </xf>
    <xf numFmtId="166" fontId="22" fillId="3" borderId="0" xfId="1" applyNumberFormat="1" applyFont="1" applyFill="1" applyBorder="1" applyAlignment="1">
      <alignment horizontal="right"/>
    </xf>
    <xf numFmtId="43" fontId="8" fillId="3" borderId="9" xfId="1" applyNumberFormat="1" applyFont="1" applyFill="1" applyBorder="1" applyAlignment="1">
      <alignment horizontal="right"/>
    </xf>
    <xf numFmtId="166" fontId="22" fillId="3" borderId="10" xfId="1" applyNumberFormat="1" applyFont="1" applyFill="1" applyBorder="1" applyAlignment="1">
      <alignment horizontal="right"/>
    </xf>
    <xf numFmtId="166" fontId="22" fillId="3" borderId="11" xfId="1" applyNumberFormat="1" applyFont="1" applyFill="1" applyBorder="1" applyAlignment="1">
      <alignment horizontal="right"/>
    </xf>
    <xf numFmtId="9" fontId="18" fillId="2" borderId="0" xfId="7" applyFont="1" applyFill="1" applyBorder="1" applyAlignment="1">
      <alignment horizontal="right"/>
    </xf>
    <xf numFmtId="44" fontId="8" fillId="3" borderId="0" xfId="3" applyFont="1" applyFill="1" applyBorder="1" applyAlignment="1">
      <alignment horizontal="center"/>
    </xf>
    <xf numFmtId="44" fontId="8" fillId="3" borderId="0" xfId="0" applyNumberFormat="1" applyFont="1" applyFill="1" applyBorder="1" applyAlignment="1">
      <alignment horizontal="center"/>
    </xf>
    <xf numFmtId="44" fontId="8" fillId="3" borderId="0" xfId="0" applyNumberFormat="1" applyFont="1" applyFill="1" applyBorder="1"/>
    <xf numFmtId="44" fontId="21" fillId="3" borderId="0" xfId="0" applyNumberFormat="1" applyFont="1" applyFill="1" applyBorder="1"/>
    <xf numFmtId="0" fontId="22" fillId="3" borderId="0" xfId="0" applyNumberFormat="1" applyFont="1" applyFill="1" applyBorder="1" applyAlignment="1">
      <alignment horizontal="center"/>
    </xf>
    <xf numFmtId="42" fontId="18" fillId="2" borderId="0" xfId="7" applyNumberFormat="1" applyFont="1" applyFill="1" applyBorder="1" applyAlignment="1">
      <alignment horizontal="right"/>
    </xf>
    <xf numFmtId="9" fontId="18" fillId="2" borderId="0" xfId="7" applyFont="1" applyFill="1" applyBorder="1"/>
    <xf numFmtId="164" fontId="8" fillId="3" borderId="12" xfId="3" applyNumberFormat="1" applyFont="1" applyFill="1" applyBorder="1"/>
    <xf numFmtId="41" fontId="8" fillId="3" borderId="11" xfId="3" applyNumberFormat="1" applyFont="1" applyFill="1" applyBorder="1"/>
    <xf numFmtId="41" fontId="8" fillId="3" borderId="0" xfId="3" applyNumberFormat="1" applyFont="1" applyFill="1" applyBorder="1"/>
    <xf numFmtId="41" fontId="8" fillId="3" borderId="13" xfId="3" applyNumberFormat="1" applyFont="1" applyFill="1" applyBorder="1"/>
    <xf numFmtId="41" fontId="18" fillId="2" borderId="0" xfId="3" applyNumberFormat="1" applyFont="1" applyFill="1" applyBorder="1"/>
    <xf numFmtId="164" fontId="22" fillId="3" borderId="0" xfId="0" applyNumberFormat="1" applyFont="1" applyFill="1" applyBorder="1"/>
    <xf numFmtId="0" fontId="25" fillId="0" borderId="0" xfId="0" applyFont="1"/>
    <xf numFmtId="0" fontId="9" fillId="2" borderId="0" xfId="0" applyFont="1" applyFill="1" applyBorder="1"/>
    <xf numFmtId="44" fontId="22" fillId="3" borderId="0" xfId="0" applyNumberFormat="1" applyFont="1" applyFill="1" applyBorder="1" applyAlignment="1">
      <alignment horizontal="center"/>
    </xf>
    <xf numFmtId="44" fontId="22" fillId="3" borderId="0" xfId="0" applyNumberFormat="1" applyFont="1" applyFill="1" applyBorder="1"/>
    <xf numFmtId="44" fontId="22" fillId="3" borderId="12" xfId="0" applyNumberFormat="1" applyFont="1" applyFill="1" applyBorder="1" applyAlignment="1">
      <alignment horizontal="center"/>
    </xf>
    <xf numFmtId="44" fontId="22" fillId="3" borderId="12" xfId="0" applyNumberFormat="1" applyFont="1" applyFill="1" applyBorder="1"/>
    <xf numFmtId="44" fontId="22" fillId="3" borderId="0" xfId="3" applyNumberFormat="1" applyFont="1" applyFill="1" applyBorder="1" applyAlignment="1">
      <alignment horizontal="center"/>
    </xf>
    <xf numFmtId="44" fontId="22" fillId="3" borderId="0" xfId="3" applyNumberFormat="1" applyFont="1" applyFill="1" applyBorder="1"/>
    <xf numFmtId="44" fontId="22" fillId="3" borderId="12" xfId="3" applyNumberFormat="1" applyFont="1" applyFill="1" applyBorder="1" applyAlignment="1">
      <alignment horizontal="center"/>
    </xf>
    <xf numFmtId="0" fontId="4" fillId="0" borderId="0" xfId="0" applyFont="1" applyBorder="1"/>
    <xf numFmtId="0" fontId="2" fillId="0" borderId="0" xfId="0" applyFont="1" applyBorder="1"/>
    <xf numFmtId="0" fontId="0" fillId="2" borderId="1" xfId="0" applyFill="1" applyBorder="1"/>
    <xf numFmtId="0" fontId="4" fillId="2" borderId="2" xfId="0" applyFont="1" applyFill="1" applyBorder="1"/>
    <xf numFmtId="0" fontId="0" fillId="2" borderId="4" xfId="0" applyFill="1" applyBorder="1"/>
    <xf numFmtId="0" fontId="3" fillId="2" borderId="0" xfId="0" applyFont="1" applyFill="1" applyBorder="1" applyAlignment="1">
      <alignment horizontal="center"/>
    </xf>
    <xf numFmtId="42" fontId="18" fillId="2" borderId="0" xfId="0" applyNumberFormat="1" applyFont="1" applyFill="1" applyBorder="1"/>
    <xf numFmtId="41" fontId="18" fillId="2" borderId="0" xfId="0" applyNumberFormat="1" applyFont="1" applyFill="1" applyBorder="1"/>
    <xf numFmtId="41" fontId="18" fillId="2" borderId="11" xfId="0" applyNumberFormat="1" applyFont="1" applyFill="1" applyBorder="1"/>
    <xf numFmtId="42" fontId="22" fillId="2" borderId="0" xfId="0" applyNumberFormat="1" applyFont="1" applyFill="1" applyBorder="1"/>
    <xf numFmtId="42" fontId="22" fillId="2" borderId="14" xfId="0" applyNumberFormat="1" applyFont="1" applyFill="1" applyBorder="1"/>
    <xf numFmtId="0" fontId="0" fillId="2" borderId="6" xfId="0" applyFill="1" applyBorder="1"/>
    <xf numFmtId="41" fontId="22" fillId="3" borderId="0" xfId="0" applyNumberFormat="1" applyFont="1" applyFill="1" applyBorder="1"/>
    <xf numFmtId="0" fontId="0" fillId="3" borderId="6" xfId="0" applyFill="1" applyBorder="1"/>
    <xf numFmtId="0" fontId="3" fillId="2" borderId="0" xfId="0" applyFont="1" applyFill="1" applyBorder="1"/>
    <xf numFmtId="42" fontId="8" fillId="3" borderId="0" xfId="0" applyNumberFormat="1" applyFont="1" applyFill="1" applyBorder="1" applyAlignment="1">
      <alignment horizontal="right"/>
    </xf>
    <xf numFmtId="41" fontId="8" fillId="3" borderId="0" xfId="0" applyNumberFormat="1" applyFont="1" applyFill="1" applyBorder="1" applyAlignment="1">
      <alignment horizontal="right"/>
    </xf>
    <xf numFmtId="42" fontId="8" fillId="3" borderId="0" xfId="0" applyNumberFormat="1" applyFont="1" applyFill="1" applyBorder="1"/>
    <xf numFmtId="42" fontId="18" fillId="2" borderId="0" xfId="7" applyNumberFormat="1" applyFont="1" applyFill="1" applyBorder="1"/>
    <xf numFmtId="42" fontId="18" fillId="2" borderId="0" xfId="3" applyNumberFormat="1" applyFont="1" applyFill="1" applyBorder="1"/>
    <xf numFmtId="0" fontId="4" fillId="3" borderId="11" xfId="0" applyFont="1" applyFill="1" applyBorder="1" applyAlignment="1">
      <alignment horizontal="right"/>
    </xf>
    <xf numFmtId="164" fontId="22" fillId="3" borderId="0" xfId="3" applyNumberFormat="1" applyFont="1" applyFill="1" applyBorder="1"/>
    <xf numFmtId="41" fontId="22" fillId="3" borderId="0" xfId="3" applyNumberFormat="1" applyFont="1" applyFill="1" applyBorder="1"/>
    <xf numFmtId="165" fontId="22" fillId="3" borderId="11" xfId="3" applyNumberFormat="1" applyFont="1" applyFill="1" applyBorder="1"/>
    <xf numFmtId="42" fontId="22" fillId="3" borderId="0" xfId="3" applyNumberFormat="1" applyFont="1" applyFill="1" applyBorder="1"/>
    <xf numFmtId="41" fontId="22" fillId="3" borderId="11" xfId="3" applyNumberFormat="1" applyFont="1" applyFill="1" applyBorder="1"/>
    <xf numFmtId="0" fontId="26" fillId="4" borderId="0" xfId="0" applyFont="1" applyFill="1" applyBorder="1"/>
    <xf numFmtId="0" fontId="2" fillId="0" borderId="0" xfId="5" applyFont="1"/>
    <xf numFmtId="0" fontId="25" fillId="0" borderId="0" xfId="5" applyFont="1"/>
    <xf numFmtId="0" fontId="1" fillId="0" borderId="0" xfId="5"/>
    <xf numFmtId="0" fontId="4" fillId="0" borderId="0" xfId="5" applyFont="1"/>
    <xf numFmtId="0" fontId="2" fillId="2" borderId="1" xfId="5" applyFont="1" applyFill="1" applyBorder="1"/>
    <xf numFmtId="0" fontId="2" fillId="2" borderId="2" xfId="5" applyFont="1" applyFill="1" applyBorder="1"/>
    <xf numFmtId="0" fontId="2" fillId="2" borderId="3" xfId="5" applyFont="1" applyFill="1" applyBorder="1"/>
    <xf numFmtId="0" fontId="2" fillId="2" borderId="4" xfId="5" applyFont="1" applyFill="1" applyBorder="1"/>
    <xf numFmtId="0" fontId="5" fillId="2" borderId="0" xfId="5" applyFont="1" applyFill="1" applyBorder="1"/>
    <xf numFmtId="0" fontId="2" fillId="2" borderId="5" xfId="5" applyFont="1" applyFill="1" applyBorder="1"/>
    <xf numFmtId="0" fontId="2" fillId="2" borderId="6" xfId="5" applyFont="1" applyFill="1" applyBorder="1"/>
    <xf numFmtId="0" fontId="2" fillId="2" borderId="7" xfId="5" applyFont="1" applyFill="1" applyBorder="1"/>
    <xf numFmtId="0" fontId="2" fillId="2" borderId="8" xfId="5" applyFont="1" applyFill="1" applyBorder="1"/>
    <xf numFmtId="0" fontId="2" fillId="3" borderId="1" xfId="5" applyFont="1" applyFill="1" applyBorder="1"/>
    <xf numFmtId="0" fontId="2" fillId="3" borderId="2" xfId="5" applyFont="1" applyFill="1" applyBorder="1"/>
    <xf numFmtId="0" fontId="2" fillId="3" borderId="3" xfId="5" applyFont="1" applyFill="1" applyBorder="1"/>
    <xf numFmtId="0" fontId="2" fillId="3" borderId="4" xfId="5" applyFont="1" applyFill="1" applyBorder="1"/>
    <xf numFmtId="0" fontId="2" fillId="3" borderId="0" xfId="5" applyFont="1" applyFill="1" applyBorder="1"/>
    <xf numFmtId="164" fontId="22" fillId="3" borderId="0" xfId="5" applyNumberFormat="1" applyFont="1" applyFill="1" applyBorder="1"/>
    <xf numFmtId="0" fontId="2" fillId="3" borderId="5" xfId="5" applyFont="1" applyFill="1" applyBorder="1"/>
    <xf numFmtId="0" fontId="5" fillId="3" borderId="0" xfId="5" applyFont="1" applyFill="1" applyBorder="1" applyAlignment="1">
      <alignment horizontal="left"/>
    </xf>
    <xf numFmtId="164" fontId="8" fillId="3" borderId="9" xfId="5" applyNumberFormat="1" applyFont="1" applyFill="1" applyBorder="1" applyAlignment="1">
      <alignment horizontal="right"/>
    </xf>
    <xf numFmtId="164" fontId="22" fillId="3" borderId="0" xfId="5" applyNumberFormat="1" applyFont="1" applyFill="1" applyBorder="1" applyAlignment="1">
      <alignment horizontal="right"/>
    </xf>
    <xf numFmtId="0" fontId="2" fillId="3" borderId="6" xfId="5" applyFont="1" applyFill="1" applyBorder="1"/>
    <xf numFmtId="0" fontId="2" fillId="3" borderId="7" xfId="5" applyFont="1" applyFill="1" applyBorder="1"/>
    <xf numFmtId="0" fontId="2" fillId="3" borderId="8" xfId="5" applyFont="1" applyFill="1" applyBorder="1"/>
    <xf numFmtId="43" fontId="22" fillId="3" borderId="0" xfId="0" applyNumberFormat="1" applyFont="1" applyFill="1" applyBorder="1" applyAlignment="1">
      <alignment horizontal="center"/>
    </xf>
    <xf numFmtId="43" fontId="22" fillId="3" borderId="0" xfId="0" applyNumberFormat="1" applyFont="1" applyFill="1" applyBorder="1"/>
    <xf numFmtId="43" fontId="8" fillId="3" borderId="11" xfId="0" applyNumberFormat="1" applyFont="1" applyFill="1" applyBorder="1" applyAlignment="1">
      <alignment horizontal="center"/>
    </xf>
    <xf numFmtId="43" fontId="8" fillId="3" borderId="11" xfId="3" applyNumberFormat="1" applyFont="1" applyFill="1" applyBorder="1" applyAlignment="1">
      <alignment horizontal="center"/>
    </xf>
    <xf numFmtId="43" fontId="8" fillId="3" borderId="11" xfId="3" applyNumberFormat="1" applyFont="1" applyFill="1" applyBorder="1"/>
    <xf numFmtId="43" fontId="8" fillId="3" borderId="0" xfId="3" applyNumberFormat="1" applyFont="1" applyFill="1" applyBorder="1" applyAlignment="1">
      <alignment horizontal="center"/>
    </xf>
    <xf numFmtId="43" fontId="22" fillId="3" borderId="0" xfId="3" applyNumberFormat="1" applyFont="1" applyFill="1" applyBorder="1" applyAlignment="1">
      <alignment horizontal="center"/>
    </xf>
    <xf numFmtId="43" fontId="22" fillId="3" borderId="0" xfId="3" applyNumberFormat="1" applyFont="1" applyFill="1" applyBorder="1"/>
    <xf numFmtId="43" fontId="8" fillId="3" borderId="0" xfId="3" applyNumberFormat="1" applyFont="1" applyFill="1" applyBorder="1"/>
    <xf numFmtId="41" fontId="27" fillId="2" borderId="11" xfId="0" applyNumberFormat="1" applyFont="1" applyFill="1" applyBorder="1"/>
    <xf numFmtId="0" fontId="25" fillId="0" borderId="0" xfId="5" applyFont="1" applyFill="1" applyBorder="1"/>
    <xf numFmtId="0" fontId="2" fillId="0" borderId="0" xfId="5" applyFont="1" applyFill="1" applyBorder="1"/>
    <xf numFmtId="0" fontId="1" fillId="0" borderId="0" xfId="5" applyFill="1" applyBorder="1"/>
    <xf numFmtId="0" fontId="5" fillId="0" borderId="0" xfId="5" applyFont="1" applyFill="1" applyBorder="1"/>
    <xf numFmtId="0" fontId="1" fillId="2" borderId="1" xfId="5" applyFill="1" applyBorder="1"/>
    <xf numFmtId="0" fontId="5" fillId="2" borderId="2" xfId="5" applyFont="1" applyFill="1" applyBorder="1"/>
    <xf numFmtId="0" fontId="1" fillId="2" borderId="3" xfId="5" applyFill="1" applyBorder="1"/>
    <xf numFmtId="0" fontId="1" fillId="2" borderId="4" xfId="5" applyFill="1" applyBorder="1"/>
    <xf numFmtId="164" fontId="7" fillId="2" borderId="0" xfId="4" applyNumberFormat="1" applyFont="1" applyFill="1" applyBorder="1" applyAlignment="1">
      <alignment horizontal="center"/>
    </xf>
    <xf numFmtId="0" fontId="7" fillId="2" borderId="0" xfId="5" applyFont="1" applyFill="1" applyBorder="1" applyAlignment="1">
      <alignment horizontal="center"/>
    </xf>
    <xf numFmtId="0" fontId="4" fillId="2" borderId="0" xfId="5" applyFont="1" applyFill="1" applyBorder="1" applyAlignment="1">
      <alignment horizontal="center"/>
    </xf>
    <xf numFmtId="0" fontId="1" fillId="2" borderId="5" xfId="5" applyFill="1" applyBorder="1"/>
    <xf numFmtId="164" fontId="18" fillId="2" borderId="0" xfId="4" applyNumberFormat="1" applyFont="1" applyFill="1" applyBorder="1" applyAlignment="1">
      <alignment horizontal="right"/>
    </xf>
    <xf numFmtId="0" fontId="18" fillId="2" borderId="0" xfId="5" applyFont="1" applyFill="1" applyBorder="1"/>
    <xf numFmtId="164" fontId="18" fillId="2" borderId="0" xfId="4" applyNumberFormat="1" applyFont="1" applyFill="1" applyBorder="1"/>
    <xf numFmtId="0" fontId="2" fillId="2" borderId="0" xfId="5" applyFont="1" applyFill="1" applyBorder="1"/>
    <xf numFmtId="165" fontId="18" fillId="2" borderId="0" xfId="2" applyNumberFormat="1" applyFont="1" applyFill="1" applyBorder="1" applyAlignment="1">
      <alignment horizontal="right"/>
    </xf>
    <xf numFmtId="9" fontId="18" fillId="2" borderId="0" xfId="8" applyFont="1" applyFill="1" applyBorder="1" applyAlignment="1">
      <alignment horizontal="right"/>
    </xf>
    <xf numFmtId="44" fontId="18" fillId="2" borderId="0" xfId="4" applyFont="1" applyFill="1" applyBorder="1" applyAlignment="1">
      <alignment horizontal="right"/>
    </xf>
    <xf numFmtId="0" fontId="1" fillId="2" borderId="6" xfId="5" applyFill="1" applyBorder="1"/>
    <xf numFmtId="0" fontId="5" fillId="2" borderId="7" xfId="5" applyFont="1" applyFill="1" applyBorder="1"/>
    <xf numFmtId="0" fontId="1" fillId="2" borderId="8" xfId="5" applyFill="1" applyBorder="1"/>
    <xf numFmtId="0" fontId="4" fillId="0" borderId="0" xfId="5" applyFont="1" applyFill="1" applyBorder="1"/>
    <xf numFmtId="0" fontId="1" fillId="3" borderId="1" xfId="5" applyFill="1" applyBorder="1"/>
    <xf numFmtId="0" fontId="1" fillId="3" borderId="3" xfId="5" applyFill="1" applyBorder="1"/>
    <xf numFmtId="0" fontId="1" fillId="3" borderId="4" xfId="5" applyFill="1" applyBorder="1"/>
    <xf numFmtId="10" fontId="9" fillId="3" borderId="0" xfId="8" applyNumberFormat="1" applyFont="1" applyFill="1" applyBorder="1" applyAlignment="1">
      <alignment horizontal="right"/>
    </xf>
    <xf numFmtId="0" fontId="5" fillId="3" borderId="0" xfId="5" applyFont="1" applyFill="1" applyBorder="1"/>
    <xf numFmtId="0" fontId="1" fillId="3" borderId="5" xfId="5" applyFill="1" applyBorder="1"/>
    <xf numFmtId="44" fontId="22" fillId="3" borderId="0" xfId="4" applyFont="1" applyFill="1" applyBorder="1" applyAlignment="1">
      <alignment horizontal="right"/>
    </xf>
    <xf numFmtId="0" fontId="22" fillId="3" borderId="0" xfId="5" applyFont="1" applyFill="1" applyBorder="1"/>
    <xf numFmtId="44" fontId="22" fillId="3" borderId="0" xfId="5" applyNumberFormat="1" applyFont="1" applyFill="1" applyBorder="1"/>
    <xf numFmtId="43" fontId="22" fillId="3" borderId="0" xfId="4" applyNumberFormat="1" applyFont="1" applyFill="1" applyBorder="1" applyAlignment="1">
      <alignment horizontal="right"/>
    </xf>
    <xf numFmtId="43" fontId="22" fillId="3" borderId="0" xfId="5" applyNumberFormat="1" applyFont="1" applyFill="1" applyBorder="1"/>
    <xf numFmtId="43" fontId="22" fillId="3" borderId="11" xfId="4" applyNumberFormat="1" applyFont="1" applyFill="1" applyBorder="1" applyAlignment="1">
      <alignment horizontal="right"/>
    </xf>
    <xf numFmtId="43" fontId="22" fillId="3" borderId="11" xfId="5" applyNumberFormat="1" applyFont="1" applyFill="1" applyBorder="1"/>
    <xf numFmtId="44" fontId="2" fillId="3" borderId="0" xfId="4" applyFont="1" applyFill="1" applyBorder="1" applyAlignment="1">
      <alignment horizontal="right"/>
    </xf>
    <xf numFmtId="44" fontId="5" fillId="3" borderId="0" xfId="4" applyFont="1" applyFill="1" applyBorder="1" applyAlignment="1">
      <alignment horizontal="right"/>
    </xf>
    <xf numFmtId="44" fontId="7" fillId="3" borderId="0" xfId="4" applyFont="1" applyFill="1" applyBorder="1" applyAlignment="1">
      <alignment horizontal="center"/>
    </xf>
    <xf numFmtId="0" fontId="7" fillId="3" borderId="0" xfId="5" applyFont="1" applyFill="1" applyBorder="1" applyAlignment="1">
      <alignment horizontal="center"/>
    </xf>
    <xf numFmtId="44" fontId="22" fillId="3" borderId="0" xfId="4" applyNumberFormat="1" applyFont="1" applyFill="1" applyBorder="1" applyAlignment="1">
      <alignment horizontal="right"/>
    </xf>
    <xf numFmtId="164" fontId="22" fillId="3" borderId="0" xfId="4" applyNumberFormat="1" applyFont="1" applyFill="1" applyBorder="1"/>
    <xf numFmtId="44" fontId="22" fillId="3" borderId="0" xfId="4" applyNumberFormat="1" applyFont="1" applyFill="1" applyBorder="1"/>
    <xf numFmtId="43" fontId="22" fillId="3" borderId="11" xfId="4" applyNumberFormat="1" applyFont="1" applyFill="1" applyBorder="1"/>
    <xf numFmtId="164" fontId="5" fillId="3" borderId="0" xfId="4" applyNumberFormat="1" applyFont="1" applyFill="1" applyBorder="1" applyAlignment="1">
      <alignment horizontal="right"/>
    </xf>
    <xf numFmtId="164" fontId="5" fillId="3" borderId="0" xfId="4" applyNumberFormat="1" applyFont="1" applyFill="1" applyBorder="1"/>
    <xf numFmtId="43" fontId="22" fillId="3" borderId="0" xfId="4" applyNumberFormat="1" applyFont="1" applyFill="1" applyBorder="1"/>
    <xf numFmtId="44" fontId="1" fillId="0" borderId="0" xfId="5" applyNumberFormat="1"/>
    <xf numFmtId="44" fontId="22" fillId="3" borderId="0" xfId="4" applyFont="1" applyFill="1" applyBorder="1"/>
    <xf numFmtId="44" fontId="6" fillId="0" borderId="0" xfId="4" applyFont="1" applyFill="1" applyBorder="1" applyAlignment="1">
      <alignment horizontal="right"/>
    </xf>
    <xf numFmtId="0" fontId="5" fillId="3" borderId="4" xfId="5" applyFont="1" applyFill="1" applyBorder="1"/>
    <xf numFmtId="0" fontId="22" fillId="3" borderId="0" xfId="5" applyFont="1" applyFill="1" applyBorder="1" applyAlignment="1">
      <alignment horizontal="left"/>
    </xf>
    <xf numFmtId="167" fontId="22" fillId="3" borderId="0" xfId="4" applyNumberFormat="1" applyFont="1" applyFill="1" applyBorder="1" applyAlignment="1">
      <alignment horizontal="center"/>
    </xf>
    <xf numFmtId="0" fontId="22" fillId="3" borderId="0" xfId="5" applyFont="1" applyFill="1" applyBorder="1" applyAlignment="1">
      <alignment horizontal="center"/>
    </xf>
    <xf numFmtId="167" fontId="22" fillId="3" borderId="0" xfId="5" applyNumberFormat="1" applyFont="1" applyFill="1" applyBorder="1" applyAlignment="1">
      <alignment horizontal="center"/>
    </xf>
    <xf numFmtId="0" fontId="22" fillId="0" borderId="0" xfId="5" applyFont="1" applyFill="1" applyBorder="1"/>
    <xf numFmtId="167" fontId="22" fillId="3" borderId="0" xfId="8" applyNumberFormat="1" applyFont="1" applyFill="1" applyBorder="1" applyAlignment="1">
      <alignment horizontal="center"/>
    </xf>
    <xf numFmtId="0" fontId="2" fillId="3" borderId="0" xfId="5" applyFont="1" applyFill="1" applyBorder="1" applyAlignment="1">
      <alignment horizontal="left"/>
    </xf>
    <xf numFmtId="167" fontId="2" fillId="3" borderId="0" xfId="8" applyNumberFormat="1" applyFont="1" applyFill="1" applyBorder="1" applyAlignment="1">
      <alignment horizontal="center"/>
    </xf>
    <xf numFmtId="0" fontId="2" fillId="3" borderId="0" xfId="5" applyFont="1" applyFill="1" applyBorder="1" applyAlignment="1">
      <alignment horizontal="center"/>
    </xf>
    <xf numFmtId="167" fontId="2" fillId="3" borderId="0" xfId="5" applyNumberFormat="1" applyFont="1" applyFill="1" applyBorder="1" applyAlignment="1">
      <alignment horizontal="center"/>
    </xf>
    <xf numFmtId="44" fontId="22" fillId="3" borderId="0" xfId="8" applyNumberFormat="1" applyFont="1" applyFill="1" applyBorder="1" applyAlignment="1">
      <alignment horizontal="center"/>
    </xf>
    <xf numFmtId="44" fontId="22" fillId="3" borderId="11" xfId="8" applyNumberFormat="1" applyFont="1" applyFill="1" applyBorder="1" applyAlignment="1">
      <alignment horizontal="center"/>
    </xf>
    <xf numFmtId="0" fontId="1" fillId="3" borderId="6" xfId="5" applyFill="1" applyBorder="1"/>
    <xf numFmtId="0" fontId="5" fillId="3" borderId="7" xfId="5" applyFont="1" applyFill="1" applyBorder="1"/>
    <xf numFmtId="0" fontId="1" fillId="3" borderId="8" xfId="5" applyFill="1" applyBorder="1"/>
    <xf numFmtId="168" fontId="0" fillId="0" borderId="0" xfId="0" applyNumberFormat="1"/>
    <xf numFmtId="169" fontId="0" fillId="0" borderId="0" xfId="0" applyNumberFormat="1"/>
    <xf numFmtId="42" fontId="22" fillId="2" borderId="12" xfId="0" applyNumberFormat="1" applyFont="1" applyFill="1" applyBorder="1"/>
    <xf numFmtId="0" fontId="3" fillId="2" borderId="5" xfId="0" applyFont="1" applyFill="1" applyBorder="1" applyAlignment="1"/>
    <xf numFmtId="164" fontId="2" fillId="0" borderId="0" xfId="5" applyNumberFormat="1" applyFont="1"/>
    <xf numFmtId="0" fontId="2" fillId="3" borderId="0" xfId="0" applyFont="1" applyFill="1" applyBorder="1"/>
    <xf numFmtId="0" fontId="3" fillId="2" borderId="0" xfId="0" applyFont="1" applyFill="1" applyBorder="1" applyAlignment="1">
      <alignment horizontal="center"/>
    </xf>
    <xf numFmtId="0" fontId="7" fillId="3" borderId="0" xfId="5" applyFont="1" applyFill="1" applyBorder="1" applyAlignment="1">
      <alignment horizontal="center"/>
    </xf>
    <xf numFmtId="164" fontId="7" fillId="3" borderId="0" xfId="4" applyNumberFormat="1" applyFont="1" applyFill="1" applyBorder="1" applyAlignment="1">
      <alignment horizontal="center"/>
    </xf>
  </cellXfs>
  <cellStyles count="9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Normal 3" xfId="6"/>
    <cellStyle name="Percent" xfId="7" builtinId="5"/>
    <cellStyle name="Percent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51"/>
    <col min="4" max="4" width="42.5703125" style="51" customWidth="1"/>
    <col min="5" max="16384" width="9.140625" style="51"/>
  </cols>
  <sheetData>
    <row r="1" spans="1:29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</row>
    <row r="2" spans="1:29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</row>
    <row r="4" spans="1:29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</row>
    <row r="5" spans="1:29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</row>
    <row r="6" spans="1:29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</row>
    <row r="7" spans="1:29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</row>
    <row r="8" spans="1:29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</row>
    <row r="9" spans="1:29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</row>
    <row r="10" spans="1:29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</row>
    <row r="11" spans="1:29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</row>
    <row r="12" spans="1:29" ht="59.25">
      <c r="A12" s="49"/>
      <c r="B12" s="49"/>
      <c r="C12" s="49"/>
      <c r="D12" s="52" t="s">
        <v>181</v>
      </c>
      <c r="E12" s="49"/>
      <c r="F12" s="53"/>
      <c r="G12" s="49"/>
      <c r="H12" s="49"/>
      <c r="I12" s="49"/>
      <c r="J12" s="49"/>
      <c r="K12" s="49"/>
      <c r="L12" s="49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</row>
    <row r="13" spans="1:29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</row>
    <row r="14" spans="1:29" ht="23.25">
      <c r="A14" s="49"/>
      <c r="B14" s="49"/>
      <c r="C14" s="49"/>
      <c r="D14" s="54" t="s">
        <v>183</v>
      </c>
      <c r="E14" s="49"/>
      <c r="F14" s="49"/>
      <c r="G14" s="49"/>
      <c r="H14" s="49"/>
      <c r="I14" s="49"/>
      <c r="J14" s="49"/>
      <c r="K14" s="49"/>
      <c r="L14" s="49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</row>
    <row r="15" spans="1:29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</row>
    <row r="16" spans="1:29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</row>
    <row r="17" spans="1:29" ht="15">
      <c r="A17" s="49"/>
      <c r="B17" s="49"/>
      <c r="C17" s="49"/>
      <c r="D17" s="55"/>
      <c r="E17" s="49"/>
      <c r="F17" s="49"/>
      <c r="G17" s="49"/>
      <c r="H17" s="49"/>
      <c r="I17" s="49"/>
      <c r="J17" s="49"/>
      <c r="K17" s="49"/>
      <c r="L17" s="49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</row>
    <row r="18" spans="1:29" ht="15.75">
      <c r="A18" s="49"/>
      <c r="B18" s="49"/>
      <c r="C18" s="49"/>
      <c r="D18" s="56" t="s">
        <v>120</v>
      </c>
      <c r="E18" s="49"/>
      <c r="F18" s="49"/>
      <c r="G18" s="49"/>
      <c r="H18" s="49"/>
      <c r="I18" s="49"/>
      <c r="J18" s="49"/>
      <c r="K18" s="49"/>
      <c r="L18" s="49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</row>
    <row r="19" spans="1:29" ht="15.75">
      <c r="A19" s="49"/>
      <c r="B19" s="49"/>
      <c r="C19" s="49"/>
      <c r="D19" s="57" t="s">
        <v>121</v>
      </c>
      <c r="E19" s="49"/>
      <c r="F19" s="49"/>
      <c r="G19" s="49"/>
      <c r="H19" s="49"/>
      <c r="I19" s="49"/>
      <c r="J19" s="49"/>
      <c r="K19" s="49"/>
      <c r="L19" s="49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</row>
    <row r="20" spans="1:29" ht="15.75">
      <c r="A20" s="49"/>
      <c r="B20" s="49"/>
      <c r="C20" s="49"/>
      <c r="D20" s="58" t="s">
        <v>122</v>
      </c>
      <c r="E20" s="49"/>
      <c r="F20" s="49"/>
      <c r="G20" s="49"/>
      <c r="H20" s="49"/>
      <c r="I20" s="49"/>
      <c r="J20" s="49"/>
      <c r="K20" s="49"/>
      <c r="L20" s="49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</row>
    <row r="21" spans="1:29" ht="15.75">
      <c r="A21" s="49"/>
      <c r="B21" s="49"/>
      <c r="C21" s="49"/>
      <c r="D21" s="59" t="s">
        <v>123</v>
      </c>
      <c r="E21" s="49"/>
      <c r="F21" s="49"/>
      <c r="G21" s="49"/>
      <c r="H21" s="49"/>
      <c r="I21" s="49"/>
      <c r="J21" s="49"/>
      <c r="K21" s="49"/>
      <c r="L21" s="49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</row>
    <row r="22" spans="1:29" ht="15.75">
      <c r="A22" s="49"/>
      <c r="B22" s="49"/>
      <c r="C22" s="49"/>
      <c r="D22" s="60" t="s">
        <v>124</v>
      </c>
      <c r="E22" s="49"/>
      <c r="F22" s="49"/>
      <c r="G22" s="49"/>
      <c r="H22" s="49"/>
      <c r="I22" s="49"/>
      <c r="J22" s="49"/>
      <c r="K22" s="49"/>
      <c r="L22" s="49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</row>
    <row r="23" spans="1:29" ht="15">
      <c r="A23" s="49"/>
      <c r="B23" s="49"/>
      <c r="C23" s="49"/>
      <c r="D23" s="55"/>
      <c r="E23" s="49"/>
      <c r="F23" s="49"/>
      <c r="G23" s="49"/>
      <c r="H23" s="49"/>
      <c r="I23" s="49"/>
      <c r="J23" s="49"/>
      <c r="K23" s="49"/>
      <c r="L23" s="49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</row>
    <row r="24" spans="1:29">
      <c r="A24" s="49"/>
      <c r="B24" s="49"/>
      <c r="C24" s="49"/>
      <c r="D24" s="128" t="s">
        <v>204</v>
      </c>
      <c r="E24" s="49"/>
      <c r="F24" s="49"/>
      <c r="G24" s="49"/>
      <c r="H24" s="49"/>
      <c r="I24" s="49"/>
      <c r="J24" s="49"/>
      <c r="K24" s="49"/>
      <c r="L24" s="49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</row>
    <row r="25" spans="1:29">
      <c r="A25" s="49"/>
      <c r="B25" s="49"/>
      <c r="C25" s="49"/>
      <c r="D25" s="128" t="s">
        <v>205</v>
      </c>
      <c r="E25" s="49"/>
      <c r="F25" s="49"/>
      <c r="G25" s="49"/>
      <c r="H25" s="49"/>
      <c r="I25" s="49"/>
      <c r="J25" s="49"/>
      <c r="K25" s="49"/>
      <c r="L25" s="49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</row>
    <row r="26" spans="1:29">
      <c r="A26" s="49"/>
      <c r="B26" s="49"/>
      <c r="C26" s="49"/>
      <c r="D26" s="128" t="s">
        <v>206</v>
      </c>
      <c r="E26" s="49"/>
      <c r="F26" s="49"/>
      <c r="G26" s="49"/>
      <c r="H26" s="49"/>
      <c r="I26" s="49"/>
      <c r="J26" s="49"/>
      <c r="K26" s="49"/>
      <c r="L26" s="49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</row>
    <row r="27" spans="1:29">
      <c r="A27" s="49"/>
      <c r="B27" s="49"/>
      <c r="C27" s="49"/>
      <c r="D27" s="128" t="s">
        <v>207</v>
      </c>
      <c r="E27" s="49"/>
      <c r="F27" s="49"/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</row>
    <row r="28" spans="1:29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</row>
    <row r="29" spans="1:29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29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</row>
    <row r="31" spans="1:29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</row>
    <row r="32" spans="1:29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</row>
    <row r="33" spans="1:29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</row>
    <row r="34" spans="1:29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</row>
    <row r="35" spans="1:29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</row>
    <row r="36" spans="1:29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</row>
    <row r="37" spans="1:29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</row>
    <row r="38" spans="1:29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</row>
    <row r="39" spans="1:29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</row>
    <row r="40" spans="1:29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</row>
    <row r="41" spans="1:29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</row>
    <row r="42" spans="1:29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</row>
    <row r="43" spans="1:29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</row>
    <row r="44" spans="1:29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</row>
    <row r="45" spans="1:29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</row>
    <row r="46" spans="1:29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</row>
    <row r="47" spans="1:29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</row>
    <row r="48" spans="1:29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</row>
    <row r="49" spans="1:1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</row>
    <row r="50" spans="1:1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</row>
    <row r="51" spans="1:1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</row>
    <row r="52" spans="1:1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</row>
    <row r="53" spans="1:1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</row>
    <row r="54" spans="1:1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</row>
    <row r="55" spans="1:1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</row>
    <row r="56" spans="1:1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</row>
    <row r="57" spans="1:1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</row>
    <row r="58" spans="1:1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</row>
    <row r="59" spans="1:1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</row>
    <row r="60" spans="1:1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</row>
    <row r="61" spans="1:1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</row>
    <row r="62" spans="1:1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</row>
    <row r="63" spans="1:1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</row>
    <row r="64" spans="1:1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</row>
    <row r="65" spans="1:1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</row>
    <row r="66" spans="1:1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</row>
    <row r="67" spans="1:1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</row>
    <row r="68" spans="1:1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</row>
    <row r="69" spans="1:12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</row>
    <row r="70" spans="1:12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</row>
    <row r="71" spans="1:12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</row>
    <row r="72" spans="1:1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</row>
    <row r="73" spans="1:12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</row>
    <row r="74" spans="1:1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</row>
    <row r="75" spans="1:1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</row>
    <row r="76" spans="1:1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</row>
    <row r="77" spans="1:12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</row>
    <row r="78" spans="1:1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</row>
    <row r="79" spans="1:12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</row>
    <row r="80" spans="1:12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</row>
    <row r="81" spans="1:1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</row>
    <row r="82" spans="1:1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</row>
    <row r="83" spans="1:1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</row>
    <row r="84" spans="1:1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</row>
    <row r="85" spans="1:1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</row>
    <row r="86" spans="1:1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</row>
    <row r="87" spans="1:1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</row>
    <row r="88" spans="1:1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</row>
    <row r="89" spans="1:1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</row>
    <row r="90" spans="1:12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</row>
    <row r="91" spans="1:12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</row>
    <row r="92" spans="1:1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</row>
    <row r="93" spans="1:12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</row>
    <row r="94" spans="1:12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</row>
    <row r="95" spans="1:1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</row>
    <row r="96" spans="1:1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</row>
    <row r="97" spans="1:12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</row>
    <row r="98" spans="1:12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</row>
    <row r="99" spans="1:12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</row>
    <row r="100" spans="1:12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</row>
    <row r="101" spans="1:12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</row>
    <row r="102" spans="1:12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</row>
    <row r="103" spans="1:12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</row>
    <row r="104" spans="1:12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</row>
    <row r="105" spans="1:12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</row>
    <row r="106" spans="1:12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33"/>
  <sheetViews>
    <sheetView zoomScaleNormal="100" workbookViewId="0"/>
  </sheetViews>
  <sheetFormatPr defaultRowHeight="12.75"/>
  <cols>
    <col min="2" max="2" width="3.140625" customWidth="1"/>
    <col min="3" max="3" width="37.42578125" bestFit="1" customWidth="1"/>
    <col min="4" max="4" width="18.140625" customWidth="1"/>
    <col min="5" max="5" width="3.140625" customWidth="1"/>
    <col min="6" max="6" width="18.140625" customWidth="1"/>
    <col min="7" max="7" width="18" customWidth="1"/>
    <col min="8" max="8" width="3.140625" customWidth="1"/>
  </cols>
  <sheetData>
    <row r="1" spans="1:8" ht="18">
      <c r="A1" s="1"/>
      <c r="B1" s="1"/>
      <c r="C1" s="93" t="s">
        <v>181</v>
      </c>
      <c r="D1" s="1"/>
      <c r="E1" s="1"/>
      <c r="F1" s="1"/>
      <c r="G1" s="1"/>
      <c r="H1" s="1"/>
    </row>
    <row r="2" spans="1:8" ht="15">
      <c r="A2" s="1"/>
      <c r="B2" s="1"/>
      <c r="C2" s="1" t="s">
        <v>51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4"/>
      <c r="F6" s="4"/>
      <c r="G6" s="4"/>
      <c r="H6" s="5"/>
    </row>
    <row r="7" spans="1:8" ht="15">
      <c r="A7" s="1"/>
      <c r="B7" s="6"/>
      <c r="C7" s="44" t="s">
        <v>57</v>
      </c>
      <c r="D7" s="25"/>
      <c r="E7" s="25"/>
      <c r="F7" s="25"/>
      <c r="G7" s="25"/>
      <c r="H7" s="8"/>
    </row>
    <row r="8" spans="1:8" ht="15">
      <c r="A8" s="1"/>
      <c r="B8" s="6"/>
      <c r="C8" s="25" t="s">
        <v>58</v>
      </c>
      <c r="D8" s="86">
        <v>0.65</v>
      </c>
      <c r="E8" s="25"/>
      <c r="F8" s="25"/>
      <c r="G8" s="25"/>
      <c r="H8" s="8"/>
    </row>
    <row r="9" spans="1:8" ht="15">
      <c r="A9" s="1"/>
      <c r="B9" s="6"/>
      <c r="C9" s="25" t="s">
        <v>59</v>
      </c>
      <c r="D9" s="86">
        <v>0.2</v>
      </c>
      <c r="E9" s="25"/>
      <c r="F9" s="25"/>
      <c r="G9" s="25"/>
      <c r="H9" s="8"/>
    </row>
    <row r="10" spans="1:8" ht="15">
      <c r="A10" s="1"/>
      <c r="B10" s="6"/>
      <c r="C10" s="25" t="s">
        <v>60</v>
      </c>
      <c r="D10" s="86">
        <v>0.15</v>
      </c>
      <c r="E10" s="25"/>
      <c r="F10" s="25"/>
      <c r="G10" s="25"/>
      <c r="H10" s="8"/>
    </row>
    <row r="11" spans="1:8" ht="15">
      <c r="A11" s="1"/>
      <c r="B11" s="6"/>
      <c r="C11" s="25"/>
      <c r="D11" s="86"/>
      <c r="E11" s="25"/>
      <c r="F11" s="25"/>
      <c r="G11" s="25"/>
      <c r="H11" s="8"/>
    </row>
    <row r="12" spans="1:8" ht="15">
      <c r="A12" s="1"/>
      <c r="B12" s="6"/>
      <c r="C12" s="25" t="s">
        <v>65</v>
      </c>
      <c r="D12" s="66">
        <v>106800</v>
      </c>
      <c r="E12" s="25"/>
      <c r="F12" s="25"/>
      <c r="G12" s="25"/>
      <c r="H12" s="8"/>
    </row>
    <row r="13" spans="1:8" ht="15">
      <c r="A13" s="1"/>
      <c r="B13" s="6"/>
      <c r="C13" s="25" t="s">
        <v>66</v>
      </c>
      <c r="D13" s="66">
        <v>76300</v>
      </c>
      <c r="E13" s="25"/>
      <c r="F13" s="25"/>
      <c r="G13" s="25"/>
      <c r="H13" s="8"/>
    </row>
    <row r="14" spans="1:8" ht="15">
      <c r="A14" s="1"/>
      <c r="B14" s="6"/>
      <c r="C14" s="25"/>
      <c r="D14" s="42" t="s">
        <v>61</v>
      </c>
      <c r="E14" s="42"/>
      <c r="F14" s="42" t="s">
        <v>62</v>
      </c>
      <c r="G14" s="42" t="s">
        <v>63</v>
      </c>
      <c r="H14" s="8"/>
    </row>
    <row r="15" spans="1:8" ht="15">
      <c r="A15" s="1"/>
      <c r="B15" s="6"/>
      <c r="C15" s="25" t="s">
        <v>64</v>
      </c>
      <c r="D15" s="66">
        <v>234800</v>
      </c>
      <c r="E15" s="66"/>
      <c r="F15" s="66">
        <v>249300</v>
      </c>
      <c r="G15" s="66">
        <v>271000</v>
      </c>
      <c r="H15" s="8"/>
    </row>
    <row r="16" spans="1:8" ht="15.75" thickBot="1">
      <c r="A16" s="1"/>
      <c r="B16" s="9"/>
      <c r="C16" s="10"/>
      <c r="D16" s="10"/>
      <c r="E16" s="10"/>
      <c r="F16" s="10"/>
      <c r="G16" s="10"/>
      <c r="H16" s="11"/>
    </row>
    <row r="17" spans="1:8" ht="15">
      <c r="A17" s="1"/>
      <c r="B17" s="1"/>
      <c r="C17" s="1"/>
      <c r="D17" s="1"/>
      <c r="E17" s="1"/>
      <c r="F17" s="1"/>
      <c r="G17" s="1"/>
      <c r="H17" s="1"/>
    </row>
    <row r="18" spans="1:8" ht="15">
      <c r="A18" s="1"/>
      <c r="B18" s="1"/>
      <c r="C18" s="2" t="s">
        <v>2</v>
      </c>
      <c r="D18" s="1"/>
      <c r="E18" s="1"/>
      <c r="F18" s="1"/>
      <c r="G18" s="1"/>
      <c r="H18" s="1"/>
    </row>
    <row r="19" spans="1:8" ht="15.75" thickBot="1">
      <c r="A19" s="1"/>
      <c r="B19" s="1"/>
      <c r="C19" s="1"/>
      <c r="D19" s="1"/>
      <c r="E19" s="1"/>
      <c r="F19" s="1"/>
      <c r="G19" s="1"/>
      <c r="H19" s="1"/>
    </row>
    <row r="20" spans="1:8" ht="15">
      <c r="A20" s="1"/>
      <c r="B20" s="12"/>
      <c r="C20" s="13"/>
      <c r="D20" s="13"/>
      <c r="E20" s="14"/>
      <c r="F20" s="1"/>
      <c r="G20" s="1"/>
      <c r="H20" s="1"/>
    </row>
    <row r="21" spans="1:8" ht="15.75">
      <c r="A21" s="1"/>
      <c r="B21" s="68" t="s">
        <v>125</v>
      </c>
      <c r="C21" s="16" t="s">
        <v>67</v>
      </c>
      <c r="D21" s="46">
        <f>(D12-D13)/D10</f>
        <v>203333.33333333334</v>
      </c>
      <c r="E21" s="17"/>
      <c r="F21" s="1"/>
      <c r="G21" s="1"/>
      <c r="H21" s="1"/>
    </row>
    <row r="22" spans="1:8" ht="15.75">
      <c r="A22" s="1"/>
      <c r="B22" s="68"/>
      <c r="C22" s="16"/>
      <c r="D22" s="45"/>
      <c r="E22" s="17"/>
      <c r="F22" s="1"/>
      <c r="G22" s="1"/>
      <c r="H22" s="1"/>
    </row>
    <row r="23" spans="1:8" ht="15.75">
      <c r="A23" s="1"/>
      <c r="B23" s="68" t="s">
        <v>126</v>
      </c>
      <c r="C23" s="16" t="s">
        <v>68</v>
      </c>
      <c r="D23" s="46">
        <f>D13/(D9+D10)</f>
        <v>218000</v>
      </c>
      <c r="E23" s="17"/>
      <c r="F23" s="1"/>
      <c r="G23" s="1"/>
      <c r="H23" s="1"/>
    </row>
    <row r="24" spans="1:8" ht="15.75">
      <c r="A24" s="1"/>
      <c r="B24" s="68"/>
      <c r="C24" s="16"/>
      <c r="D24" s="45"/>
      <c r="E24" s="17"/>
      <c r="F24" s="1"/>
      <c r="G24" s="1"/>
      <c r="H24" s="1"/>
    </row>
    <row r="25" spans="1:8" ht="15.75">
      <c r="A25" s="1"/>
      <c r="B25" s="68" t="s">
        <v>127</v>
      </c>
      <c r="C25" s="16" t="s">
        <v>69</v>
      </c>
      <c r="D25" s="46">
        <f>($D$10*D21)+($D$9*D23)+($D$8*D15)</f>
        <v>226720</v>
      </c>
      <c r="E25" s="17"/>
      <c r="F25" s="1"/>
      <c r="G25" s="1"/>
      <c r="H25" s="1"/>
    </row>
    <row r="26" spans="1:8" ht="15.75">
      <c r="A26" s="1"/>
      <c r="B26" s="68"/>
      <c r="C26" s="23" t="s">
        <v>70</v>
      </c>
      <c r="D26" s="46">
        <f>($D$10*D23)+($D$9*D15)+($D$8*F15)</f>
        <v>241705</v>
      </c>
      <c r="E26" s="17"/>
      <c r="F26" s="1"/>
      <c r="G26" s="1"/>
      <c r="H26" s="1"/>
    </row>
    <row r="27" spans="1:8" ht="15.75">
      <c r="A27" s="1"/>
      <c r="B27" s="68"/>
      <c r="C27" s="23" t="s">
        <v>71</v>
      </c>
      <c r="D27" s="46">
        <f>($D$10*D15)+($D$9*F15)+($D$8*G15)</f>
        <v>261230</v>
      </c>
      <c r="E27" s="17"/>
      <c r="F27" s="1"/>
      <c r="G27" s="1"/>
      <c r="H27" s="1"/>
    </row>
    <row r="28" spans="1:8" ht="15.75" thickBot="1">
      <c r="A28" s="1"/>
      <c r="B28" s="18"/>
      <c r="C28" s="19"/>
      <c r="D28" s="19"/>
      <c r="E28" s="20"/>
      <c r="F28" s="1"/>
      <c r="G28" s="1"/>
      <c r="H28" s="1"/>
    </row>
    <row r="29" spans="1:8" ht="15">
      <c r="A29" s="1"/>
      <c r="B29" s="1"/>
      <c r="C29" s="1"/>
      <c r="D29" s="1"/>
      <c r="E29" s="1"/>
      <c r="F29" s="1"/>
      <c r="G29" s="1"/>
      <c r="H29" s="1"/>
    </row>
    <row r="30" spans="1:8" ht="15">
      <c r="A30" s="1"/>
      <c r="B30" s="1"/>
      <c r="C30" s="1"/>
      <c r="D30" s="1"/>
      <c r="E30" s="1"/>
      <c r="F30" s="1"/>
      <c r="G30" s="1"/>
      <c r="H30" s="1"/>
    </row>
    <row r="31" spans="1:8" ht="15">
      <c r="A31" s="1"/>
      <c r="B31" s="1"/>
      <c r="C31" s="1"/>
      <c r="D31" s="1"/>
      <c r="E31" s="1"/>
      <c r="F31" s="1"/>
      <c r="G31" s="1"/>
      <c r="H31" s="1"/>
    </row>
    <row r="32" spans="1:8" ht="15">
      <c r="A32" s="1"/>
      <c r="B32" s="1"/>
      <c r="C32" s="1"/>
      <c r="D32" s="1"/>
      <c r="E32" s="1"/>
      <c r="F32" s="1"/>
      <c r="G32" s="1"/>
      <c r="H32" s="1"/>
    </row>
    <row r="33" spans="1:8" ht="15">
      <c r="A33" s="1"/>
      <c r="B33" s="1"/>
      <c r="C33" s="1"/>
      <c r="D33" s="1"/>
      <c r="E33" s="1"/>
      <c r="F33" s="1"/>
      <c r="G33" s="1"/>
      <c r="H33" s="1"/>
    </row>
  </sheetData>
  <phoneticPr fontId="19" type="noConversion"/>
  <pageMargins left="0.75" right="0.75" top="1" bottom="1" header="0.5" footer="0.5"/>
  <pageSetup scale="82"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44"/>
  <sheetViews>
    <sheetView zoomScaleNormal="100" workbookViewId="0"/>
  </sheetViews>
  <sheetFormatPr defaultRowHeight="12.75"/>
  <cols>
    <col min="2" max="2" width="3.140625" customWidth="1"/>
    <col min="3" max="3" width="35.85546875" customWidth="1"/>
    <col min="4" max="5" width="18.140625" customWidth="1"/>
    <col min="6" max="6" width="18" customWidth="1"/>
    <col min="7" max="7" width="3.140625" customWidth="1"/>
  </cols>
  <sheetData>
    <row r="1" spans="1:7" ht="18">
      <c r="A1" s="1"/>
      <c r="B1" s="1"/>
      <c r="C1" s="93" t="s">
        <v>181</v>
      </c>
      <c r="D1" s="1"/>
      <c r="E1" s="1"/>
      <c r="F1" s="1"/>
      <c r="G1" s="1"/>
    </row>
    <row r="2" spans="1:7" ht="15">
      <c r="A2" s="1"/>
      <c r="B2" s="1"/>
      <c r="C2" s="1" t="s">
        <v>56</v>
      </c>
      <c r="D2" s="1"/>
      <c r="E2" s="1"/>
      <c r="F2" s="1"/>
      <c r="G2" s="1"/>
    </row>
    <row r="3" spans="1:7" ht="15">
      <c r="A3" s="1"/>
      <c r="B3" s="1"/>
      <c r="C3" s="1"/>
      <c r="D3" s="1"/>
      <c r="E3" s="1"/>
      <c r="F3" s="1"/>
      <c r="G3" s="1"/>
    </row>
    <row r="4" spans="1:7" ht="15">
      <c r="A4" s="1"/>
      <c r="B4" s="1"/>
      <c r="C4" s="2" t="s">
        <v>1</v>
      </c>
      <c r="D4" s="1"/>
      <c r="E4" s="1"/>
      <c r="F4" s="1"/>
      <c r="G4" s="1"/>
    </row>
    <row r="5" spans="1:7" ht="15.75" thickBot="1">
      <c r="A5" s="1"/>
      <c r="B5" s="1"/>
      <c r="C5" s="1"/>
      <c r="D5" s="1"/>
      <c r="E5" s="1"/>
      <c r="F5" s="1"/>
      <c r="G5" s="1"/>
    </row>
    <row r="6" spans="1:7" ht="15">
      <c r="A6" s="1"/>
      <c r="B6" s="3"/>
      <c r="C6" s="4"/>
      <c r="D6" s="4"/>
      <c r="E6" s="4"/>
      <c r="F6" s="4"/>
      <c r="G6" s="5"/>
    </row>
    <row r="7" spans="1:7" ht="15">
      <c r="A7" s="1"/>
      <c r="B7" s="6"/>
      <c r="C7" s="25" t="s">
        <v>72</v>
      </c>
      <c r="D7" s="86">
        <v>0.05</v>
      </c>
      <c r="E7" s="25"/>
      <c r="F7" s="25"/>
      <c r="G7" s="8"/>
    </row>
    <row r="8" spans="1:7" ht="15">
      <c r="A8" s="1"/>
      <c r="B8" s="6"/>
      <c r="C8" s="25" t="s">
        <v>73</v>
      </c>
      <c r="D8" s="86">
        <v>0.35</v>
      </c>
      <c r="E8" s="25"/>
      <c r="F8" s="25"/>
      <c r="G8" s="8"/>
    </row>
    <row r="9" spans="1:7" ht="15">
      <c r="A9" s="1"/>
      <c r="B9" s="6"/>
      <c r="C9" s="25" t="s">
        <v>74</v>
      </c>
      <c r="D9" s="86">
        <v>0.6</v>
      </c>
      <c r="E9" s="25"/>
      <c r="F9" s="25"/>
      <c r="G9" s="8"/>
    </row>
    <row r="10" spans="1:7" ht="15">
      <c r="A10" s="1"/>
      <c r="B10" s="6"/>
      <c r="C10" s="25" t="s">
        <v>151</v>
      </c>
      <c r="D10" s="66">
        <v>302400</v>
      </c>
      <c r="E10" s="25"/>
      <c r="F10" s="25"/>
      <c r="G10" s="8"/>
    </row>
    <row r="11" spans="1:7" ht="15">
      <c r="A11" s="1"/>
      <c r="B11" s="6"/>
      <c r="C11" s="25" t="s">
        <v>153</v>
      </c>
      <c r="D11" s="66">
        <v>224640</v>
      </c>
      <c r="E11" s="25"/>
      <c r="F11" s="25"/>
      <c r="G11" s="8"/>
    </row>
    <row r="12" spans="1:7" ht="15">
      <c r="A12" s="1"/>
      <c r="B12" s="6"/>
      <c r="C12" s="25" t="s">
        <v>152</v>
      </c>
      <c r="D12" s="66">
        <v>403200</v>
      </c>
      <c r="E12" s="25"/>
      <c r="F12" s="25"/>
      <c r="G12" s="8"/>
    </row>
    <row r="13" spans="1:7" ht="15">
      <c r="A13" s="1"/>
      <c r="B13" s="6"/>
      <c r="C13" s="25"/>
      <c r="D13" s="42" t="s">
        <v>76</v>
      </c>
      <c r="E13" s="42" t="s">
        <v>77</v>
      </c>
      <c r="F13" s="42" t="s">
        <v>78</v>
      </c>
      <c r="G13" s="8"/>
    </row>
    <row r="14" spans="1:7" ht="15">
      <c r="A14" s="1"/>
      <c r="B14" s="6"/>
      <c r="C14" s="25" t="s">
        <v>75</v>
      </c>
      <c r="D14" s="66">
        <v>547200</v>
      </c>
      <c r="E14" s="66">
        <v>570240</v>
      </c>
      <c r="F14" s="66">
        <v>630720</v>
      </c>
      <c r="G14" s="8"/>
    </row>
    <row r="15" spans="1:7" ht="15">
      <c r="A15" s="1"/>
      <c r="B15" s="6"/>
      <c r="C15" s="25" t="s">
        <v>79</v>
      </c>
      <c r="D15" s="91">
        <v>211680</v>
      </c>
      <c r="E15" s="91">
        <v>252720</v>
      </c>
      <c r="F15" s="91">
        <v>288450</v>
      </c>
      <c r="G15" s="8"/>
    </row>
    <row r="16" spans="1:7" ht="15">
      <c r="A16" s="1"/>
      <c r="B16" s="6"/>
      <c r="C16" s="25" t="s">
        <v>80</v>
      </c>
      <c r="D16" s="91"/>
      <c r="E16" s="91"/>
      <c r="F16" s="91"/>
      <c r="G16" s="8"/>
    </row>
    <row r="17" spans="1:7" ht="15">
      <c r="A17" s="1"/>
      <c r="B17" s="6"/>
      <c r="C17" s="25" t="s">
        <v>81</v>
      </c>
      <c r="D17" s="91">
        <v>57240</v>
      </c>
      <c r="E17" s="91">
        <v>69422</v>
      </c>
      <c r="F17" s="91">
        <v>72432</v>
      </c>
      <c r="G17" s="8"/>
    </row>
    <row r="18" spans="1:7" ht="15">
      <c r="A18" s="1"/>
      <c r="B18" s="6"/>
      <c r="C18" s="25" t="s">
        <v>82</v>
      </c>
      <c r="D18" s="91">
        <v>16416</v>
      </c>
      <c r="E18" s="91">
        <v>16416</v>
      </c>
      <c r="F18" s="91">
        <v>16416</v>
      </c>
      <c r="G18" s="8"/>
    </row>
    <row r="19" spans="1:7" ht="15">
      <c r="A19" s="1"/>
      <c r="B19" s="6"/>
      <c r="C19" s="25" t="s">
        <v>83</v>
      </c>
      <c r="D19" s="91">
        <v>119520</v>
      </c>
      <c r="E19" s="91">
        <v>131040</v>
      </c>
      <c r="F19" s="91">
        <v>0</v>
      </c>
      <c r="G19" s="8"/>
    </row>
    <row r="20" spans="1:7" ht="15.75" thickBot="1">
      <c r="A20" s="1"/>
      <c r="B20" s="9"/>
      <c r="C20" s="10"/>
      <c r="D20" s="10"/>
      <c r="E20" s="10"/>
      <c r="F20" s="10"/>
      <c r="G20" s="11"/>
    </row>
    <row r="21" spans="1:7" ht="15">
      <c r="A21" s="1"/>
      <c r="B21" s="1"/>
      <c r="C21" s="1"/>
      <c r="D21" s="1"/>
      <c r="E21" s="1"/>
      <c r="F21" s="1"/>
      <c r="G21" s="1"/>
    </row>
    <row r="22" spans="1:7" ht="15">
      <c r="A22" s="1"/>
      <c r="B22" s="1"/>
      <c r="C22" s="2" t="s">
        <v>2</v>
      </c>
      <c r="D22" s="1"/>
      <c r="E22" s="1"/>
      <c r="F22" s="1"/>
      <c r="G22" s="1"/>
    </row>
    <row r="23" spans="1:7" ht="15.75" thickBot="1">
      <c r="A23" s="1"/>
      <c r="B23" s="1"/>
      <c r="C23" s="1"/>
      <c r="D23" s="1"/>
      <c r="E23" s="1"/>
      <c r="F23" s="1"/>
      <c r="G23" s="1"/>
    </row>
    <row r="24" spans="1:7" ht="15">
      <c r="A24" s="1"/>
      <c r="B24" s="12"/>
      <c r="C24" s="13"/>
      <c r="D24" s="13"/>
      <c r="E24" s="13"/>
      <c r="F24" s="13"/>
      <c r="G24" s="14"/>
    </row>
    <row r="25" spans="1:7" ht="15">
      <c r="A25" s="1"/>
      <c r="B25" s="15"/>
      <c r="C25" s="236" t="s">
        <v>164</v>
      </c>
      <c r="D25" s="236"/>
      <c r="E25" s="236"/>
      <c r="F25" s="236"/>
      <c r="G25" s="17"/>
    </row>
    <row r="26" spans="1:7" ht="15">
      <c r="A26" s="1"/>
      <c r="B26" s="15"/>
      <c r="C26" s="16"/>
      <c r="D26" s="16"/>
      <c r="E26" s="16"/>
      <c r="F26" s="16"/>
      <c r="G26" s="17"/>
    </row>
    <row r="27" spans="1:7" ht="15">
      <c r="A27" s="1"/>
      <c r="B27" s="15"/>
      <c r="C27" s="16"/>
      <c r="D27" s="47" t="s">
        <v>76</v>
      </c>
      <c r="E27" s="41" t="s">
        <v>77</v>
      </c>
      <c r="F27" s="41" t="s">
        <v>78</v>
      </c>
      <c r="G27" s="17"/>
    </row>
    <row r="28" spans="1:7" ht="15.75">
      <c r="A28" s="1"/>
      <c r="B28" s="15"/>
      <c r="C28" s="16" t="s">
        <v>84</v>
      </c>
      <c r="D28" s="45">
        <f>D12</f>
        <v>403200</v>
      </c>
      <c r="E28" s="45">
        <f>D38</f>
        <v>358344</v>
      </c>
      <c r="F28" s="45">
        <f>E38</f>
        <v>457690</v>
      </c>
      <c r="G28" s="17"/>
    </row>
    <row r="29" spans="1:7" ht="15.75">
      <c r="A29" s="1"/>
      <c r="B29" s="15"/>
      <c r="C29" s="16" t="s">
        <v>85</v>
      </c>
      <c r="D29" s="45"/>
      <c r="E29" s="45"/>
      <c r="F29" s="45"/>
      <c r="G29" s="17"/>
    </row>
    <row r="30" spans="1:7" ht="15.75">
      <c r="A30" s="1"/>
      <c r="B30" s="15"/>
      <c r="C30" s="16" t="s">
        <v>91</v>
      </c>
      <c r="D30" s="88">
        <f>($D$8*D14)+($D$9*D10)</f>
        <v>372960</v>
      </c>
      <c r="E30" s="88">
        <f>($D$8*E14)+($D$9*D14)</f>
        <v>527904</v>
      </c>
      <c r="F30" s="88">
        <f>($D$8*F14)+($D$9*E14)</f>
        <v>562896</v>
      </c>
      <c r="G30" s="17"/>
    </row>
    <row r="31" spans="1:7" ht="15.75">
      <c r="A31" s="1"/>
      <c r="B31" s="15"/>
      <c r="C31" s="23" t="s">
        <v>86</v>
      </c>
      <c r="D31" s="89">
        <f>D28+D30</f>
        <v>776160</v>
      </c>
      <c r="E31" s="89">
        <f>E28+E30</f>
        <v>886248</v>
      </c>
      <c r="F31" s="89">
        <f>F28+F30</f>
        <v>1020586</v>
      </c>
      <c r="G31" s="17"/>
    </row>
    <row r="32" spans="1:7" ht="15.75">
      <c r="A32" s="1"/>
      <c r="B32" s="15"/>
      <c r="C32" s="23" t="s">
        <v>80</v>
      </c>
      <c r="D32" s="89"/>
      <c r="E32" s="89"/>
      <c r="F32" s="89"/>
      <c r="G32" s="17"/>
    </row>
    <row r="33" spans="1:7" ht="15.75">
      <c r="A33" s="1"/>
      <c r="B33" s="15"/>
      <c r="C33" s="23" t="s">
        <v>88</v>
      </c>
      <c r="D33" s="89">
        <f>D11</f>
        <v>224640</v>
      </c>
      <c r="E33" s="89">
        <f>D15</f>
        <v>211680</v>
      </c>
      <c r="F33" s="89">
        <f>E15</f>
        <v>252720</v>
      </c>
      <c r="G33" s="17"/>
    </row>
    <row r="34" spans="1:7" ht="15.75">
      <c r="A34" s="1"/>
      <c r="B34" s="15"/>
      <c r="C34" s="23" t="s">
        <v>81</v>
      </c>
      <c r="D34" s="89">
        <f>D17</f>
        <v>57240</v>
      </c>
      <c r="E34" s="89">
        <f t="shared" ref="E34:F36" si="0">E17</f>
        <v>69422</v>
      </c>
      <c r="F34" s="89">
        <f t="shared" si="0"/>
        <v>72432</v>
      </c>
      <c r="G34" s="17"/>
    </row>
    <row r="35" spans="1:7" ht="15.75">
      <c r="A35" s="1"/>
      <c r="B35" s="15"/>
      <c r="C35" s="23" t="s">
        <v>82</v>
      </c>
      <c r="D35" s="89">
        <f>D18</f>
        <v>16416</v>
      </c>
      <c r="E35" s="89">
        <f t="shared" si="0"/>
        <v>16416</v>
      </c>
      <c r="F35" s="89">
        <f t="shared" si="0"/>
        <v>16416</v>
      </c>
      <c r="G35" s="17"/>
    </row>
    <row r="36" spans="1:7" ht="15.75">
      <c r="A36" s="1"/>
      <c r="B36" s="15"/>
      <c r="C36" s="23" t="s">
        <v>83</v>
      </c>
      <c r="D36" s="89">
        <f>D19</f>
        <v>119520</v>
      </c>
      <c r="E36" s="89">
        <f t="shared" si="0"/>
        <v>131040</v>
      </c>
      <c r="F36" s="89">
        <f t="shared" si="0"/>
        <v>0</v>
      </c>
      <c r="G36" s="17"/>
    </row>
    <row r="37" spans="1:7" ht="15.75">
      <c r="A37" s="1"/>
      <c r="B37" s="15"/>
      <c r="C37" s="23" t="s">
        <v>89</v>
      </c>
      <c r="D37" s="90">
        <f>SUM(D33:D36)</f>
        <v>417816</v>
      </c>
      <c r="E37" s="90">
        <f>SUM(E33:E36)</f>
        <v>428558</v>
      </c>
      <c r="F37" s="90">
        <f>SUM(F33:F36)</f>
        <v>341568</v>
      </c>
      <c r="G37" s="17"/>
    </row>
    <row r="38" spans="1:7" ht="16.5" thickBot="1">
      <c r="A38" s="1"/>
      <c r="B38" s="15"/>
      <c r="C38" s="23" t="s">
        <v>90</v>
      </c>
      <c r="D38" s="87">
        <f>D31-D37</f>
        <v>358344</v>
      </c>
      <c r="E38" s="87">
        <f>E31-E37</f>
        <v>457690</v>
      </c>
      <c r="F38" s="87">
        <f>F31-F37</f>
        <v>679018</v>
      </c>
      <c r="G38" s="17"/>
    </row>
    <row r="39" spans="1:7" ht="16.5" thickTop="1" thickBot="1">
      <c r="A39" s="1"/>
      <c r="B39" s="18"/>
      <c r="C39" s="19" t="s">
        <v>87</v>
      </c>
      <c r="D39" s="19"/>
      <c r="E39" s="19"/>
      <c r="F39" s="19"/>
      <c r="G39" s="20"/>
    </row>
    <row r="40" spans="1:7" ht="15">
      <c r="A40" s="1"/>
      <c r="B40" s="1"/>
      <c r="C40" s="1"/>
      <c r="D40" s="1"/>
      <c r="E40" s="1"/>
      <c r="F40" s="1"/>
      <c r="G40" s="1"/>
    </row>
    <row r="41" spans="1:7" ht="15">
      <c r="A41" s="1"/>
      <c r="B41" s="1"/>
      <c r="C41" s="1"/>
      <c r="D41" s="1"/>
      <c r="E41" s="1"/>
      <c r="F41" s="1"/>
      <c r="G41" s="1"/>
    </row>
    <row r="42" spans="1:7" ht="15">
      <c r="A42" s="1"/>
      <c r="B42" s="1"/>
      <c r="C42" s="1"/>
      <c r="D42" s="1"/>
      <c r="E42" s="1"/>
      <c r="F42" s="1"/>
      <c r="G42" s="1"/>
    </row>
    <row r="43" spans="1:7" ht="15">
      <c r="A43" s="1"/>
      <c r="B43" s="1"/>
      <c r="C43" s="1"/>
      <c r="D43" s="1"/>
      <c r="E43" s="1"/>
      <c r="F43" s="1"/>
      <c r="G43" s="1"/>
    </row>
    <row r="44" spans="1:7" ht="15">
      <c r="A44" s="1"/>
      <c r="B44" s="1"/>
      <c r="C44" s="1"/>
      <c r="D44" s="1"/>
      <c r="E44" s="1"/>
      <c r="F44" s="1"/>
      <c r="G44" s="1"/>
    </row>
  </sheetData>
  <mergeCells count="1">
    <mergeCell ref="C25:F25"/>
  </mergeCells>
  <phoneticPr fontId="19" type="noConversion"/>
  <pageMargins left="0.75" right="0.75" top="1" bottom="1" header="0.5" footer="0.5"/>
  <pageSetup scale="83" orientation="portrait" horizontalDpi="360" verticalDpi="360" r:id="rId1"/>
  <headerFooter alignWithMargins="0"/>
  <ignoredErrors>
    <ignoredError sqref="E30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13"/>
  <dimension ref="A1:AT375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46" customWidth="1"/>
    <col min="4" max="5" width="14.85546875" customWidth="1"/>
    <col min="6" max="6" width="3.140625" customWidth="1"/>
    <col min="7" max="7" width="33.85546875" bestFit="1" customWidth="1"/>
    <col min="8" max="9" width="14.85546875" customWidth="1"/>
    <col min="10" max="10" width="3.140625" customWidth="1"/>
    <col min="11" max="11" width="19.28515625" customWidth="1"/>
    <col min="12" max="12" width="11" bestFit="1" customWidth="1"/>
    <col min="13" max="13" width="11.28515625" bestFit="1" customWidth="1"/>
    <col min="14" max="14" width="7.85546875" customWidth="1"/>
    <col min="15" max="15" width="11" bestFit="1" customWidth="1"/>
    <col min="16" max="16" width="3.140625" customWidth="1"/>
  </cols>
  <sheetData>
    <row r="1" spans="2:10" ht="18">
      <c r="C1" s="93" t="s">
        <v>181</v>
      </c>
      <c r="D1" s="93"/>
    </row>
    <row r="2" spans="2:10" ht="15">
      <c r="C2" s="1" t="s">
        <v>182</v>
      </c>
      <c r="D2" s="1"/>
    </row>
    <row r="4" spans="2:10" ht="15">
      <c r="C4" s="2" t="s">
        <v>166</v>
      </c>
      <c r="D4" s="2"/>
      <c r="E4" s="1"/>
      <c r="F4" s="1"/>
      <c r="G4" s="1"/>
      <c r="H4" s="1"/>
      <c r="I4" s="1"/>
      <c r="J4" s="1"/>
    </row>
    <row r="5" spans="2:10" ht="15.75" thickBot="1">
      <c r="C5" s="102"/>
      <c r="D5" s="102"/>
      <c r="E5" s="103"/>
      <c r="F5" s="1"/>
      <c r="G5" s="1"/>
      <c r="H5" s="1"/>
      <c r="I5" s="1"/>
      <c r="J5" s="1"/>
    </row>
    <row r="6" spans="2:10" ht="15">
      <c r="B6" s="104"/>
      <c r="C6" s="105"/>
      <c r="D6" s="105"/>
      <c r="E6" s="4"/>
      <c r="F6" s="5"/>
    </row>
    <row r="7" spans="2:10" ht="15.75">
      <c r="B7" s="106"/>
      <c r="C7" s="237" t="s">
        <v>219</v>
      </c>
      <c r="D7" s="237"/>
      <c r="E7" s="237"/>
      <c r="F7" s="234"/>
    </row>
    <row r="8" spans="2:10" ht="15.75">
      <c r="B8" s="106"/>
      <c r="C8" s="44"/>
      <c r="D8" s="107">
        <v>2011</v>
      </c>
      <c r="E8" s="107">
        <v>2012</v>
      </c>
      <c r="F8" s="8"/>
    </row>
    <row r="9" spans="2:10" ht="15.75">
      <c r="B9" s="106"/>
      <c r="C9" s="116" t="s">
        <v>175</v>
      </c>
      <c r="D9" s="108"/>
      <c r="E9" s="25"/>
      <c r="F9" s="8"/>
    </row>
    <row r="10" spans="2:10" ht="15">
      <c r="B10" s="106"/>
      <c r="C10" s="25" t="s">
        <v>169</v>
      </c>
      <c r="D10" s="108">
        <v>48180</v>
      </c>
      <c r="E10" s="108">
        <v>45815</v>
      </c>
      <c r="F10" s="8"/>
      <c r="H10" s="231"/>
      <c r="I10" s="231"/>
    </row>
    <row r="11" spans="2:10" ht="15">
      <c r="B11" s="106"/>
      <c r="C11" s="25" t="s">
        <v>170</v>
      </c>
      <c r="D11" s="109">
        <v>100155</v>
      </c>
      <c r="E11" s="109">
        <v>105413</v>
      </c>
      <c r="F11" s="8"/>
      <c r="H11" s="231"/>
      <c r="I11" s="231"/>
    </row>
    <row r="12" spans="2:10" ht="15">
      <c r="B12" s="106"/>
      <c r="C12" s="25" t="s">
        <v>171</v>
      </c>
      <c r="D12" s="109">
        <v>83600</v>
      </c>
      <c r="E12" s="109">
        <v>89716</v>
      </c>
      <c r="F12" s="8"/>
      <c r="H12" s="231"/>
      <c r="I12" s="231"/>
    </row>
    <row r="13" spans="2:10" ht="15">
      <c r="B13" s="106"/>
      <c r="C13" s="25" t="s">
        <v>172</v>
      </c>
      <c r="D13" s="109">
        <v>225992</v>
      </c>
      <c r="E13" s="109">
        <v>249086</v>
      </c>
      <c r="F13" s="8"/>
      <c r="H13" s="232"/>
      <c r="I13" s="232"/>
    </row>
    <row r="14" spans="2:10" ht="15">
      <c r="B14" s="106"/>
      <c r="C14" s="25" t="s">
        <v>173</v>
      </c>
      <c r="D14" s="110">
        <v>77194</v>
      </c>
      <c r="E14" s="110">
        <v>85579</v>
      </c>
      <c r="F14" s="8"/>
      <c r="H14" s="232"/>
      <c r="I14" s="232"/>
    </row>
    <row r="15" spans="2:10" ht="15.75" thickBot="1">
      <c r="B15" s="106"/>
      <c r="C15" s="25" t="s">
        <v>167</v>
      </c>
      <c r="D15" s="112">
        <f>D10+D11+D12+D13-D14</f>
        <v>380733</v>
      </c>
      <c r="E15" s="112">
        <f>E10+E11+E12+E13-E14</f>
        <v>404451</v>
      </c>
      <c r="F15" s="8"/>
    </row>
    <row r="16" spans="2:10" ht="15.75" thickTop="1">
      <c r="B16" s="106"/>
      <c r="C16" s="25"/>
      <c r="D16" s="111"/>
      <c r="E16" s="111"/>
      <c r="F16" s="8"/>
    </row>
    <row r="17" spans="1:46" ht="15">
      <c r="B17" s="106"/>
      <c r="C17" s="25"/>
      <c r="D17" s="111"/>
      <c r="E17" s="111"/>
      <c r="F17" s="8"/>
    </row>
    <row r="18" spans="1:46" ht="15.75">
      <c r="B18" s="106"/>
      <c r="C18" s="94" t="s">
        <v>174</v>
      </c>
      <c r="D18" s="108"/>
      <c r="E18" s="7"/>
      <c r="F18" s="8"/>
    </row>
    <row r="19" spans="1:46" ht="15">
      <c r="B19" s="106"/>
      <c r="C19" s="7" t="s">
        <v>176</v>
      </c>
      <c r="D19" s="108">
        <v>72522</v>
      </c>
      <c r="E19" s="108">
        <v>50396</v>
      </c>
      <c r="F19" s="8"/>
    </row>
    <row r="20" spans="1:46" ht="15">
      <c r="B20" s="106"/>
      <c r="C20" s="7" t="s">
        <v>177</v>
      </c>
      <c r="D20" s="109">
        <v>10980</v>
      </c>
      <c r="E20" s="109">
        <v>9840</v>
      </c>
      <c r="F20" s="8"/>
    </row>
    <row r="21" spans="1:46" ht="15">
      <c r="B21" s="106"/>
      <c r="C21" s="7" t="s">
        <v>10</v>
      </c>
      <c r="D21" s="109">
        <v>49500</v>
      </c>
      <c r="E21" s="109">
        <v>45000</v>
      </c>
      <c r="F21" s="8"/>
    </row>
    <row r="22" spans="1:46" ht="15">
      <c r="B22" s="106"/>
      <c r="C22" s="7" t="s">
        <v>178</v>
      </c>
      <c r="D22" s="109">
        <v>25000</v>
      </c>
      <c r="E22" s="109">
        <v>30000</v>
      </c>
      <c r="F22" s="8"/>
    </row>
    <row r="23" spans="1:46" ht="15">
      <c r="B23" s="106"/>
      <c r="C23" s="7" t="s">
        <v>179</v>
      </c>
      <c r="D23" s="164">
        <f>D24-D19-D20-D21-D22</f>
        <v>222731</v>
      </c>
      <c r="E23" s="164">
        <f>E24-E19-E20-E21-E22</f>
        <v>269215</v>
      </c>
      <c r="F23" s="8"/>
    </row>
    <row r="24" spans="1:46" ht="15.75" thickBot="1">
      <c r="B24" s="106"/>
      <c r="C24" s="7" t="s">
        <v>180</v>
      </c>
      <c r="D24" s="233">
        <f>D15</f>
        <v>380733</v>
      </c>
      <c r="E24" s="233">
        <f>E15</f>
        <v>404451</v>
      </c>
      <c r="F24" s="8"/>
    </row>
    <row r="25" spans="1:46" ht="16.5" thickTop="1" thickBot="1">
      <c r="B25" s="113"/>
      <c r="C25" s="10"/>
      <c r="D25" s="10"/>
      <c r="E25" s="10"/>
      <c r="F25" s="11"/>
    </row>
    <row r="26" spans="1:46" ht="15">
      <c r="C26" s="1"/>
      <c r="D26" s="1"/>
      <c r="E26" s="1"/>
      <c r="F26" s="1"/>
      <c r="G26" s="1"/>
      <c r="H26" s="1"/>
      <c r="I26" s="1"/>
      <c r="J26" s="1"/>
    </row>
    <row r="27" spans="1:46" ht="15">
      <c r="C27" s="2" t="s">
        <v>168</v>
      </c>
      <c r="D27" s="2"/>
      <c r="E27" s="1"/>
      <c r="F27" s="1"/>
      <c r="G27" s="1"/>
      <c r="H27" s="1"/>
      <c r="I27" s="1"/>
      <c r="J27" s="1"/>
    </row>
    <row r="28" spans="1:46" ht="15.75" thickBot="1">
      <c r="A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6" ht="15">
      <c r="A29" s="1"/>
      <c r="B29" s="12"/>
      <c r="C29" s="13"/>
      <c r="D29" s="13"/>
      <c r="E29" s="13"/>
      <c r="F29" s="1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 ht="15.75">
      <c r="A30" s="1"/>
      <c r="B30" s="15"/>
      <c r="C30" s="16" t="s">
        <v>13</v>
      </c>
      <c r="D30" s="117" t="str">
        <f>IF(E10&gt;D10,"Use","Source")</f>
        <v>Source</v>
      </c>
      <c r="E30" s="117">
        <f>D10-E10</f>
        <v>2365</v>
      </c>
      <c r="F30" s="17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 ht="15.75">
      <c r="A31" s="1"/>
      <c r="B31" s="15"/>
      <c r="C31" s="16" t="s">
        <v>170</v>
      </c>
      <c r="D31" s="117" t="str">
        <f>IF(E11&gt;D11,"Use","Source")</f>
        <v>Use</v>
      </c>
      <c r="E31" s="117">
        <f>D11-E11</f>
        <v>-5258</v>
      </c>
      <c r="F31" s="17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 ht="15.75">
      <c r="A32" s="1"/>
      <c r="B32" s="15"/>
      <c r="C32" s="16" t="s">
        <v>171</v>
      </c>
      <c r="D32" s="117" t="str">
        <f>IF(E12&gt;D12,"Use","Source")</f>
        <v>Use</v>
      </c>
      <c r="E32" s="117">
        <f>D12-E12</f>
        <v>-6116</v>
      </c>
      <c r="F32" s="1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46" ht="15" customHeight="1">
      <c r="A33" s="1"/>
      <c r="B33" s="15"/>
      <c r="C33" s="16" t="s">
        <v>172</v>
      </c>
      <c r="D33" s="117" t="str">
        <f>IF(E13&gt;D13,"Use","Source")</f>
        <v>Use</v>
      </c>
      <c r="E33" s="117">
        <f>D13-E13</f>
        <v>-23094</v>
      </c>
      <c r="F33" s="1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 ht="15" customHeight="1">
      <c r="A34" s="1"/>
      <c r="B34" s="15"/>
      <c r="C34" s="16"/>
      <c r="D34" s="114"/>
      <c r="E34" s="114"/>
      <c r="F34" s="1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 ht="15.75">
      <c r="A35" s="1"/>
      <c r="B35" s="15"/>
      <c r="C35" s="21" t="s">
        <v>176</v>
      </c>
      <c r="D35" s="118" t="str">
        <f>IF(E19&gt;D19,"Source","Use")</f>
        <v>Use</v>
      </c>
      <c r="E35" s="119">
        <f>E19-D19</f>
        <v>-22126</v>
      </c>
      <c r="F35" s="17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15.75">
      <c r="A36" s="1"/>
      <c r="B36" s="15"/>
      <c r="C36" s="21" t="s">
        <v>177</v>
      </c>
      <c r="D36" s="118" t="str">
        <f>IF(E20&gt;D20,"Source","Use")</f>
        <v>Use</v>
      </c>
      <c r="E36" s="119">
        <f>E20-D20</f>
        <v>-1140</v>
      </c>
      <c r="F36" s="17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46" ht="15.75">
      <c r="A37" s="1"/>
      <c r="B37" s="15"/>
      <c r="C37" s="21" t="s">
        <v>10</v>
      </c>
      <c r="D37" s="118" t="str">
        <f>IF(E21&gt;D21,"Source","Use")</f>
        <v>Use</v>
      </c>
      <c r="E37" s="119">
        <f>E21-D21</f>
        <v>-4500</v>
      </c>
      <c r="F37" s="1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 ht="15.75">
      <c r="A38" s="1"/>
      <c r="B38" s="15"/>
      <c r="C38" s="21" t="s">
        <v>178</v>
      </c>
      <c r="D38" s="118" t="str">
        <f>IF(E22&gt;D22,"Source","Use")</f>
        <v>Source</v>
      </c>
      <c r="E38" s="119">
        <f>E22-D22</f>
        <v>5000</v>
      </c>
      <c r="F38" s="1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46" ht="15.75">
      <c r="A39" s="1"/>
      <c r="B39" s="15"/>
      <c r="C39" s="21" t="s">
        <v>179</v>
      </c>
      <c r="D39" s="118" t="str">
        <f>IF(E23&gt;D23,"Source","Use")</f>
        <v>Source</v>
      </c>
      <c r="E39" s="119">
        <f>E23-D23</f>
        <v>46484</v>
      </c>
      <c r="F39" s="17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15" customHeight="1" thickBot="1">
      <c r="B40" s="115"/>
      <c r="C40" s="19"/>
      <c r="D40" s="19"/>
      <c r="E40" s="19"/>
      <c r="F40" s="20"/>
    </row>
    <row r="41" spans="1:46" ht="15" customHeight="1">
      <c r="C41" s="1"/>
      <c r="D41" s="1"/>
      <c r="E41" s="1"/>
      <c r="F41" s="1"/>
    </row>
    <row r="42" spans="1:46" ht="15" customHeight="1">
      <c r="C42" s="1"/>
      <c r="D42" s="1"/>
      <c r="E42" s="1"/>
      <c r="F42" s="1"/>
    </row>
    <row r="43" spans="1:46" ht="15" customHeight="1">
      <c r="C43" s="1"/>
      <c r="D43" s="1"/>
      <c r="E43" s="1"/>
      <c r="F43" s="1"/>
    </row>
    <row r="44" spans="1:46" ht="15" customHeight="1">
      <c r="C44" s="1"/>
      <c r="D44" s="1"/>
      <c r="E44" s="1"/>
      <c r="F44" s="1"/>
    </row>
    <row r="45" spans="1:46" ht="15" customHeight="1">
      <c r="C45" s="1"/>
      <c r="D45" s="1"/>
      <c r="E45" s="1"/>
      <c r="F45" s="1"/>
    </row>
    <row r="46" spans="1:46" ht="15" customHeight="1">
      <c r="C46" s="1"/>
      <c r="D46" s="1"/>
      <c r="E46" s="1"/>
      <c r="F46" s="1"/>
    </row>
    <row r="47" spans="1:46" ht="15" customHeight="1">
      <c r="C47" s="1"/>
      <c r="D47" s="1"/>
      <c r="E47" s="1"/>
      <c r="F47" s="1"/>
    </row>
    <row r="48" spans="1:46" ht="15" customHeight="1">
      <c r="C48" s="1"/>
      <c r="D48" s="1"/>
      <c r="E48" s="1"/>
      <c r="F48" s="1"/>
    </row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</sheetData>
  <mergeCells count="1">
    <mergeCell ref="C7:E7"/>
  </mergeCells>
  <phoneticPr fontId="0" type="noConversion"/>
  <pageMargins left="0.75" right="0.75" top="1" bottom="1" header="0.5" footer="0.5"/>
  <pageSetup scale="83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36"/>
  <sheetViews>
    <sheetView zoomScaleNormal="100" workbookViewId="0"/>
  </sheetViews>
  <sheetFormatPr defaultRowHeight="12.75"/>
  <cols>
    <col min="2" max="2" width="3.140625" customWidth="1"/>
    <col min="3" max="3" width="33.42578125" bestFit="1" customWidth="1"/>
    <col min="4" max="6" width="18.140625" customWidth="1"/>
    <col min="7" max="7" width="18" customWidth="1"/>
    <col min="8" max="8" width="3.140625" customWidth="1"/>
  </cols>
  <sheetData>
    <row r="1" spans="1:8" ht="18">
      <c r="A1" s="1"/>
      <c r="B1" s="1"/>
      <c r="C1" s="93" t="s">
        <v>181</v>
      </c>
      <c r="D1" s="1"/>
      <c r="E1" s="1"/>
      <c r="F1" s="1"/>
      <c r="G1" s="1"/>
      <c r="H1" s="1"/>
    </row>
    <row r="2" spans="1:8" ht="15">
      <c r="A2" s="1"/>
      <c r="B2" s="1"/>
      <c r="C2" s="1" t="s">
        <v>203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4"/>
      <c r="F6" s="4"/>
      <c r="G6" s="4"/>
      <c r="H6" s="5"/>
    </row>
    <row r="7" spans="1:8" ht="15">
      <c r="A7" s="1"/>
      <c r="B7" s="6"/>
      <c r="C7" s="25" t="s">
        <v>184</v>
      </c>
      <c r="D7" s="86">
        <v>0.1</v>
      </c>
      <c r="E7" s="25"/>
      <c r="F7" s="25"/>
      <c r="G7" s="25"/>
      <c r="H7" s="8"/>
    </row>
    <row r="8" spans="1:8" ht="15">
      <c r="A8" s="1"/>
      <c r="B8" s="6"/>
      <c r="C8" s="25" t="s">
        <v>185</v>
      </c>
      <c r="D8" s="120">
        <v>225000000</v>
      </c>
      <c r="E8" s="25"/>
      <c r="F8" s="25"/>
      <c r="G8" s="25"/>
      <c r="H8" s="8"/>
    </row>
    <row r="9" spans="1:8" ht="15">
      <c r="A9" s="1"/>
      <c r="B9" s="6"/>
      <c r="C9" s="25" t="s">
        <v>186</v>
      </c>
      <c r="D9" s="120">
        <v>0</v>
      </c>
      <c r="E9" s="25"/>
      <c r="F9" s="25"/>
      <c r="G9" s="25"/>
      <c r="H9" s="8"/>
    </row>
    <row r="10" spans="1:8" ht="15">
      <c r="A10" s="1"/>
      <c r="B10" s="6"/>
      <c r="C10" s="25" t="s">
        <v>187</v>
      </c>
      <c r="D10" s="121">
        <v>-16000000</v>
      </c>
      <c r="E10" s="25"/>
      <c r="F10" s="25"/>
      <c r="G10" s="25"/>
      <c r="H10" s="8"/>
    </row>
    <row r="11" spans="1:8" ht="15">
      <c r="A11" s="1"/>
      <c r="B11" s="6"/>
      <c r="C11" s="25" t="s">
        <v>188</v>
      </c>
      <c r="D11" s="121">
        <v>-8000000</v>
      </c>
      <c r="E11" s="25"/>
      <c r="F11" s="25"/>
      <c r="G11" s="25"/>
      <c r="H11" s="8"/>
    </row>
    <row r="12" spans="1:8" ht="15">
      <c r="A12" s="1"/>
      <c r="B12" s="6"/>
      <c r="C12" s="25" t="s">
        <v>189</v>
      </c>
      <c r="D12" s="121">
        <v>21000000</v>
      </c>
      <c r="E12" s="25"/>
      <c r="F12" s="25"/>
      <c r="G12" s="25"/>
      <c r="H12" s="8"/>
    </row>
    <row r="13" spans="1:8" ht="15">
      <c r="A13" s="1"/>
      <c r="B13" s="6"/>
      <c r="C13" s="25" t="s">
        <v>197</v>
      </c>
      <c r="D13" s="86">
        <v>0.5</v>
      </c>
      <c r="E13" s="25"/>
      <c r="F13" s="25"/>
      <c r="G13" s="25"/>
      <c r="H13" s="8"/>
    </row>
    <row r="14" spans="1:8" ht="15">
      <c r="A14" s="1"/>
      <c r="B14" s="6"/>
      <c r="C14" s="25" t="s">
        <v>198</v>
      </c>
      <c r="D14" s="86">
        <v>0.45</v>
      </c>
      <c r="E14" s="25"/>
      <c r="F14" s="25"/>
      <c r="G14" s="25"/>
      <c r="H14" s="8"/>
    </row>
    <row r="15" spans="1:8" ht="15">
      <c r="A15" s="1"/>
      <c r="B15" s="6"/>
      <c r="C15" s="25" t="s">
        <v>201</v>
      </c>
      <c r="D15" s="120">
        <v>104000000</v>
      </c>
      <c r="E15" s="25"/>
      <c r="F15" s="25"/>
      <c r="G15" s="25"/>
      <c r="H15" s="8"/>
    </row>
    <row r="16" spans="1:8" ht="15.75" thickBot="1">
      <c r="A16" s="1"/>
      <c r="B16" s="9"/>
      <c r="C16" s="10"/>
      <c r="D16" s="10"/>
      <c r="E16" s="10"/>
      <c r="F16" s="10"/>
      <c r="G16" s="10"/>
      <c r="H16" s="11"/>
    </row>
    <row r="17" spans="1:8" ht="15">
      <c r="A17" s="1"/>
      <c r="B17" s="1"/>
      <c r="C17" s="1"/>
      <c r="D17" s="1"/>
      <c r="E17" s="1"/>
      <c r="F17" s="1"/>
      <c r="G17" s="1"/>
      <c r="H17" s="1"/>
    </row>
    <row r="18" spans="1:8" ht="15">
      <c r="A18" s="1"/>
      <c r="B18" s="1"/>
      <c r="C18" s="2" t="s">
        <v>2</v>
      </c>
      <c r="D18" s="1"/>
      <c r="E18" s="1"/>
      <c r="F18" s="1"/>
      <c r="G18" s="1"/>
      <c r="H18" s="1"/>
    </row>
    <row r="19" spans="1:8" ht="15.75" thickBot="1">
      <c r="A19" s="1"/>
      <c r="B19" s="1"/>
      <c r="C19" s="1"/>
      <c r="D19" s="1"/>
      <c r="E19" s="1"/>
      <c r="F19" s="1"/>
      <c r="G19" s="1"/>
      <c r="H19" s="1"/>
    </row>
    <row r="20" spans="1:8" ht="15">
      <c r="A20" s="1"/>
      <c r="B20" s="12"/>
      <c r="C20" s="13"/>
      <c r="D20" s="13"/>
      <c r="E20" s="13"/>
      <c r="F20" s="13"/>
      <c r="G20" s="13"/>
      <c r="H20" s="14"/>
    </row>
    <row r="21" spans="1:8" ht="15">
      <c r="A21" s="1"/>
      <c r="B21" s="15"/>
      <c r="C21" s="16" t="s">
        <v>202</v>
      </c>
      <c r="D21" s="16"/>
      <c r="E21" s="92">
        <f>D15/(1-D13)</f>
        <v>208000000</v>
      </c>
      <c r="F21" s="16"/>
      <c r="G21" s="16"/>
      <c r="H21" s="17"/>
    </row>
    <row r="22" spans="1:8" ht="15">
      <c r="A22" s="1"/>
      <c r="B22" s="15"/>
      <c r="C22" s="16"/>
      <c r="D22" s="16"/>
      <c r="E22" s="16"/>
      <c r="F22" s="16"/>
      <c r="G22" s="16"/>
      <c r="H22" s="17"/>
    </row>
    <row r="23" spans="1:8" ht="15">
      <c r="A23" s="1"/>
      <c r="B23" s="15"/>
      <c r="C23" s="16"/>
      <c r="D23" s="122" t="s">
        <v>194</v>
      </c>
      <c r="E23" s="122" t="s">
        <v>195</v>
      </c>
      <c r="F23" s="122" t="s">
        <v>196</v>
      </c>
      <c r="G23" s="122" t="s">
        <v>196</v>
      </c>
      <c r="H23" s="17"/>
    </row>
    <row r="24" spans="1:8" ht="15">
      <c r="A24" s="1"/>
      <c r="B24" s="15"/>
      <c r="C24" s="16" t="s">
        <v>190</v>
      </c>
      <c r="D24" s="123">
        <f>D8</f>
        <v>225000000</v>
      </c>
      <c r="E24" s="123">
        <f>D24*(1+D7)</f>
        <v>247500000.00000003</v>
      </c>
      <c r="F24" s="123">
        <f>E24*(1+D7)</f>
        <v>272250000.00000006</v>
      </c>
      <c r="G24" s="123">
        <f>F24*(1+D7)</f>
        <v>299475000.00000012</v>
      </c>
      <c r="H24" s="17"/>
    </row>
    <row r="25" spans="1:8" ht="15">
      <c r="A25" s="1"/>
      <c r="B25" s="15"/>
      <c r="C25" s="16" t="s">
        <v>191</v>
      </c>
      <c r="D25" s="125">
        <f>D9</f>
        <v>0</v>
      </c>
      <c r="E25" s="125">
        <f>D10</f>
        <v>-16000000</v>
      </c>
      <c r="F25" s="125">
        <f>D11</f>
        <v>-8000000</v>
      </c>
      <c r="G25" s="125">
        <f>D12</f>
        <v>21000000</v>
      </c>
      <c r="H25" s="17"/>
    </row>
    <row r="26" spans="1:8" ht="15">
      <c r="A26" s="1"/>
      <c r="B26" s="15"/>
      <c r="C26" s="16" t="s">
        <v>192</v>
      </c>
      <c r="D26" s="124">
        <f>D24+D25</f>
        <v>225000000</v>
      </c>
      <c r="E26" s="124">
        <f>E24+E25</f>
        <v>231500000.00000003</v>
      </c>
      <c r="F26" s="124">
        <f>F24+F25</f>
        <v>264250000.00000006</v>
      </c>
      <c r="G26" s="124">
        <f>G24+G25</f>
        <v>320475000.00000012</v>
      </c>
      <c r="H26" s="17"/>
    </row>
    <row r="27" spans="1:8" ht="15">
      <c r="A27" s="1"/>
      <c r="B27" s="15"/>
      <c r="C27" s="23"/>
      <c r="D27" s="124"/>
      <c r="E27" s="124"/>
      <c r="F27" s="124"/>
      <c r="G27" s="124"/>
      <c r="H27" s="17"/>
    </row>
    <row r="28" spans="1:8" ht="15">
      <c r="A28" s="1"/>
      <c r="B28" s="15"/>
      <c r="C28" s="23" t="s">
        <v>199</v>
      </c>
      <c r="D28" s="126">
        <f>D26*$D$13</f>
        <v>112500000</v>
      </c>
      <c r="E28" s="126">
        <f>E26*$D$13</f>
        <v>115750000.00000001</v>
      </c>
      <c r="F28" s="126">
        <f>F26*$D$13</f>
        <v>132125000.00000003</v>
      </c>
      <c r="G28" s="126">
        <f>G26*$D$13</f>
        <v>160237500.00000006</v>
      </c>
      <c r="H28" s="17"/>
    </row>
    <row r="29" spans="1:8" ht="15">
      <c r="A29" s="1"/>
      <c r="B29" s="15"/>
      <c r="C29" s="23" t="s">
        <v>200</v>
      </c>
      <c r="D29" s="127">
        <f>E21*D14</f>
        <v>93600000</v>
      </c>
      <c r="E29" s="127">
        <f>D26*$D$14</f>
        <v>101250000</v>
      </c>
      <c r="F29" s="127">
        <f>E26*$D$14</f>
        <v>104175000.00000001</v>
      </c>
      <c r="G29" s="127">
        <f>F26*$D$14</f>
        <v>118912500.00000003</v>
      </c>
      <c r="H29" s="17"/>
    </row>
    <row r="30" spans="1:8" ht="15">
      <c r="A30" s="1"/>
      <c r="B30" s="15"/>
      <c r="C30" s="23" t="s">
        <v>193</v>
      </c>
      <c r="D30" s="126">
        <f>D28+D29</f>
        <v>206100000</v>
      </c>
      <c r="E30" s="126">
        <f>E28+E29</f>
        <v>217000000</v>
      </c>
      <c r="F30" s="126">
        <f>F28+F29</f>
        <v>236300000.00000006</v>
      </c>
      <c r="G30" s="126">
        <f>G28+G29</f>
        <v>279150000.00000012</v>
      </c>
      <c r="H30" s="17"/>
    </row>
    <row r="31" spans="1:8" ht="15.75" thickBot="1">
      <c r="A31" s="1"/>
      <c r="B31" s="18"/>
      <c r="C31" s="19" t="s">
        <v>87</v>
      </c>
      <c r="D31" s="19"/>
      <c r="E31" s="19"/>
      <c r="F31" s="19"/>
      <c r="G31" s="19"/>
      <c r="H31" s="20"/>
    </row>
    <row r="32" spans="1:8" ht="15">
      <c r="A32" s="1"/>
      <c r="B32" s="1"/>
      <c r="C32" s="1"/>
      <c r="D32" s="1"/>
      <c r="E32" s="1"/>
      <c r="F32" s="1"/>
      <c r="G32" s="1"/>
      <c r="H32" s="1"/>
    </row>
    <row r="33" spans="1:8" ht="15">
      <c r="A33" s="1"/>
      <c r="B33" s="1"/>
      <c r="C33" s="1"/>
      <c r="D33" s="1"/>
      <c r="E33" s="1"/>
      <c r="F33" s="1"/>
      <c r="G33" s="1"/>
      <c r="H33" s="1"/>
    </row>
    <row r="34" spans="1:8" ht="15">
      <c r="A34" s="1"/>
      <c r="B34" s="1"/>
      <c r="C34" s="1"/>
      <c r="D34" s="1"/>
      <c r="E34" s="1"/>
      <c r="F34" s="1"/>
      <c r="G34" s="1"/>
      <c r="H34" s="1"/>
    </row>
    <row r="35" spans="1:8" ht="15">
      <c r="A35" s="1"/>
      <c r="B35" s="1"/>
      <c r="C35" s="1"/>
      <c r="D35" s="1"/>
      <c r="E35" s="1"/>
      <c r="F35" s="1"/>
      <c r="G35" s="1"/>
      <c r="H35" s="1"/>
    </row>
    <row r="36" spans="1:8" ht="15">
      <c r="A36" s="1"/>
      <c r="B36" s="1"/>
      <c r="C36" s="1"/>
      <c r="D36" s="1"/>
      <c r="E36" s="1"/>
      <c r="F36" s="1"/>
      <c r="G36" s="1"/>
      <c r="H36" s="1"/>
    </row>
  </sheetData>
  <phoneticPr fontId="19" type="noConversion"/>
  <pageMargins left="0.75" right="0.75" top="1" bottom="1" header="0.5" footer="0.5"/>
  <pageSetup scale="83"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B1:K92"/>
  <sheetViews>
    <sheetView zoomScaleNormal="100" workbookViewId="0"/>
  </sheetViews>
  <sheetFormatPr defaultRowHeight="12.75"/>
  <cols>
    <col min="1" max="1" width="9.140625" style="131"/>
    <col min="2" max="2" width="4.85546875" style="131" bestFit="1" customWidth="1"/>
    <col min="3" max="3" width="39.85546875" style="131" customWidth="1"/>
    <col min="4" max="4" width="18.140625" style="131" customWidth="1"/>
    <col min="5" max="5" width="0.7109375" style="131" hidden="1" customWidth="1"/>
    <col min="6" max="8" width="18.140625" style="131" customWidth="1"/>
    <col min="9" max="9" width="3.140625" style="131" customWidth="1"/>
    <col min="10" max="16384" width="9.140625" style="131"/>
  </cols>
  <sheetData>
    <row r="1" spans="2:9" ht="18">
      <c r="C1" s="165" t="s">
        <v>181</v>
      </c>
      <c r="D1" s="166"/>
      <c r="E1" s="166"/>
      <c r="F1" s="166"/>
      <c r="G1" s="166"/>
      <c r="H1" s="166"/>
      <c r="I1" s="167"/>
    </row>
    <row r="2" spans="2:9" ht="15">
      <c r="C2" s="129" t="s">
        <v>218</v>
      </c>
      <c r="D2" s="166"/>
      <c r="E2" s="166"/>
      <c r="F2" s="166"/>
      <c r="G2" s="166"/>
      <c r="H2" s="166"/>
      <c r="I2" s="167"/>
    </row>
    <row r="3" spans="2:9" ht="15">
      <c r="C3" s="129"/>
      <c r="D3" s="166"/>
      <c r="E3" s="166"/>
      <c r="F3" s="166"/>
      <c r="G3" s="166"/>
      <c r="H3" s="166"/>
      <c r="I3" s="167"/>
    </row>
    <row r="4" spans="2:9" ht="15">
      <c r="C4" s="132" t="s">
        <v>1</v>
      </c>
      <c r="D4" s="166"/>
      <c r="E4" s="166"/>
      <c r="F4" s="166"/>
      <c r="G4" s="166"/>
      <c r="H4" s="166"/>
      <c r="I4" s="167"/>
    </row>
    <row r="5" spans="2:9" ht="15.75" thickBot="1">
      <c r="C5" s="168"/>
      <c r="D5" s="168"/>
      <c r="E5" s="168"/>
      <c r="F5" s="168"/>
      <c r="G5" s="168"/>
      <c r="H5" s="166"/>
      <c r="I5" s="167"/>
    </row>
    <row r="6" spans="2:9" ht="15">
      <c r="B6" s="169"/>
      <c r="C6" s="170"/>
      <c r="D6" s="170"/>
      <c r="E6" s="170"/>
      <c r="F6" s="170"/>
      <c r="G6" s="170"/>
      <c r="H6" s="134"/>
      <c r="I6" s="171"/>
    </row>
    <row r="7" spans="2:9" ht="15">
      <c r="B7" s="172"/>
      <c r="C7" s="137"/>
      <c r="D7" s="173" t="s">
        <v>23</v>
      </c>
      <c r="E7" s="174"/>
      <c r="F7" s="174" t="s">
        <v>24</v>
      </c>
      <c r="G7" s="174" t="s">
        <v>25</v>
      </c>
      <c r="H7" s="175" t="s">
        <v>26</v>
      </c>
      <c r="I7" s="176"/>
    </row>
    <row r="8" spans="2:9" ht="15">
      <c r="B8" s="172"/>
      <c r="C8" s="137" t="s">
        <v>106</v>
      </c>
      <c r="D8" s="177">
        <v>105</v>
      </c>
      <c r="E8" s="178"/>
      <c r="F8" s="179">
        <v>90</v>
      </c>
      <c r="G8" s="179">
        <v>122</v>
      </c>
      <c r="H8" s="179">
        <v>140</v>
      </c>
      <c r="I8" s="176"/>
    </row>
    <row r="9" spans="2:9" ht="15">
      <c r="B9" s="172"/>
      <c r="C9" s="137"/>
      <c r="D9" s="137"/>
      <c r="E9" s="137"/>
      <c r="F9" s="137"/>
      <c r="G9" s="137"/>
      <c r="H9" s="180"/>
      <c r="I9" s="176"/>
    </row>
    <row r="10" spans="2:9" ht="15">
      <c r="B10" s="172"/>
      <c r="C10" s="137" t="s">
        <v>154</v>
      </c>
      <c r="D10" s="177">
        <v>120</v>
      </c>
      <c r="E10" s="137"/>
      <c r="F10" s="137"/>
      <c r="G10" s="137"/>
      <c r="H10" s="180"/>
      <c r="I10" s="176"/>
    </row>
    <row r="11" spans="2:9" ht="15">
      <c r="B11" s="172"/>
      <c r="C11" s="137" t="s">
        <v>20</v>
      </c>
      <c r="D11" s="177">
        <v>34</v>
      </c>
      <c r="E11" s="137"/>
      <c r="F11" s="137"/>
      <c r="G11" s="137"/>
      <c r="H11" s="180"/>
      <c r="I11" s="176"/>
    </row>
    <row r="12" spans="2:9" ht="15">
      <c r="B12" s="172"/>
      <c r="C12" s="137" t="s">
        <v>21</v>
      </c>
      <c r="D12" s="181">
        <v>45</v>
      </c>
      <c r="E12" s="137"/>
      <c r="F12" s="137"/>
      <c r="G12" s="137"/>
      <c r="H12" s="180"/>
      <c r="I12" s="176"/>
    </row>
    <row r="13" spans="2:9" ht="15">
      <c r="B13" s="172"/>
      <c r="C13" s="137" t="s">
        <v>92</v>
      </c>
      <c r="D13" s="182">
        <v>0.45</v>
      </c>
      <c r="E13" s="137"/>
      <c r="F13" s="137"/>
      <c r="G13" s="137"/>
      <c r="H13" s="180"/>
      <c r="I13" s="176"/>
    </row>
    <row r="14" spans="2:9" ht="15">
      <c r="B14" s="172"/>
      <c r="C14" s="137" t="s">
        <v>93</v>
      </c>
      <c r="D14" s="181">
        <v>36</v>
      </c>
      <c r="E14" s="137"/>
      <c r="F14" s="137"/>
      <c r="G14" s="137"/>
      <c r="H14" s="180"/>
      <c r="I14" s="176"/>
    </row>
    <row r="15" spans="2:9" ht="15">
      <c r="B15" s="172"/>
      <c r="C15" s="137" t="s">
        <v>94</v>
      </c>
      <c r="D15" s="182">
        <v>0.3</v>
      </c>
      <c r="E15" s="137"/>
      <c r="F15" s="137"/>
      <c r="G15" s="137"/>
      <c r="H15" s="180"/>
      <c r="I15" s="176"/>
    </row>
    <row r="16" spans="2:9" ht="15">
      <c r="B16" s="172"/>
      <c r="C16" s="137" t="s">
        <v>95</v>
      </c>
      <c r="D16" s="177">
        <v>6</v>
      </c>
      <c r="E16" s="137"/>
      <c r="F16" s="137"/>
      <c r="G16" s="137"/>
      <c r="H16" s="180"/>
      <c r="I16" s="176"/>
    </row>
    <row r="17" spans="2:9" ht="15">
      <c r="B17" s="172"/>
      <c r="C17" s="137" t="s">
        <v>96</v>
      </c>
      <c r="D17" s="177">
        <v>40</v>
      </c>
      <c r="E17" s="137"/>
      <c r="F17" s="137"/>
      <c r="G17" s="137"/>
      <c r="H17" s="180"/>
      <c r="I17" s="176"/>
    </row>
    <row r="18" spans="2:9" ht="15">
      <c r="B18" s="172"/>
      <c r="C18" s="137" t="s">
        <v>97</v>
      </c>
      <c r="D18" s="177">
        <v>32</v>
      </c>
      <c r="E18" s="137"/>
      <c r="F18" s="137"/>
      <c r="G18" s="137"/>
      <c r="H18" s="180"/>
      <c r="I18" s="176"/>
    </row>
    <row r="19" spans="2:9" ht="15">
      <c r="B19" s="172"/>
      <c r="C19" s="137" t="s">
        <v>210</v>
      </c>
      <c r="D19" s="177">
        <v>15</v>
      </c>
      <c r="E19" s="137"/>
      <c r="F19" s="137"/>
      <c r="G19" s="137"/>
      <c r="H19" s="180"/>
      <c r="I19" s="176"/>
    </row>
    <row r="20" spans="2:9" ht="15">
      <c r="B20" s="172"/>
      <c r="C20" s="137" t="s">
        <v>98</v>
      </c>
      <c r="D20" s="182">
        <v>0.03</v>
      </c>
      <c r="E20" s="137"/>
      <c r="F20" s="137"/>
      <c r="G20" s="137"/>
      <c r="H20" s="180"/>
      <c r="I20" s="176"/>
    </row>
    <row r="21" spans="2:9" ht="15">
      <c r="B21" s="172"/>
      <c r="C21" s="137" t="s">
        <v>99</v>
      </c>
      <c r="D21" s="182">
        <v>0.02</v>
      </c>
      <c r="E21" s="137"/>
      <c r="F21" s="137"/>
      <c r="G21" s="137"/>
      <c r="H21" s="180"/>
      <c r="I21" s="176"/>
    </row>
    <row r="22" spans="2:9" ht="15">
      <c r="B22" s="172"/>
      <c r="C22" s="137" t="s">
        <v>162</v>
      </c>
      <c r="D22" s="183">
        <v>0</v>
      </c>
      <c r="E22" s="137"/>
      <c r="F22" s="137"/>
      <c r="G22" s="137"/>
      <c r="H22" s="180"/>
      <c r="I22" s="176"/>
    </row>
    <row r="23" spans="2:9" ht="15.75" thickBot="1">
      <c r="B23" s="184"/>
      <c r="C23" s="185"/>
      <c r="D23" s="185"/>
      <c r="E23" s="185"/>
      <c r="F23" s="185"/>
      <c r="G23" s="185"/>
      <c r="H23" s="140"/>
      <c r="I23" s="186"/>
    </row>
    <row r="24" spans="2:9" ht="15">
      <c r="C24" s="166"/>
      <c r="D24" s="166"/>
      <c r="E24" s="166"/>
      <c r="F24" s="166"/>
      <c r="G24" s="166"/>
      <c r="H24" s="166"/>
      <c r="I24" s="167"/>
    </row>
    <row r="25" spans="2:9" ht="15">
      <c r="C25" s="187" t="s">
        <v>2</v>
      </c>
      <c r="D25" s="166"/>
      <c r="E25" s="166"/>
      <c r="F25" s="166"/>
      <c r="G25" s="166"/>
      <c r="H25" s="166"/>
      <c r="I25" s="167"/>
    </row>
    <row r="26" spans="2:9" ht="15.75" thickBot="1">
      <c r="C26" s="166"/>
      <c r="D26" s="166"/>
      <c r="E26" s="166"/>
      <c r="F26" s="166"/>
      <c r="G26" s="166"/>
      <c r="H26" s="166"/>
      <c r="I26" s="167"/>
    </row>
    <row r="27" spans="2:9" ht="15">
      <c r="B27" s="188"/>
      <c r="C27" s="143"/>
      <c r="D27" s="143"/>
      <c r="E27" s="143"/>
      <c r="F27" s="143"/>
      <c r="G27" s="143"/>
      <c r="H27" s="143"/>
      <c r="I27" s="189"/>
    </row>
    <row r="28" spans="2:9" ht="15.75">
      <c r="B28" s="190"/>
      <c r="C28" s="149" t="s">
        <v>100</v>
      </c>
      <c r="D28" s="191"/>
      <c r="E28" s="192"/>
      <c r="F28" s="192"/>
      <c r="G28" s="192"/>
      <c r="H28" s="192"/>
      <c r="I28" s="193"/>
    </row>
    <row r="29" spans="2:9" ht="15.75">
      <c r="B29" s="190"/>
      <c r="C29" s="149" t="s">
        <v>101</v>
      </c>
      <c r="D29" s="191"/>
      <c r="E29" s="192"/>
      <c r="F29" s="192"/>
      <c r="G29" s="192"/>
      <c r="H29" s="192"/>
      <c r="I29" s="193"/>
    </row>
    <row r="30" spans="2:9" ht="15">
      <c r="B30" s="190"/>
      <c r="C30" s="149" t="s">
        <v>102</v>
      </c>
      <c r="D30" s="194">
        <f>((D15)*(D8))-D16</f>
        <v>25.5</v>
      </c>
      <c r="E30" s="195"/>
      <c r="F30" s="195"/>
      <c r="G30" s="195"/>
      <c r="H30" s="195"/>
      <c r="I30" s="193"/>
    </row>
    <row r="31" spans="2:9" ht="15">
      <c r="B31" s="190"/>
      <c r="C31" s="149" t="s">
        <v>103</v>
      </c>
      <c r="D31" s="194">
        <f>((D12/90)*(D8))+((D12/90)*(F8))-((D14/90)*($D$13)*(F8))-(((90-D14)/90)*($D$13)*(G8))-(($D$15)*(F8))-D16-D17</f>
        <v>-24.640000000000008</v>
      </c>
      <c r="E31" s="195"/>
      <c r="F31" s="195"/>
      <c r="G31" s="195"/>
      <c r="H31" s="195"/>
      <c r="I31" s="193"/>
    </row>
    <row r="32" spans="2:9" ht="15">
      <c r="B32" s="190"/>
      <c r="C32" s="149" t="s">
        <v>104</v>
      </c>
      <c r="D32" s="194">
        <f>((D12/90)*(F8))+((D12/90)*(G8))-((D14/90)*($D$13)*(G8))-(((90-D14)/90)*($D$13)*(H8))-(($D$15)*(G8))-D16</f>
        <v>3.6399999999999864</v>
      </c>
      <c r="E32" s="195"/>
      <c r="F32" s="195"/>
      <c r="G32" s="195"/>
      <c r="H32" s="195"/>
      <c r="I32" s="193"/>
    </row>
    <row r="33" spans="2:9" ht="15">
      <c r="B33" s="190"/>
      <c r="C33" s="149" t="s">
        <v>105</v>
      </c>
      <c r="D33" s="194">
        <f>((D12/90)*(G8))+((D12/90)*(H8))-((D14/90)*($D$13)*(H8))-(((90-D14)/90)*($D$13)*(D10))-(($D$15)*(H8))-D16</f>
        <v>25.399999999999991</v>
      </c>
      <c r="E33" s="195"/>
      <c r="F33" s="195"/>
      <c r="G33" s="195"/>
      <c r="H33" s="195"/>
      <c r="I33" s="193"/>
    </row>
    <row r="34" spans="2:9" ht="15">
      <c r="B34" s="190"/>
      <c r="C34" s="149"/>
      <c r="D34" s="194"/>
      <c r="E34" s="195"/>
      <c r="F34" s="195"/>
      <c r="G34" s="195"/>
      <c r="H34" s="195"/>
      <c r="I34" s="193"/>
    </row>
    <row r="35" spans="2:9" ht="15">
      <c r="B35" s="190"/>
      <c r="C35" s="149" t="s">
        <v>27</v>
      </c>
      <c r="D35" s="194">
        <f>D11</f>
        <v>34</v>
      </c>
      <c r="E35" s="195"/>
      <c r="F35" s="196">
        <f>D38</f>
        <v>52.5</v>
      </c>
      <c r="G35" s="196">
        <f>F38</f>
        <v>45</v>
      </c>
      <c r="H35" s="196">
        <f>G38</f>
        <v>61</v>
      </c>
      <c r="I35" s="193"/>
    </row>
    <row r="36" spans="2:9" ht="15">
      <c r="B36" s="190"/>
      <c r="C36" s="149" t="s">
        <v>22</v>
      </c>
      <c r="D36" s="197">
        <f>D8</f>
        <v>105</v>
      </c>
      <c r="E36" s="198"/>
      <c r="F36" s="198">
        <f>F8</f>
        <v>90</v>
      </c>
      <c r="G36" s="198">
        <f>G8</f>
        <v>122</v>
      </c>
      <c r="H36" s="198">
        <f>H8</f>
        <v>140</v>
      </c>
      <c r="I36" s="193"/>
    </row>
    <row r="37" spans="2:9" ht="15">
      <c r="B37" s="190"/>
      <c r="C37" s="149" t="s">
        <v>211</v>
      </c>
      <c r="D37" s="199">
        <f>((D12/90)*(D8))+D35</f>
        <v>86.5</v>
      </c>
      <c r="E37" s="200"/>
      <c r="F37" s="200">
        <f>(($D$12/90)*(F8))+F35</f>
        <v>97.5</v>
      </c>
      <c r="G37" s="200">
        <f>(($D$12/90)*(G8))+G35</f>
        <v>106</v>
      </c>
      <c r="H37" s="200">
        <f>(($D$12/90)*(H8))+H35</f>
        <v>131</v>
      </c>
      <c r="I37" s="193"/>
    </row>
    <row r="38" spans="2:9" ht="15">
      <c r="B38" s="190"/>
      <c r="C38" s="149" t="s">
        <v>29</v>
      </c>
      <c r="D38" s="194">
        <f>D35+D36-D37</f>
        <v>52.5</v>
      </c>
      <c r="E38" s="195"/>
      <c r="F38" s="194">
        <f>F35+F36-F37</f>
        <v>45</v>
      </c>
      <c r="G38" s="194">
        <f>G35+G36-G37</f>
        <v>61</v>
      </c>
      <c r="H38" s="194">
        <f>H35+H36-H37</f>
        <v>70</v>
      </c>
      <c r="I38" s="193"/>
    </row>
    <row r="39" spans="2:9" ht="15">
      <c r="B39" s="190"/>
      <c r="C39" s="149"/>
      <c r="D39" s="201"/>
      <c r="E39" s="192"/>
      <c r="F39" s="192"/>
      <c r="G39" s="192"/>
      <c r="H39" s="192"/>
      <c r="I39" s="193"/>
    </row>
    <row r="40" spans="2:9" ht="15">
      <c r="B40" s="190"/>
      <c r="C40" s="149" t="s">
        <v>49</v>
      </c>
      <c r="D40" s="194">
        <f>(($D$14/90)*($D$13)*(D8))+(((90-$D$14)/90))*($D$13)*(F8)</f>
        <v>43.2</v>
      </c>
      <c r="E40" s="195"/>
      <c r="F40" s="194">
        <f>(($D$14/90)*($D$13)*(F8))+(((90-$D$14)/90))*($D$13)*(G8)</f>
        <v>49.140000000000008</v>
      </c>
      <c r="G40" s="194">
        <f>(($D$14/90)*($D$13)*(G8))+(((90-$D$14)/90))*($D$13)*(H8)</f>
        <v>59.760000000000005</v>
      </c>
      <c r="H40" s="194">
        <f>(($D$14/90)*($D$13)*(H8))+(((90-$D$14)/90))*($D$13)*(D10)</f>
        <v>57.600000000000009</v>
      </c>
      <c r="I40" s="193"/>
    </row>
    <row r="41" spans="2:9" ht="15">
      <c r="B41" s="190"/>
      <c r="C41" s="149" t="s">
        <v>212</v>
      </c>
      <c r="D41" s="197">
        <f>$D$15*D8</f>
        <v>31.5</v>
      </c>
      <c r="E41" s="198"/>
      <c r="F41" s="197">
        <f>$D$15*F8</f>
        <v>27</v>
      </c>
      <c r="G41" s="197">
        <f>$D$15*G8</f>
        <v>36.6</v>
      </c>
      <c r="H41" s="197">
        <f>$D$15*H8</f>
        <v>42</v>
      </c>
      <c r="I41" s="193"/>
    </row>
    <row r="42" spans="2:9" ht="15">
      <c r="B42" s="190"/>
      <c r="C42" s="149" t="s">
        <v>213</v>
      </c>
      <c r="D42" s="197"/>
      <c r="E42" s="198"/>
      <c r="F42" s="198">
        <f>D17</f>
        <v>40</v>
      </c>
      <c r="G42" s="198"/>
      <c r="H42" s="198"/>
      <c r="I42" s="193"/>
    </row>
    <row r="43" spans="2:9" ht="15">
      <c r="B43" s="190"/>
      <c r="C43" s="149" t="s">
        <v>214</v>
      </c>
      <c r="D43" s="199">
        <f>$D$16</f>
        <v>6</v>
      </c>
      <c r="E43" s="200"/>
      <c r="F43" s="199">
        <f>$D$16</f>
        <v>6</v>
      </c>
      <c r="G43" s="199">
        <f>$D$16</f>
        <v>6</v>
      </c>
      <c r="H43" s="199">
        <f>$D$16</f>
        <v>6</v>
      </c>
      <c r="I43" s="193"/>
    </row>
    <row r="44" spans="2:9" ht="15">
      <c r="B44" s="190"/>
      <c r="C44" s="149" t="s">
        <v>215</v>
      </c>
      <c r="D44" s="194">
        <f>D40+D41+D42+D43</f>
        <v>80.7</v>
      </c>
      <c r="E44" s="195"/>
      <c r="F44" s="194">
        <f>F40+F41+F42+F43</f>
        <v>122.14000000000001</v>
      </c>
      <c r="G44" s="194">
        <f>G40+G41+G42+G43</f>
        <v>102.36000000000001</v>
      </c>
      <c r="H44" s="194">
        <f>H40+H41+H42+H43</f>
        <v>105.60000000000001</v>
      </c>
      <c r="I44" s="193"/>
    </row>
    <row r="45" spans="2:9" ht="15">
      <c r="B45" s="190"/>
      <c r="C45" s="149"/>
      <c r="D45" s="201"/>
      <c r="E45" s="192"/>
      <c r="F45" s="192"/>
      <c r="G45" s="192"/>
      <c r="H45" s="192"/>
      <c r="I45" s="193"/>
    </row>
    <row r="46" spans="2:9" ht="15">
      <c r="B46" s="190"/>
      <c r="C46" s="149" t="s">
        <v>216</v>
      </c>
      <c r="D46" s="194">
        <f>D37</f>
        <v>86.5</v>
      </c>
      <c r="E46" s="195"/>
      <c r="F46" s="194">
        <f>F37</f>
        <v>97.5</v>
      </c>
      <c r="G46" s="194">
        <f>G37</f>
        <v>106</v>
      </c>
      <c r="H46" s="194">
        <f>H37</f>
        <v>131</v>
      </c>
      <c r="I46" s="193"/>
    </row>
    <row r="47" spans="2:9" ht="15">
      <c r="B47" s="190"/>
      <c r="C47" s="149" t="s">
        <v>215</v>
      </c>
      <c r="D47" s="199">
        <f>D44</f>
        <v>80.7</v>
      </c>
      <c r="E47" s="200"/>
      <c r="F47" s="199">
        <f>F44</f>
        <v>122.14000000000001</v>
      </c>
      <c r="G47" s="199">
        <f>G44</f>
        <v>102.36000000000001</v>
      </c>
      <c r="H47" s="199">
        <f>H44</f>
        <v>105.60000000000001</v>
      </c>
      <c r="I47" s="193"/>
    </row>
    <row r="48" spans="2:9" ht="15">
      <c r="B48" s="190"/>
      <c r="C48" s="149" t="s">
        <v>107</v>
      </c>
      <c r="D48" s="194">
        <f>D46-D47</f>
        <v>5.7999999999999972</v>
      </c>
      <c r="E48" s="195"/>
      <c r="F48" s="194">
        <f>F46-F47</f>
        <v>-24.640000000000015</v>
      </c>
      <c r="G48" s="194">
        <f>G46-G47</f>
        <v>3.6399999999999864</v>
      </c>
      <c r="H48" s="194">
        <f>H46-H47</f>
        <v>25.399999999999991</v>
      </c>
      <c r="I48" s="193"/>
    </row>
    <row r="49" spans="2:11" ht="15">
      <c r="B49" s="190"/>
      <c r="C49" s="149"/>
      <c r="D49" s="202"/>
      <c r="E49" s="192"/>
      <c r="F49" s="192"/>
      <c r="G49" s="192"/>
      <c r="H49" s="192"/>
      <c r="I49" s="193"/>
    </row>
    <row r="50" spans="2:11" ht="15">
      <c r="B50" s="190"/>
      <c r="C50" s="238" t="s">
        <v>160</v>
      </c>
      <c r="D50" s="238"/>
      <c r="E50" s="238"/>
      <c r="F50" s="238"/>
      <c r="G50" s="238"/>
      <c r="H50" s="238"/>
      <c r="I50" s="193"/>
    </row>
    <row r="51" spans="2:11" ht="15">
      <c r="B51" s="190"/>
      <c r="C51" s="149"/>
      <c r="D51" s="203" t="s">
        <v>23</v>
      </c>
      <c r="E51" s="204"/>
      <c r="F51" s="204" t="s">
        <v>24</v>
      </c>
      <c r="G51" s="204" t="s">
        <v>25</v>
      </c>
      <c r="H51" s="204" t="s">
        <v>26</v>
      </c>
      <c r="I51" s="193"/>
    </row>
    <row r="52" spans="2:11" ht="15">
      <c r="B52" s="190"/>
      <c r="C52" s="149" t="s">
        <v>97</v>
      </c>
      <c r="D52" s="205">
        <f>D18</f>
        <v>32</v>
      </c>
      <c r="E52" s="206"/>
      <c r="F52" s="207">
        <f>D54</f>
        <v>37.799999999999997</v>
      </c>
      <c r="G52" s="207">
        <f>F54</f>
        <v>13.159999999999982</v>
      </c>
      <c r="H52" s="207">
        <f>G54</f>
        <v>16.799999999999969</v>
      </c>
      <c r="I52" s="193"/>
    </row>
    <row r="53" spans="2:11" ht="15">
      <c r="B53" s="190"/>
      <c r="C53" s="149" t="s">
        <v>107</v>
      </c>
      <c r="D53" s="199">
        <f>D48</f>
        <v>5.7999999999999972</v>
      </c>
      <c r="E53" s="208"/>
      <c r="F53" s="199">
        <f>F48</f>
        <v>-24.640000000000015</v>
      </c>
      <c r="G53" s="199">
        <f>G48</f>
        <v>3.6399999999999864</v>
      </c>
      <c r="H53" s="199">
        <f>H48</f>
        <v>25.399999999999991</v>
      </c>
      <c r="I53" s="193"/>
    </row>
    <row r="54" spans="2:11" ht="15">
      <c r="B54" s="190"/>
      <c r="C54" s="149" t="s">
        <v>90</v>
      </c>
      <c r="D54" s="205">
        <f>D52+D53</f>
        <v>37.799999999999997</v>
      </c>
      <c r="E54" s="205">
        <f>E52+E53</f>
        <v>0</v>
      </c>
      <c r="F54" s="205">
        <f>F52+F53</f>
        <v>13.159999999999982</v>
      </c>
      <c r="G54" s="205">
        <f>G52+G53</f>
        <v>16.799999999999969</v>
      </c>
      <c r="H54" s="205">
        <f>H52+H53</f>
        <v>42.19999999999996</v>
      </c>
      <c r="I54" s="193"/>
    </row>
    <row r="55" spans="2:11" ht="15">
      <c r="B55" s="190"/>
      <c r="C55" s="149" t="s">
        <v>108</v>
      </c>
      <c r="D55" s="199">
        <f>-$D$19</f>
        <v>-15</v>
      </c>
      <c r="E55" s="199">
        <f>-$D$19</f>
        <v>-15</v>
      </c>
      <c r="F55" s="199">
        <f>-$D$19</f>
        <v>-15</v>
      </c>
      <c r="G55" s="199">
        <f>-$D$19</f>
        <v>-15</v>
      </c>
      <c r="H55" s="199">
        <f>-$D$19</f>
        <v>-15</v>
      </c>
      <c r="I55" s="193"/>
    </row>
    <row r="56" spans="2:11" ht="15">
      <c r="B56" s="190"/>
      <c r="C56" s="149" t="s">
        <v>109</v>
      </c>
      <c r="D56" s="205">
        <f>D54+D55</f>
        <v>22.799999999999997</v>
      </c>
      <c r="E56" s="205">
        <f>E54+E55</f>
        <v>-15</v>
      </c>
      <c r="F56" s="205">
        <f>F54+F55</f>
        <v>-1.8400000000000176</v>
      </c>
      <c r="G56" s="205">
        <f>G54+G55</f>
        <v>1.7999999999999687</v>
      </c>
      <c r="H56" s="205">
        <f>H54+H55</f>
        <v>27.19999999999996</v>
      </c>
      <c r="I56" s="193"/>
    </row>
    <row r="57" spans="2:11" ht="15">
      <c r="B57" s="190"/>
      <c r="C57" s="149"/>
      <c r="D57" s="209"/>
      <c r="E57" s="210"/>
      <c r="F57" s="210"/>
      <c r="G57" s="210"/>
      <c r="H57" s="210"/>
      <c r="I57" s="193"/>
    </row>
    <row r="58" spans="2:11" ht="15">
      <c r="B58" s="190"/>
      <c r="C58" s="239" t="s">
        <v>159</v>
      </c>
      <c r="D58" s="239"/>
      <c r="E58" s="239"/>
      <c r="F58" s="239"/>
      <c r="G58" s="239"/>
      <c r="H58" s="239"/>
      <c r="I58" s="193"/>
    </row>
    <row r="59" spans="2:11" ht="15">
      <c r="B59" s="190"/>
      <c r="C59" s="149" t="s">
        <v>217</v>
      </c>
      <c r="D59" s="194">
        <f>$D$19</f>
        <v>15</v>
      </c>
      <c r="E59" s="194">
        <f>$D$19</f>
        <v>15</v>
      </c>
      <c r="F59" s="194">
        <f>$D$19</f>
        <v>15</v>
      </c>
      <c r="G59" s="194">
        <f>$D$19</f>
        <v>15</v>
      </c>
      <c r="H59" s="194">
        <f>$D$19</f>
        <v>15</v>
      </c>
      <c r="I59" s="193"/>
    </row>
    <row r="60" spans="2:11" ht="15">
      <c r="B60" s="190"/>
      <c r="C60" s="149" t="s">
        <v>107</v>
      </c>
      <c r="D60" s="197">
        <f>D48</f>
        <v>5.7999999999999972</v>
      </c>
      <c r="E60" s="211"/>
      <c r="F60" s="197">
        <f>F48</f>
        <v>-24.640000000000015</v>
      </c>
      <c r="G60" s="197">
        <f>G48</f>
        <v>3.6399999999999864</v>
      </c>
      <c r="H60" s="197">
        <f>H48</f>
        <v>25.399999999999991</v>
      </c>
      <c r="I60" s="193"/>
    </row>
    <row r="61" spans="2:11" ht="15">
      <c r="B61" s="190"/>
      <c r="C61" s="149" t="s">
        <v>110</v>
      </c>
      <c r="D61" s="197">
        <f>-MAX(D60+D62+D65+D66,0)</f>
        <v>-6.139999999999997</v>
      </c>
      <c r="E61" s="211"/>
      <c r="F61" s="197">
        <f>-MAX(F60+F62+F65+F66,0)</f>
        <v>0</v>
      </c>
      <c r="G61" s="197">
        <f>-MAX(G60+G62+G65+G66,0)</f>
        <v>-2.5716839999999697</v>
      </c>
      <c r="H61" s="197">
        <f>-MAX(H60+H62+H65+H66,0)</f>
        <v>-25.45143367999999</v>
      </c>
      <c r="I61" s="193"/>
    </row>
    <row r="62" spans="2:11" ht="15">
      <c r="B62" s="190"/>
      <c r="C62" s="149" t="s">
        <v>111</v>
      </c>
      <c r="D62" s="197">
        <f>IF(F76="earns",G76,0)</f>
        <v>0.34</v>
      </c>
      <c r="E62" s="211"/>
      <c r="F62" s="197">
        <f>IF(F77="earns",G77,0)</f>
        <v>0.46279999999999993</v>
      </c>
      <c r="G62" s="197">
        <f>IF(F78="earns",G78,0)</f>
        <v>0</v>
      </c>
      <c r="H62" s="197">
        <f>IF(F79="earns",G79,0)</f>
        <v>5.1433679999999392E-2</v>
      </c>
      <c r="I62" s="193"/>
      <c r="K62" s="212"/>
    </row>
    <row r="63" spans="2:11" ht="15">
      <c r="B63" s="190"/>
      <c r="C63" s="149" t="s">
        <v>112</v>
      </c>
      <c r="D63" s="211">
        <f>IF(D60&lt;0,MIN((-1*(D60+D62)),#REF!),0)</f>
        <v>0</v>
      </c>
      <c r="E63" s="211"/>
      <c r="F63" s="211">
        <f>IF(F60&lt;0,MIN((-1*(F60+F62)),F71),0)</f>
        <v>23.139999999999997</v>
      </c>
      <c r="G63" s="211">
        <f>IF(G60&lt;0,MIN((-1*(G60+G62)),E72),0)</f>
        <v>0</v>
      </c>
      <c r="H63" s="211">
        <f>IF(H60&lt;0,MIN((-1*(H60+H62)),F72),0)</f>
        <v>0</v>
      </c>
      <c r="I63" s="193"/>
    </row>
    <row r="64" spans="2:11" ht="15">
      <c r="B64" s="190"/>
      <c r="C64" s="149" t="s">
        <v>113</v>
      </c>
      <c r="D64" s="211">
        <f>-MIN(D60+D62+D63,0)</f>
        <v>0</v>
      </c>
      <c r="E64" s="211"/>
      <c r="F64" s="211">
        <f>-MIN(F60+F62+F63,0)</f>
        <v>1.0372000000000163</v>
      </c>
      <c r="G64" s="211">
        <f>-MIN(G60+G62+G63,0)</f>
        <v>0</v>
      </c>
      <c r="H64" s="211">
        <f>-MIN(H60+H62+H63,0)</f>
        <v>0</v>
      </c>
      <c r="I64" s="193"/>
    </row>
    <row r="65" spans="2:10" ht="15">
      <c r="B65" s="190"/>
      <c r="C65" s="149" t="s">
        <v>114</v>
      </c>
      <c r="D65" s="197">
        <f>IF(F76="costs",-G76,0)</f>
        <v>0</v>
      </c>
      <c r="E65" s="211"/>
      <c r="F65" s="197">
        <f>IF(F77="costs",-G77,0)</f>
        <v>0</v>
      </c>
      <c r="G65" s="197">
        <f>IF(F78="costs",-G78,0)</f>
        <v>-3.111600000000049E-2</v>
      </c>
      <c r="H65" s="197">
        <f>IF(F79="costs",-G79,0)</f>
        <v>0</v>
      </c>
      <c r="I65" s="193"/>
    </row>
    <row r="66" spans="2:10" ht="15">
      <c r="B66" s="190"/>
      <c r="C66" s="149" t="s">
        <v>115</v>
      </c>
      <c r="D66" s="208">
        <f>IF(D60&gt;0,(-MIN(D22,D60+D65)),0)</f>
        <v>0</v>
      </c>
      <c r="E66" s="208"/>
      <c r="F66" s="208">
        <f>IF(F60&gt;0,(-MIN(E74,F60+F65)),0)</f>
        <v>0</v>
      </c>
      <c r="G66" s="208">
        <f>IF(G60&gt;0,(-MIN(F74,G60+G65)),0)</f>
        <v>-1.0372000000000163</v>
      </c>
      <c r="H66" s="208">
        <f>IF(H60&gt;0,(-MIN(G74,H60+H65)),0)</f>
        <v>0</v>
      </c>
      <c r="I66" s="193"/>
    </row>
    <row r="67" spans="2:10" ht="15">
      <c r="B67" s="190"/>
      <c r="C67" s="149" t="s">
        <v>90</v>
      </c>
      <c r="D67" s="194">
        <f>D19</f>
        <v>15</v>
      </c>
      <c r="E67" s="194">
        <f>$D$19</f>
        <v>15</v>
      </c>
      <c r="F67" s="194">
        <f>$D$19</f>
        <v>15</v>
      </c>
      <c r="G67" s="194">
        <f>$D$19</f>
        <v>15</v>
      </c>
      <c r="H67" s="194">
        <f>$D$19</f>
        <v>15</v>
      </c>
      <c r="I67" s="193"/>
    </row>
    <row r="68" spans="2:10" ht="15">
      <c r="B68" s="190"/>
      <c r="C68" s="149" t="s">
        <v>108</v>
      </c>
      <c r="D68" s="199">
        <f>-D67</f>
        <v>-15</v>
      </c>
      <c r="E68" s="199">
        <f>-E67</f>
        <v>-15</v>
      </c>
      <c r="F68" s="199">
        <f>-F67</f>
        <v>-15</v>
      </c>
      <c r="G68" s="199">
        <f>-G67</f>
        <v>-15</v>
      </c>
      <c r="H68" s="199">
        <f>-H67</f>
        <v>-15</v>
      </c>
      <c r="I68" s="193"/>
    </row>
    <row r="69" spans="2:10" ht="15">
      <c r="B69" s="190"/>
      <c r="C69" s="149" t="s">
        <v>109</v>
      </c>
      <c r="D69" s="194">
        <f>D67+D68</f>
        <v>0</v>
      </c>
      <c r="E69" s="194">
        <f>E67+E68</f>
        <v>0</v>
      </c>
      <c r="F69" s="194">
        <f>F67+F68</f>
        <v>0</v>
      </c>
      <c r="G69" s="194">
        <f>G67+G68</f>
        <v>0</v>
      </c>
      <c r="H69" s="194">
        <f>H67+H68</f>
        <v>0</v>
      </c>
      <c r="I69" s="193"/>
    </row>
    <row r="70" spans="2:10" ht="15">
      <c r="B70" s="190"/>
      <c r="C70" s="149"/>
      <c r="D70" s="194"/>
      <c r="E70" s="213"/>
      <c r="F70" s="213"/>
      <c r="G70" s="213"/>
      <c r="H70" s="213"/>
      <c r="I70" s="193"/>
    </row>
    <row r="71" spans="2:10" ht="15">
      <c r="B71" s="190"/>
      <c r="C71" s="149" t="s">
        <v>116</v>
      </c>
      <c r="D71" s="194">
        <f>MAX(D52-D67,0)</f>
        <v>17</v>
      </c>
      <c r="E71" s="213"/>
      <c r="F71" s="194">
        <f>D72</f>
        <v>23.139999999999997</v>
      </c>
      <c r="G71" s="194">
        <f>F72</f>
        <v>0</v>
      </c>
      <c r="H71" s="194">
        <f>G72</f>
        <v>2.5716839999999697</v>
      </c>
      <c r="I71" s="193"/>
    </row>
    <row r="72" spans="2:10" ht="15">
      <c r="B72" s="190"/>
      <c r="C72" s="149" t="s">
        <v>117</v>
      </c>
      <c r="D72" s="194">
        <f>D71+(-D61)</f>
        <v>23.139999999999997</v>
      </c>
      <c r="E72" s="213"/>
      <c r="F72" s="194">
        <f>F71-F63</f>
        <v>0</v>
      </c>
      <c r="G72" s="194">
        <f>G71+(-G61)</f>
        <v>2.5716839999999697</v>
      </c>
      <c r="H72" s="194">
        <f>H71+(-H61)+IF(F79="earns",G79,0)</f>
        <v>28.074551359999958</v>
      </c>
      <c r="I72" s="193"/>
    </row>
    <row r="73" spans="2:10" ht="15">
      <c r="B73" s="190"/>
      <c r="C73" s="149" t="s">
        <v>118</v>
      </c>
      <c r="D73" s="194">
        <f>D22</f>
        <v>0</v>
      </c>
      <c r="E73" s="213"/>
      <c r="F73" s="213">
        <f>D74</f>
        <v>0</v>
      </c>
      <c r="G73" s="213">
        <f>F74</f>
        <v>1.0372000000000163</v>
      </c>
      <c r="H73" s="213">
        <f>G74</f>
        <v>0</v>
      </c>
      <c r="I73" s="193"/>
    </row>
    <row r="74" spans="2:10" ht="15">
      <c r="B74" s="190"/>
      <c r="C74" s="149" t="s">
        <v>119</v>
      </c>
      <c r="D74" s="194">
        <f>D73+D64+D66</f>
        <v>0</v>
      </c>
      <c r="E74" s="213"/>
      <c r="F74" s="194">
        <f>F73+F64+F66</f>
        <v>1.0372000000000163</v>
      </c>
      <c r="G74" s="194">
        <f>G73+G64+G66</f>
        <v>0</v>
      </c>
      <c r="H74" s="194">
        <f>H73+H64+H66</f>
        <v>0</v>
      </c>
      <c r="I74" s="193"/>
      <c r="J74" s="214"/>
    </row>
    <row r="75" spans="2:10" ht="15">
      <c r="B75" s="190"/>
      <c r="C75" s="149"/>
      <c r="D75" s="202"/>
      <c r="E75" s="192"/>
      <c r="F75" s="192"/>
      <c r="G75" s="192"/>
      <c r="H75" s="192"/>
      <c r="I75" s="193"/>
      <c r="J75" s="214"/>
    </row>
    <row r="76" spans="2:10" ht="15">
      <c r="B76" s="215" t="s">
        <v>155</v>
      </c>
      <c r="C76" s="216" t="str">
        <f>IF(D18&gt;30,"excess funds at start of quarter of","shortage of funds at start of quarter of")</f>
        <v>excess funds at start of quarter of</v>
      </c>
      <c r="D76" s="217">
        <f>IF(D71&gt;0,D71,D74)</f>
        <v>17</v>
      </c>
      <c r="E76" s="195"/>
      <c r="F76" s="218" t="str">
        <f>IF(D18&gt;30,"earns","costs")</f>
        <v>earns</v>
      </c>
      <c r="G76" s="219">
        <f>IF(F76="earns",D76*$D$21,D76*$D$20)</f>
        <v>0.34</v>
      </c>
      <c r="H76" s="195" t="str">
        <f>IF(F76="earns","in income.","in interest.")</f>
        <v>in income.</v>
      </c>
      <c r="I76" s="193"/>
      <c r="J76" s="220"/>
    </row>
    <row r="77" spans="2:10" ht="15">
      <c r="B77" s="215" t="s">
        <v>156</v>
      </c>
      <c r="C77" s="216" t="str">
        <f>IF(D56&gt;0,"excess funds at start of quarter of","shortage of funds at start of quarter of")</f>
        <v>excess funds at start of quarter of</v>
      </c>
      <c r="D77" s="217">
        <f>MAX(F71,D74)</f>
        <v>23.139999999999997</v>
      </c>
      <c r="E77" s="195"/>
      <c r="F77" s="218" t="str">
        <f>IF(D56&gt;0,"earns","costs")</f>
        <v>earns</v>
      </c>
      <c r="G77" s="219">
        <f>IF(F77="earns",D77*$D$21,D77*$D$20)</f>
        <v>0.46279999999999993</v>
      </c>
      <c r="H77" s="195" t="str">
        <f>IF(F77="earns","in income.","in interest.")</f>
        <v>in income.</v>
      </c>
      <c r="I77" s="193"/>
    </row>
    <row r="78" spans="2:10" ht="15">
      <c r="B78" s="215" t="s">
        <v>157</v>
      </c>
      <c r="C78" s="216" t="str">
        <f>IF(F56&gt;0,"excess funds at start of quarter of","shortage of funds at start of quarter of")</f>
        <v>shortage of funds at start of quarter of</v>
      </c>
      <c r="D78" s="217">
        <f>MAX(F72,F74)</f>
        <v>1.0372000000000163</v>
      </c>
      <c r="E78" s="195"/>
      <c r="F78" s="218" t="str">
        <f>IF(F56&gt;0,"earns","costs")</f>
        <v>costs</v>
      </c>
      <c r="G78" s="219">
        <f>IF(F78="earns",D78*$D$21,D78*$D$20)</f>
        <v>3.111600000000049E-2</v>
      </c>
      <c r="H78" s="195" t="str">
        <f>IF(F78="earns","in income.","in interest.")</f>
        <v>in interest.</v>
      </c>
      <c r="I78" s="193"/>
    </row>
    <row r="79" spans="2:10" ht="15">
      <c r="B79" s="215" t="s">
        <v>158</v>
      </c>
      <c r="C79" s="216" t="str">
        <f>IF(G56&gt;0,"excess funds at start of quarter of","shortage of funds at start of quarter of")</f>
        <v>excess funds at start of quarter of</v>
      </c>
      <c r="D79" s="221">
        <f>MAX(G72,G74)</f>
        <v>2.5716839999999697</v>
      </c>
      <c r="E79" s="195"/>
      <c r="F79" s="218" t="str">
        <f>IF(G56&gt;0,"earns","costs")</f>
        <v>earns</v>
      </c>
      <c r="G79" s="219">
        <f>IF(F79="earns",D79*$D$21,D79*$D$20)</f>
        <v>5.1433679999999392E-2</v>
      </c>
      <c r="H79" s="195" t="str">
        <f>IF(F79="earns","in income.","in interest.")</f>
        <v>in income.</v>
      </c>
      <c r="I79" s="193"/>
    </row>
    <row r="80" spans="2:10" ht="15">
      <c r="B80" s="190"/>
      <c r="C80" s="222"/>
      <c r="D80" s="223"/>
      <c r="E80" s="146"/>
      <c r="F80" s="224"/>
      <c r="G80" s="225"/>
      <c r="H80" s="146"/>
      <c r="I80" s="193"/>
    </row>
    <row r="81" spans="2:9" ht="15">
      <c r="B81" s="190"/>
      <c r="C81" s="222" t="s">
        <v>161</v>
      </c>
      <c r="D81" s="223"/>
      <c r="E81" s="146"/>
      <c r="F81" s="224"/>
      <c r="G81" s="225"/>
      <c r="H81" s="146"/>
      <c r="I81" s="193"/>
    </row>
    <row r="82" spans="2:9" ht="15">
      <c r="B82" s="190"/>
      <c r="C82" s="222" t="s">
        <v>23</v>
      </c>
      <c r="D82" s="226">
        <f>IF(F76="earns",G76,-G76)</f>
        <v>0.34</v>
      </c>
      <c r="E82" s="146"/>
      <c r="F82" s="224"/>
      <c r="G82" s="225"/>
      <c r="H82" s="146"/>
      <c r="I82" s="193"/>
    </row>
    <row r="83" spans="2:9" ht="15">
      <c r="B83" s="190"/>
      <c r="C83" s="222" t="s">
        <v>24</v>
      </c>
      <c r="D83" s="226">
        <f>IF(F77="earns",G77,-G77)</f>
        <v>0.46279999999999993</v>
      </c>
      <c r="E83" s="146"/>
      <c r="F83" s="224"/>
      <c r="G83" s="225"/>
      <c r="H83" s="146"/>
      <c r="I83" s="193"/>
    </row>
    <row r="84" spans="2:9" ht="15">
      <c r="B84" s="190"/>
      <c r="C84" s="222" t="s">
        <v>25</v>
      </c>
      <c r="D84" s="226">
        <f>IF(F78="earns",G78,-G78)</f>
        <v>-3.111600000000049E-2</v>
      </c>
      <c r="E84" s="146"/>
      <c r="F84" s="224"/>
      <c r="G84" s="225"/>
      <c r="H84" s="146"/>
      <c r="I84" s="193"/>
    </row>
    <row r="85" spans="2:9" ht="15">
      <c r="B85" s="190"/>
      <c r="C85" s="222" t="s">
        <v>26</v>
      </c>
      <c r="D85" s="227">
        <f>IF(F79="earns",G79,-G79)</f>
        <v>5.1433679999999392E-2</v>
      </c>
      <c r="E85" s="146"/>
      <c r="F85" s="224"/>
      <c r="G85" s="225"/>
      <c r="H85" s="146"/>
      <c r="I85" s="193"/>
    </row>
    <row r="86" spans="2:9" ht="15">
      <c r="B86" s="190"/>
      <c r="C86" s="222" t="s">
        <v>163</v>
      </c>
      <c r="D86" s="226">
        <f>SUM(D82:D85)</f>
        <v>0.82311767999999885</v>
      </c>
      <c r="E86" s="146"/>
      <c r="F86" s="224"/>
      <c r="G86" s="225"/>
      <c r="H86" s="146"/>
      <c r="I86" s="193"/>
    </row>
    <row r="87" spans="2:9" ht="15.75" thickBot="1">
      <c r="B87" s="228"/>
      <c r="C87" s="229"/>
      <c r="D87" s="229"/>
      <c r="E87" s="229"/>
      <c r="F87" s="229"/>
      <c r="G87" s="229"/>
      <c r="H87" s="229"/>
      <c r="I87" s="230"/>
    </row>
    <row r="88" spans="2:9" ht="15">
      <c r="C88" s="129"/>
      <c r="D88" s="129"/>
      <c r="E88" s="129"/>
      <c r="F88" s="129"/>
      <c r="G88" s="129"/>
      <c r="H88" s="129"/>
    </row>
    <row r="89" spans="2:9" ht="15">
      <c r="C89" s="129"/>
      <c r="D89" s="129"/>
      <c r="E89" s="129"/>
      <c r="F89" s="129"/>
      <c r="G89" s="129"/>
      <c r="H89" s="129"/>
    </row>
    <row r="90" spans="2:9" ht="15">
      <c r="C90" s="129"/>
      <c r="D90" s="129"/>
      <c r="E90" s="129"/>
      <c r="F90" s="129"/>
      <c r="G90" s="129"/>
      <c r="H90" s="129"/>
    </row>
    <row r="91" spans="2:9" ht="15">
      <c r="C91" s="129"/>
      <c r="D91" s="129"/>
      <c r="E91" s="129"/>
      <c r="F91" s="129"/>
      <c r="G91" s="129"/>
      <c r="H91" s="129"/>
    </row>
    <row r="92" spans="2:9" ht="15">
      <c r="C92" s="129"/>
      <c r="D92" s="129"/>
      <c r="E92" s="129"/>
      <c r="F92" s="129"/>
      <c r="G92" s="129"/>
      <c r="H92" s="129"/>
    </row>
  </sheetData>
  <mergeCells count="2">
    <mergeCell ref="C50:H50"/>
    <mergeCell ref="C58:H58"/>
  </mergeCells>
  <phoneticPr fontId="28" type="noConversion"/>
  <pageMargins left="0.75" right="0.75" top="1" bottom="1" header="0.5" footer="0.5"/>
  <pageSetup scale="65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5"/>
  <sheetViews>
    <sheetView workbookViewId="0"/>
  </sheetViews>
  <sheetFormatPr defaultRowHeight="12.75"/>
  <cols>
    <col min="2" max="2" width="3.140625" customWidth="1"/>
    <col min="3" max="4" width="18.140625" customWidth="1"/>
    <col min="5" max="5" width="3.140625" customWidth="1"/>
  </cols>
  <sheetData>
    <row r="1" spans="1:8" ht="18">
      <c r="A1" s="1"/>
      <c r="B1" s="1"/>
      <c r="C1" s="93" t="s">
        <v>181</v>
      </c>
      <c r="D1" s="1"/>
      <c r="E1" s="1"/>
      <c r="F1" s="1"/>
      <c r="G1" s="1"/>
      <c r="H1" s="1"/>
    </row>
    <row r="2" spans="1:8" ht="15">
      <c r="A2" s="1"/>
      <c r="B2" s="1"/>
      <c r="C2" s="1" t="s">
        <v>0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1"/>
      <c r="G6" s="1"/>
      <c r="H6" s="1"/>
    </row>
    <row r="7" spans="1:8" ht="15">
      <c r="A7" s="1"/>
      <c r="B7" s="6"/>
      <c r="C7" s="7" t="s">
        <v>3</v>
      </c>
      <c r="D7" s="62" t="s">
        <v>4</v>
      </c>
      <c r="E7" s="8"/>
      <c r="F7" s="1"/>
      <c r="G7" s="1"/>
      <c r="H7" s="1"/>
    </row>
    <row r="8" spans="1:8" ht="15">
      <c r="A8" s="1"/>
      <c r="B8" s="6"/>
      <c r="C8" s="7" t="s">
        <v>5</v>
      </c>
      <c r="D8" s="62" t="s">
        <v>6</v>
      </c>
      <c r="E8" s="8"/>
      <c r="F8" s="1"/>
      <c r="G8" s="1"/>
      <c r="H8" s="1"/>
    </row>
    <row r="9" spans="1:8" ht="15">
      <c r="A9" s="1"/>
      <c r="B9" s="6"/>
      <c r="C9" s="7" t="s">
        <v>7</v>
      </c>
      <c r="D9" s="62" t="s">
        <v>8</v>
      </c>
      <c r="E9" s="8"/>
      <c r="F9" s="1"/>
      <c r="G9" s="1"/>
      <c r="H9" s="1"/>
    </row>
    <row r="10" spans="1:8" ht="15.75" thickBot="1">
      <c r="A10" s="1"/>
      <c r="B10" s="9"/>
      <c r="C10" s="10"/>
      <c r="D10" s="10"/>
      <c r="E10" s="11"/>
      <c r="F10" s="1"/>
      <c r="G10" s="1"/>
      <c r="H10" s="1"/>
    </row>
    <row r="11" spans="1:8" ht="15">
      <c r="A11" s="1"/>
      <c r="B11" s="1"/>
      <c r="C11" s="1"/>
      <c r="D11" s="1"/>
      <c r="E11" s="1"/>
      <c r="F11" s="1"/>
      <c r="G11" s="1"/>
      <c r="H11" s="1"/>
    </row>
    <row r="12" spans="1:8" ht="15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thickBot="1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2"/>
      <c r="C14" s="13"/>
      <c r="D14" s="13"/>
      <c r="E14" s="14"/>
      <c r="F14" s="1"/>
      <c r="G14" s="1"/>
      <c r="H14" s="1"/>
    </row>
    <row r="15" spans="1:8" ht="15.75">
      <c r="A15" s="1"/>
      <c r="B15" s="15"/>
      <c r="C15" s="41" t="s">
        <v>125</v>
      </c>
      <c r="D15" s="48" t="s">
        <v>8</v>
      </c>
      <c r="E15" s="17"/>
      <c r="F15" s="1"/>
      <c r="G15" s="1"/>
      <c r="H15" s="1"/>
    </row>
    <row r="16" spans="1:8" ht="15.75">
      <c r="A16" s="1"/>
      <c r="B16" s="15"/>
      <c r="C16" s="41" t="s">
        <v>126</v>
      </c>
      <c r="D16" s="48" t="s">
        <v>8</v>
      </c>
      <c r="E16" s="17"/>
      <c r="F16" s="1"/>
      <c r="G16" s="1"/>
      <c r="H16" s="1"/>
    </row>
    <row r="17" spans="1:8" ht="15.75">
      <c r="A17" s="1"/>
      <c r="B17" s="15"/>
      <c r="C17" s="41" t="s">
        <v>127</v>
      </c>
      <c r="D17" s="48" t="s">
        <v>8</v>
      </c>
      <c r="E17" s="17"/>
      <c r="F17" s="1"/>
      <c r="G17" s="1"/>
      <c r="H17" s="1"/>
    </row>
    <row r="18" spans="1:8" ht="15.75">
      <c r="A18" s="1"/>
      <c r="B18" s="15"/>
      <c r="C18" s="41" t="s">
        <v>128</v>
      </c>
      <c r="D18" s="48" t="s">
        <v>6</v>
      </c>
      <c r="E18" s="17"/>
      <c r="F18" s="1"/>
      <c r="G18" s="1"/>
      <c r="H18" s="1"/>
    </row>
    <row r="19" spans="1:8" ht="15.75">
      <c r="A19" s="1"/>
      <c r="B19" s="15"/>
      <c r="C19" s="41" t="s">
        <v>129</v>
      </c>
      <c r="D19" s="48" t="s">
        <v>6</v>
      </c>
      <c r="E19" s="17"/>
      <c r="F19" s="1"/>
      <c r="G19" s="1"/>
      <c r="H19" s="1"/>
    </row>
    <row r="20" spans="1:8" ht="15.75">
      <c r="A20" s="1"/>
      <c r="B20" s="15"/>
      <c r="C20" s="41" t="s">
        <v>130</v>
      </c>
      <c r="D20" s="48" t="s">
        <v>6</v>
      </c>
      <c r="E20" s="17"/>
      <c r="F20" s="1"/>
      <c r="G20" s="1"/>
      <c r="H20" s="1"/>
    </row>
    <row r="21" spans="1:8" ht="15.75">
      <c r="A21" s="1"/>
      <c r="B21" s="15"/>
      <c r="C21" s="41" t="s">
        <v>131</v>
      </c>
      <c r="D21" s="48" t="s">
        <v>8</v>
      </c>
      <c r="E21" s="17"/>
      <c r="F21" s="1"/>
      <c r="G21" s="1"/>
      <c r="H21" s="1"/>
    </row>
    <row r="22" spans="1:8" ht="15.75">
      <c r="A22" s="1"/>
      <c r="B22" s="15"/>
      <c r="C22" s="41" t="s">
        <v>132</v>
      </c>
      <c r="D22" s="48" t="s">
        <v>6</v>
      </c>
      <c r="E22" s="17"/>
      <c r="F22" s="1"/>
      <c r="G22" s="1"/>
      <c r="H22" s="1"/>
    </row>
    <row r="23" spans="1:8" ht="15.75">
      <c r="A23" s="1"/>
      <c r="B23" s="15"/>
      <c r="C23" s="41" t="s">
        <v>133</v>
      </c>
      <c r="D23" s="48" t="s">
        <v>4</v>
      </c>
      <c r="E23" s="17"/>
      <c r="F23" s="1"/>
      <c r="G23" s="1"/>
      <c r="H23" s="1"/>
    </row>
    <row r="24" spans="1:8" ht="15.75">
      <c r="A24" s="1"/>
      <c r="B24" s="15"/>
      <c r="C24" s="41" t="s">
        <v>134</v>
      </c>
      <c r="D24" s="48" t="s">
        <v>6</v>
      </c>
      <c r="E24" s="17"/>
      <c r="F24" s="1"/>
      <c r="G24" s="1"/>
      <c r="H24" s="1"/>
    </row>
    <row r="25" spans="1:8" ht="15.75">
      <c r="A25" s="1"/>
      <c r="B25" s="15"/>
      <c r="C25" s="41" t="s">
        <v>135</v>
      </c>
      <c r="D25" s="48" t="s">
        <v>6</v>
      </c>
      <c r="E25" s="17"/>
      <c r="F25" s="1"/>
      <c r="G25" s="1"/>
      <c r="H25" s="1"/>
    </row>
    <row r="26" spans="1:8" ht="15.75">
      <c r="A26" s="1"/>
      <c r="B26" s="15"/>
      <c r="C26" s="41" t="s">
        <v>136</v>
      </c>
      <c r="D26" s="48" t="s">
        <v>8</v>
      </c>
      <c r="E26" s="17"/>
      <c r="F26" s="1"/>
      <c r="G26" s="1"/>
      <c r="H26" s="1"/>
    </row>
    <row r="27" spans="1:8" ht="15.75">
      <c r="A27" s="1"/>
      <c r="B27" s="15"/>
      <c r="C27" s="41" t="s">
        <v>137</v>
      </c>
      <c r="D27" s="48" t="s">
        <v>6</v>
      </c>
      <c r="E27" s="17"/>
      <c r="F27" s="1"/>
      <c r="G27" s="1"/>
      <c r="H27" s="1"/>
    </row>
    <row r="28" spans="1:8" ht="15.75">
      <c r="A28" s="1"/>
      <c r="B28" s="15"/>
      <c r="C28" s="41" t="s">
        <v>138</v>
      </c>
      <c r="D28" s="48" t="s">
        <v>6</v>
      </c>
      <c r="E28" s="17"/>
      <c r="F28" s="1"/>
      <c r="G28" s="1"/>
      <c r="H28" s="1"/>
    </row>
    <row r="29" spans="1:8" ht="15.75">
      <c r="A29" s="1"/>
      <c r="B29" s="15"/>
      <c r="C29" s="41" t="s">
        <v>139</v>
      </c>
      <c r="D29" s="48" t="s">
        <v>4</v>
      </c>
      <c r="E29" s="17"/>
      <c r="F29" s="1"/>
      <c r="G29" s="1"/>
      <c r="H29" s="1"/>
    </row>
    <row r="30" spans="1:8" ht="15.75" thickBot="1">
      <c r="A30" s="1"/>
      <c r="B30" s="18"/>
      <c r="C30" s="19"/>
      <c r="D30" s="19"/>
      <c r="E30" s="20"/>
      <c r="F30" s="1"/>
      <c r="G30" s="1"/>
      <c r="H30" s="1"/>
    </row>
    <row r="31" spans="1:8" ht="15">
      <c r="A31" s="1"/>
      <c r="B31" s="1"/>
      <c r="C31" s="1"/>
      <c r="D31" s="1"/>
      <c r="E31" s="1"/>
      <c r="F31" s="1"/>
      <c r="G31" s="1"/>
      <c r="H31" s="1"/>
    </row>
    <row r="32" spans="1:8" ht="15">
      <c r="A32" s="1"/>
      <c r="B32" s="1"/>
      <c r="C32" s="1"/>
      <c r="D32" s="1"/>
      <c r="E32" s="1"/>
      <c r="F32" s="1"/>
      <c r="G32" s="1"/>
      <c r="H32" s="1"/>
    </row>
    <row r="33" spans="1:8" ht="15">
      <c r="A33" s="1"/>
      <c r="B33" s="1"/>
      <c r="C33" s="1"/>
      <c r="D33" s="1"/>
      <c r="E33" s="1"/>
      <c r="F33" s="1"/>
      <c r="G33" s="1"/>
      <c r="H33" s="1"/>
    </row>
    <row r="34" spans="1:8" ht="15">
      <c r="A34" s="1"/>
      <c r="B34" s="1"/>
      <c r="C34" s="1"/>
      <c r="D34" s="1"/>
      <c r="E34" s="1"/>
      <c r="F34" s="1"/>
      <c r="G34" s="1"/>
      <c r="H34" s="1"/>
    </row>
    <row r="35" spans="1:8" ht="15">
      <c r="A35" s="1"/>
      <c r="B35" s="1"/>
      <c r="C35" s="1"/>
      <c r="D35" s="1"/>
      <c r="E35" s="1"/>
      <c r="F35" s="1"/>
      <c r="G35" s="1"/>
      <c r="H35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workbookViewId="0"/>
  </sheetViews>
  <sheetFormatPr defaultRowHeight="12.75"/>
  <cols>
    <col min="1" max="1" width="9.140625" style="131"/>
    <col min="2" max="2" width="3.140625" style="131" customWidth="1"/>
    <col min="3" max="3" width="22.7109375" style="131" bestFit="1" customWidth="1"/>
    <col min="4" max="4" width="18.140625" style="131" customWidth="1"/>
    <col min="5" max="5" width="3.140625" style="131" customWidth="1"/>
    <col min="6" max="16384" width="9.140625" style="131"/>
  </cols>
  <sheetData>
    <row r="1" spans="1:8" ht="18">
      <c r="A1" s="129"/>
      <c r="B1" s="129"/>
      <c r="C1" s="130" t="s">
        <v>220</v>
      </c>
      <c r="D1" s="129"/>
      <c r="E1" s="129"/>
      <c r="F1" s="129"/>
      <c r="G1" s="129"/>
      <c r="H1" s="129"/>
    </row>
    <row r="2" spans="1:8" ht="15.75" customHeight="1">
      <c r="A2" s="129"/>
      <c r="B2" s="129"/>
      <c r="C2" s="129" t="s">
        <v>9</v>
      </c>
      <c r="D2" s="129"/>
      <c r="E2" s="129"/>
      <c r="F2" s="129"/>
      <c r="G2" s="129"/>
      <c r="H2" s="129"/>
    </row>
    <row r="3" spans="1:8" ht="15.75" customHeight="1">
      <c r="A3" s="129"/>
      <c r="B3" s="129"/>
      <c r="C3" s="129"/>
      <c r="D3" s="129"/>
      <c r="E3" s="129"/>
      <c r="F3" s="129"/>
      <c r="G3" s="129"/>
      <c r="H3" s="129"/>
    </row>
    <row r="4" spans="1:8" ht="15.75" customHeight="1">
      <c r="A4" s="129"/>
      <c r="B4" s="129"/>
      <c r="C4" s="132" t="s">
        <v>1</v>
      </c>
      <c r="D4" s="129"/>
      <c r="E4" s="129"/>
      <c r="F4" s="129"/>
      <c r="G4" s="129"/>
      <c r="H4" s="129"/>
    </row>
    <row r="5" spans="1:8" ht="15.75" customHeight="1" thickBot="1">
      <c r="A5" s="129"/>
      <c r="B5" s="129"/>
      <c r="C5" s="129"/>
      <c r="D5" s="129"/>
      <c r="E5" s="129"/>
      <c r="F5" s="129"/>
      <c r="G5" s="129"/>
      <c r="H5" s="129"/>
    </row>
    <row r="6" spans="1:8" ht="15.75" customHeight="1">
      <c r="A6" s="129"/>
      <c r="B6" s="133"/>
      <c r="C6" s="134"/>
      <c r="D6" s="134"/>
      <c r="E6" s="135"/>
      <c r="F6" s="129"/>
      <c r="G6" s="129"/>
      <c r="H6" s="129"/>
    </row>
    <row r="7" spans="1:8" ht="15.75" customHeight="1">
      <c r="A7" s="129"/>
      <c r="B7" s="136"/>
      <c r="C7" s="137" t="s">
        <v>221</v>
      </c>
      <c r="D7" s="63">
        <v>13205</v>
      </c>
      <c r="E7" s="138"/>
      <c r="F7" s="129"/>
      <c r="G7" s="129"/>
      <c r="H7" s="129"/>
    </row>
    <row r="8" spans="1:8" ht="15.75" customHeight="1">
      <c r="A8" s="129"/>
      <c r="B8" s="136"/>
      <c r="C8" s="137" t="s">
        <v>10</v>
      </c>
      <c r="D8" s="63">
        <v>8200</v>
      </c>
      <c r="E8" s="138"/>
      <c r="F8" s="129"/>
      <c r="G8" s="129"/>
      <c r="H8" s="129"/>
    </row>
    <row r="9" spans="1:8" ht="15.75" customHeight="1">
      <c r="A9" s="129"/>
      <c r="B9" s="136"/>
      <c r="C9" s="137" t="s">
        <v>208</v>
      </c>
      <c r="D9" s="63">
        <v>2205</v>
      </c>
      <c r="E9" s="138"/>
      <c r="F9" s="129"/>
      <c r="G9" s="129"/>
      <c r="H9" s="129"/>
    </row>
    <row r="10" spans="1:8" ht="15.75" customHeight="1">
      <c r="A10" s="129"/>
      <c r="B10" s="136"/>
      <c r="C10" s="137" t="s">
        <v>11</v>
      </c>
      <c r="D10" s="63">
        <v>18380</v>
      </c>
      <c r="E10" s="138"/>
      <c r="F10" s="129"/>
      <c r="G10" s="129"/>
      <c r="H10" s="129"/>
    </row>
    <row r="11" spans="1:8" ht="15.75" customHeight="1">
      <c r="A11" s="129"/>
      <c r="B11" s="136"/>
      <c r="C11" s="137" t="s">
        <v>12</v>
      </c>
      <c r="D11" s="63">
        <v>1630</v>
      </c>
      <c r="E11" s="138"/>
      <c r="F11" s="129"/>
      <c r="G11" s="129"/>
      <c r="H11" s="129"/>
    </row>
    <row r="12" spans="1:8" ht="15.75" customHeight="1" thickBot="1">
      <c r="A12" s="129"/>
      <c r="B12" s="139"/>
      <c r="C12" s="140"/>
      <c r="D12" s="140"/>
      <c r="E12" s="141"/>
      <c r="F12" s="129"/>
      <c r="G12" s="129"/>
      <c r="H12" s="129"/>
    </row>
    <row r="13" spans="1:8" ht="15.75" customHeight="1">
      <c r="A13" s="129"/>
      <c r="B13" s="129"/>
      <c r="C13" s="129"/>
      <c r="D13" s="129"/>
      <c r="E13" s="129"/>
      <c r="F13" s="129"/>
      <c r="G13" s="129"/>
      <c r="H13" s="129"/>
    </row>
    <row r="14" spans="1:8" ht="15.75" customHeight="1">
      <c r="A14" s="129"/>
      <c r="B14" s="129"/>
      <c r="C14" s="132" t="s">
        <v>2</v>
      </c>
      <c r="D14" s="129"/>
      <c r="E14" s="129"/>
      <c r="F14" s="129"/>
      <c r="G14" s="129"/>
      <c r="H14" s="129"/>
    </row>
    <row r="15" spans="1:8" ht="15.75" customHeight="1" thickBot="1">
      <c r="A15" s="129"/>
      <c r="B15" s="129"/>
      <c r="C15" s="129"/>
      <c r="D15" s="129"/>
      <c r="E15" s="129"/>
      <c r="F15" s="129"/>
      <c r="G15" s="129"/>
      <c r="H15" s="129"/>
    </row>
    <row r="16" spans="1:8" ht="15.75" customHeight="1">
      <c r="A16" s="129"/>
      <c r="B16" s="142"/>
      <c r="C16" s="143"/>
      <c r="D16" s="143"/>
      <c r="E16" s="144"/>
      <c r="F16" s="129"/>
      <c r="G16" s="129"/>
      <c r="H16" s="129"/>
    </row>
    <row r="17" spans="1:8" ht="15.75" customHeight="1">
      <c r="A17" s="129"/>
      <c r="B17" s="145"/>
      <c r="C17" s="146" t="s">
        <v>209</v>
      </c>
      <c r="D17" s="147">
        <f>D7+D8+D11</f>
        <v>23035</v>
      </c>
      <c r="E17" s="148"/>
      <c r="F17" s="129"/>
      <c r="G17" s="129"/>
      <c r="H17" s="129"/>
    </row>
    <row r="18" spans="1:8" ht="15.75" customHeight="1">
      <c r="A18" s="129"/>
      <c r="B18" s="145"/>
      <c r="C18" s="146"/>
      <c r="D18" s="146"/>
      <c r="E18" s="148"/>
      <c r="F18" s="129"/>
      <c r="G18" s="129"/>
      <c r="H18" s="129"/>
    </row>
    <row r="19" spans="1:8" ht="15.75" customHeight="1">
      <c r="A19" s="129"/>
      <c r="B19" s="145"/>
      <c r="C19" s="146" t="s">
        <v>222</v>
      </c>
      <c r="D19" s="147">
        <f>D9+D11</f>
        <v>3835</v>
      </c>
      <c r="E19" s="148"/>
      <c r="F19" s="129"/>
      <c r="G19" s="129"/>
      <c r="H19" s="129"/>
    </row>
    <row r="20" spans="1:8" ht="15.75" customHeight="1">
      <c r="A20" s="129"/>
      <c r="B20" s="145"/>
      <c r="C20" s="146"/>
      <c r="D20" s="146"/>
      <c r="E20" s="148"/>
      <c r="F20" s="129"/>
      <c r="G20" s="129"/>
      <c r="H20" s="129"/>
    </row>
    <row r="21" spans="1:8" ht="15.75" customHeight="1">
      <c r="A21" s="129"/>
      <c r="B21" s="145"/>
      <c r="C21" s="149" t="s">
        <v>13</v>
      </c>
      <c r="D21" s="150">
        <f>D17-D10-D19</f>
        <v>820</v>
      </c>
      <c r="E21" s="148"/>
      <c r="F21" s="129"/>
      <c r="G21" s="129"/>
      <c r="H21" s="129"/>
    </row>
    <row r="22" spans="1:8" ht="15.75" customHeight="1">
      <c r="A22" s="129"/>
      <c r="B22" s="145"/>
      <c r="C22" s="149"/>
      <c r="D22" s="151"/>
      <c r="E22" s="148"/>
      <c r="F22" s="129"/>
      <c r="G22" s="129"/>
      <c r="H22" s="129"/>
    </row>
    <row r="23" spans="1:8" ht="15.75" customHeight="1">
      <c r="A23" s="129"/>
      <c r="B23" s="145"/>
      <c r="C23" s="149" t="s">
        <v>14</v>
      </c>
      <c r="D23" s="150">
        <f>D19+D21</f>
        <v>4655</v>
      </c>
      <c r="E23" s="148"/>
      <c r="F23" s="129"/>
      <c r="G23" s="129"/>
      <c r="H23" s="129"/>
    </row>
    <row r="24" spans="1:8" ht="15.75" customHeight="1" thickBot="1">
      <c r="A24" s="129"/>
      <c r="B24" s="152"/>
      <c r="C24" s="153"/>
      <c r="D24" s="153"/>
      <c r="E24" s="154"/>
      <c r="F24" s="129"/>
      <c r="G24" s="129"/>
      <c r="H24" s="129"/>
    </row>
    <row r="25" spans="1:8" ht="15.75" customHeight="1">
      <c r="A25" s="129"/>
      <c r="B25" s="129"/>
      <c r="C25" s="129"/>
      <c r="D25" s="129"/>
      <c r="E25" s="129"/>
      <c r="F25" s="129"/>
      <c r="G25" s="129"/>
      <c r="H25" s="129"/>
    </row>
    <row r="26" spans="1:8" ht="15.75" customHeight="1">
      <c r="A26" s="129"/>
      <c r="B26" s="129"/>
      <c r="C26" s="129"/>
      <c r="D26" s="235"/>
      <c r="E26" s="129"/>
      <c r="F26" s="129"/>
      <c r="G26" s="129"/>
      <c r="H26" s="129"/>
    </row>
    <row r="27" spans="1:8" ht="15.75" customHeight="1">
      <c r="A27" s="129"/>
      <c r="B27" s="129"/>
      <c r="C27" s="129"/>
      <c r="D27" s="129"/>
      <c r="E27" s="129"/>
      <c r="F27" s="129"/>
      <c r="G27" s="129"/>
      <c r="H27" s="129"/>
    </row>
    <row r="28" spans="1:8" ht="15.75" customHeight="1">
      <c r="A28" s="129"/>
      <c r="B28" s="129"/>
      <c r="C28" s="129"/>
      <c r="D28" s="129"/>
      <c r="E28" s="129"/>
      <c r="F28" s="129"/>
      <c r="G28" s="129"/>
      <c r="H28" s="129"/>
    </row>
    <row r="29" spans="1:8" ht="15.75" customHeight="1">
      <c r="A29" s="129"/>
      <c r="B29" s="129"/>
      <c r="C29" s="129"/>
      <c r="D29" s="129"/>
      <c r="E29" s="129"/>
      <c r="F29" s="129"/>
      <c r="G29" s="129"/>
      <c r="H29" s="129"/>
    </row>
    <row r="30" spans="1:8" ht="15.75" customHeight="1"/>
    <row r="31" spans="1:8" ht="15.75" customHeight="1"/>
    <row r="32" spans="1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</sheetData>
  <phoneticPr fontId="2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workbookViewId="0"/>
  </sheetViews>
  <sheetFormatPr defaultRowHeight="12.75"/>
  <cols>
    <col min="2" max="2" width="3.140625" customWidth="1"/>
    <col min="3" max="4" width="18.140625" customWidth="1"/>
    <col min="5" max="5" width="3.140625" customWidth="1"/>
  </cols>
  <sheetData>
    <row r="1" spans="1:8" ht="18">
      <c r="A1" s="1"/>
      <c r="B1" s="1"/>
      <c r="C1" s="93" t="s">
        <v>181</v>
      </c>
      <c r="D1" s="1"/>
      <c r="E1" s="1"/>
      <c r="F1" s="1"/>
      <c r="G1" s="1"/>
      <c r="H1" s="1"/>
    </row>
    <row r="2" spans="1:8" ht="15">
      <c r="A2" s="1"/>
      <c r="B2" s="1"/>
      <c r="C2" s="1" t="s">
        <v>15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1"/>
      <c r="G6" s="1"/>
      <c r="H6" s="1"/>
    </row>
    <row r="7" spans="1:8" ht="15">
      <c r="A7" s="1"/>
      <c r="B7" s="6"/>
      <c r="C7" s="7" t="s">
        <v>3</v>
      </c>
      <c r="D7" s="62" t="s">
        <v>4</v>
      </c>
      <c r="E7" s="8"/>
      <c r="F7" s="1"/>
      <c r="G7" s="1"/>
      <c r="H7" s="1"/>
    </row>
    <row r="8" spans="1:8" ht="15">
      <c r="A8" s="1"/>
      <c r="B8" s="6"/>
      <c r="C8" s="7" t="s">
        <v>5</v>
      </c>
      <c r="D8" s="62" t="s">
        <v>6</v>
      </c>
      <c r="E8" s="8"/>
      <c r="F8" s="1"/>
      <c r="G8" s="1"/>
      <c r="H8" s="1"/>
    </row>
    <row r="9" spans="1:8" ht="15">
      <c r="A9" s="1"/>
      <c r="B9" s="6"/>
      <c r="C9" s="7" t="s">
        <v>7</v>
      </c>
      <c r="D9" s="62" t="s">
        <v>8</v>
      </c>
      <c r="E9" s="8"/>
      <c r="F9" s="1"/>
      <c r="G9" s="1"/>
      <c r="H9" s="1"/>
    </row>
    <row r="10" spans="1:8" ht="15.75" thickBot="1">
      <c r="A10" s="1"/>
      <c r="B10" s="9"/>
      <c r="C10" s="10"/>
      <c r="D10" s="10"/>
      <c r="E10" s="11"/>
      <c r="F10" s="1"/>
      <c r="G10" s="1"/>
      <c r="H10" s="1"/>
    </row>
    <row r="11" spans="1:8" ht="15">
      <c r="A11" s="1"/>
      <c r="B11" s="1"/>
      <c r="C11" s="1"/>
      <c r="D11" s="1"/>
      <c r="E11" s="1"/>
      <c r="F11" s="1"/>
      <c r="G11" s="1"/>
      <c r="H11" s="1"/>
    </row>
    <row r="12" spans="1:8" ht="15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thickBot="1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2"/>
      <c r="C14" s="13"/>
      <c r="D14" s="13"/>
      <c r="E14" s="14"/>
      <c r="F14" s="1"/>
      <c r="G14" s="1"/>
      <c r="H14" s="1"/>
    </row>
    <row r="15" spans="1:8" ht="15.75">
      <c r="A15" s="1"/>
      <c r="B15" s="15"/>
      <c r="C15" s="41" t="s">
        <v>125</v>
      </c>
      <c r="D15" s="48" t="s">
        <v>4</v>
      </c>
      <c r="E15" s="17"/>
      <c r="F15" s="1"/>
      <c r="G15" s="1"/>
      <c r="H15" s="1"/>
    </row>
    <row r="16" spans="1:8" ht="15.75">
      <c r="A16" s="1"/>
      <c r="B16" s="15"/>
      <c r="C16" s="41" t="s">
        <v>126</v>
      </c>
      <c r="D16" s="48" t="s">
        <v>4</v>
      </c>
      <c r="E16" s="17"/>
      <c r="F16" s="1"/>
      <c r="G16" s="1"/>
      <c r="H16" s="1"/>
    </row>
    <row r="17" spans="1:8" ht="15.75">
      <c r="A17" s="1"/>
      <c r="B17" s="15"/>
      <c r="C17" s="41" t="s">
        <v>127</v>
      </c>
      <c r="D17" s="48" t="s">
        <v>6</v>
      </c>
      <c r="E17" s="17"/>
      <c r="F17" s="1"/>
      <c r="G17" s="1"/>
      <c r="H17" s="1"/>
    </row>
    <row r="18" spans="1:8" ht="15.75">
      <c r="A18" s="1"/>
      <c r="B18" s="15"/>
      <c r="C18" s="41" t="s">
        <v>128</v>
      </c>
      <c r="D18" s="48" t="s">
        <v>8</v>
      </c>
      <c r="E18" s="17"/>
      <c r="F18" s="1"/>
      <c r="G18" s="1"/>
      <c r="H18" s="1"/>
    </row>
    <row r="19" spans="1:8" ht="15.75">
      <c r="A19" s="1"/>
      <c r="B19" s="15"/>
      <c r="C19" s="41" t="s">
        <v>129</v>
      </c>
      <c r="D19" s="48" t="s">
        <v>6</v>
      </c>
      <c r="E19" s="17"/>
      <c r="F19" s="1"/>
      <c r="G19" s="1"/>
      <c r="H19" s="1"/>
    </row>
    <row r="20" spans="1:8" ht="15.75">
      <c r="A20" s="1"/>
      <c r="B20" s="15"/>
      <c r="C20" s="41" t="s">
        <v>130</v>
      </c>
      <c r="D20" s="48" t="s">
        <v>8</v>
      </c>
      <c r="E20" s="17"/>
      <c r="F20" s="1"/>
      <c r="G20" s="1"/>
      <c r="H20" s="1"/>
    </row>
    <row r="21" spans="1:8" ht="15.75" thickBot="1">
      <c r="A21" s="1"/>
      <c r="B21" s="18"/>
      <c r="C21" s="19"/>
      <c r="D21" s="19"/>
      <c r="E21" s="20"/>
      <c r="F21" s="1"/>
      <c r="G21" s="1"/>
      <c r="H21" s="1"/>
    </row>
    <row r="22" spans="1:8" ht="15">
      <c r="A22" s="1"/>
      <c r="B22" s="1"/>
      <c r="C22" s="1"/>
      <c r="D22" s="1"/>
      <c r="E22" s="1"/>
      <c r="F22" s="1"/>
      <c r="G22" s="1"/>
      <c r="H22" s="1"/>
    </row>
    <row r="23" spans="1:8" ht="15">
      <c r="A23" s="1"/>
      <c r="B23" s="1"/>
      <c r="C23" s="1"/>
      <c r="D23" s="1"/>
      <c r="E23" s="1"/>
      <c r="F23" s="1"/>
      <c r="G23" s="1"/>
      <c r="H23" s="1"/>
    </row>
    <row r="24" spans="1:8" ht="15">
      <c r="A24" s="1"/>
      <c r="B24" s="1"/>
      <c r="C24" s="1"/>
      <c r="D24" s="1"/>
      <c r="E24" s="1"/>
      <c r="F24" s="1"/>
      <c r="G24" s="1"/>
      <c r="H24" s="1"/>
    </row>
    <row r="25" spans="1:8" ht="15">
      <c r="A25" s="1"/>
      <c r="B25" s="1"/>
      <c r="C25" s="1"/>
      <c r="D25" s="1"/>
      <c r="E25" s="1"/>
      <c r="F25" s="1"/>
      <c r="G25" s="1"/>
      <c r="H25" s="1"/>
    </row>
    <row r="26" spans="1:8" ht="15">
      <c r="A26" s="1"/>
      <c r="B26" s="1"/>
      <c r="C26" s="1"/>
      <c r="D26" s="1"/>
      <c r="E26" s="1"/>
      <c r="F26" s="1"/>
      <c r="G26" s="1"/>
      <c r="H26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7"/>
  <sheetViews>
    <sheetView workbookViewId="0"/>
  </sheetViews>
  <sheetFormatPr defaultRowHeight="12.75"/>
  <cols>
    <col min="2" max="2" width="3.140625" customWidth="1"/>
    <col min="3" max="4" width="18.140625" customWidth="1"/>
    <col min="5" max="5" width="3.140625" customWidth="1"/>
    <col min="6" max="6" width="18.28515625" customWidth="1"/>
    <col min="7" max="7" width="3.140625" customWidth="1"/>
  </cols>
  <sheetData>
    <row r="1" spans="1:8" ht="18">
      <c r="A1" s="1"/>
      <c r="B1" s="1"/>
      <c r="C1" s="93" t="s">
        <v>181</v>
      </c>
      <c r="D1" s="1"/>
      <c r="E1" s="1"/>
      <c r="F1" s="1"/>
      <c r="G1" s="1"/>
      <c r="H1" s="1"/>
    </row>
    <row r="2" spans="1:8" ht="15">
      <c r="A2" s="1"/>
      <c r="B2" s="1"/>
      <c r="C2" s="1" t="s">
        <v>16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1"/>
      <c r="G6" s="1"/>
      <c r="H6" s="1"/>
    </row>
    <row r="7" spans="1:8" ht="15">
      <c r="A7" s="1"/>
      <c r="B7" s="6"/>
      <c r="C7" s="7" t="s">
        <v>3</v>
      </c>
      <c r="D7" s="62" t="s">
        <v>4</v>
      </c>
      <c r="E7" s="8"/>
      <c r="F7" s="1"/>
      <c r="G7" s="1"/>
      <c r="H7" s="1"/>
    </row>
    <row r="8" spans="1:8" ht="15">
      <c r="A8" s="1"/>
      <c r="B8" s="6"/>
      <c r="C8" s="7" t="s">
        <v>5</v>
      </c>
      <c r="D8" s="62" t="s">
        <v>6</v>
      </c>
      <c r="E8" s="8"/>
      <c r="F8" s="1"/>
      <c r="G8" s="1"/>
      <c r="H8" s="1"/>
    </row>
    <row r="9" spans="1:8" ht="15">
      <c r="A9" s="1"/>
      <c r="B9" s="6"/>
      <c r="C9" s="7" t="s">
        <v>7</v>
      </c>
      <c r="D9" s="62" t="s">
        <v>8</v>
      </c>
      <c r="E9" s="8"/>
      <c r="F9" s="1"/>
      <c r="G9" s="1"/>
      <c r="H9" s="1"/>
    </row>
    <row r="10" spans="1:8" ht="15.75" thickBot="1">
      <c r="A10" s="1"/>
      <c r="B10" s="9"/>
      <c r="C10" s="10"/>
      <c r="D10" s="10"/>
      <c r="E10" s="11"/>
      <c r="F10" s="1"/>
      <c r="G10" s="1"/>
      <c r="H10" s="1"/>
    </row>
    <row r="11" spans="1:8" ht="15">
      <c r="A11" s="1"/>
      <c r="B11" s="1"/>
      <c r="C11" s="1"/>
      <c r="D11" s="1"/>
      <c r="E11" s="1"/>
      <c r="F11" s="1"/>
      <c r="G11" s="1"/>
      <c r="H11" s="1"/>
    </row>
    <row r="12" spans="1:8" ht="15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thickBot="1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2"/>
      <c r="C14" s="13"/>
      <c r="D14" s="13"/>
      <c r="E14" s="13"/>
      <c r="F14" s="13"/>
      <c r="G14" s="14"/>
      <c r="H14" s="1"/>
    </row>
    <row r="15" spans="1:8" ht="15">
      <c r="A15" s="1"/>
      <c r="B15" s="15"/>
      <c r="C15" s="16"/>
      <c r="D15" s="24" t="s">
        <v>17</v>
      </c>
      <c r="E15" s="16"/>
      <c r="F15" s="24" t="s">
        <v>18</v>
      </c>
      <c r="G15" s="17"/>
      <c r="H15" s="1"/>
    </row>
    <row r="16" spans="1:8" ht="15.75">
      <c r="A16" s="1"/>
      <c r="B16" s="15"/>
      <c r="C16" s="41" t="s">
        <v>125</v>
      </c>
      <c r="D16" s="48" t="s">
        <v>4</v>
      </c>
      <c r="E16" s="16"/>
      <c r="F16" s="48" t="s">
        <v>4</v>
      </c>
      <c r="G16" s="17"/>
      <c r="H16" s="1"/>
    </row>
    <row r="17" spans="1:8" ht="15.75">
      <c r="A17" s="1"/>
      <c r="B17" s="15"/>
      <c r="C17" s="41" t="s">
        <v>126</v>
      </c>
      <c r="D17" s="48" t="s">
        <v>4</v>
      </c>
      <c r="E17" s="16"/>
      <c r="F17" s="48" t="s">
        <v>8</v>
      </c>
      <c r="G17" s="17"/>
      <c r="H17" s="1"/>
    </row>
    <row r="18" spans="1:8" ht="15.75">
      <c r="A18" s="1"/>
      <c r="B18" s="15"/>
      <c r="C18" s="41" t="s">
        <v>127</v>
      </c>
      <c r="D18" s="48" t="s">
        <v>6</v>
      </c>
      <c r="E18" s="16"/>
      <c r="F18" s="48" t="s">
        <v>6</v>
      </c>
      <c r="G18" s="17"/>
      <c r="H18" s="1"/>
    </row>
    <row r="19" spans="1:8" ht="15.75">
      <c r="A19" s="1"/>
      <c r="B19" s="15"/>
      <c r="C19" s="41" t="s">
        <v>128</v>
      </c>
      <c r="D19" s="48" t="s">
        <v>6</v>
      </c>
      <c r="E19" s="16"/>
      <c r="F19" s="48" t="s">
        <v>6</v>
      </c>
      <c r="G19" s="17"/>
      <c r="H19" s="1"/>
    </row>
    <row r="20" spans="1:8" ht="15.75">
      <c r="A20" s="1"/>
      <c r="B20" s="15"/>
      <c r="C20" s="41" t="s">
        <v>129</v>
      </c>
      <c r="D20" s="48" t="s">
        <v>6</v>
      </c>
      <c r="E20" s="16"/>
      <c r="F20" s="48" t="s">
        <v>8</v>
      </c>
      <c r="G20" s="17"/>
      <c r="H20" s="1"/>
    </row>
    <row r="21" spans="1:8" ht="15.75">
      <c r="A21" s="1"/>
      <c r="B21" s="15"/>
      <c r="C21" s="41" t="s">
        <v>130</v>
      </c>
      <c r="D21" s="48" t="s">
        <v>4</v>
      </c>
      <c r="E21" s="16"/>
      <c r="F21" s="48" t="s">
        <v>4</v>
      </c>
      <c r="G21" s="17"/>
      <c r="H21" s="1"/>
    </row>
    <row r="22" spans="1:8" ht="15.75" thickBot="1">
      <c r="A22" s="1"/>
      <c r="B22" s="18"/>
      <c r="C22" s="19"/>
      <c r="D22" s="19"/>
      <c r="E22" s="19"/>
      <c r="F22" s="19"/>
      <c r="G22" s="20"/>
      <c r="H22" s="1"/>
    </row>
    <row r="23" spans="1:8" ht="15">
      <c r="A23" s="1"/>
      <c r="B23" s="1"/>
      <c r="C23" s="1"/>
      <c r="D23" s="1"/>
      <c r="E23" s="1"/>
      <c r="F23" s="1"/>
      <c r="G23" s="1"/>
      <c r="H23" s="1"/>
    </row>
    <row r="24" spans="1:8" ht="15">
      <c r="A24" s="1"/>
      <c r="B24" s="1"/>
      <c r="C24" s="1"/>
      <c r="D24" s="1"/>
      <c r="E24" s="1"/>
      <c r="F24" s="1"/>
      <c r="G24" s="1"/>
      <c r="H24" s="1"/>
    </row>
    <row r="25" spans="1:8" ht="15">
      <c r="A25" s="1"/>
      <c r="B25" s="1"/>
      <c r="C25" s="1"/>
      <c r="D25" s="1"/>
      <c r="E25" s="1"/>
      <c r="F25" s="1"/>
      <c r="G25" s="1"/>
      <c r="H25" s="1"/>
    </row>
    <row r="26" spans="1:8" ht="15">
      <c r="A26" s="1"/>
      <c r="B26" s="1"/>
      <c r="C26" s="1"/>
      <c r="D26" s="1"/>
      <c r="E26" s="1"/>
      <c r="F26" s="1"/>
      <c r="G26" s="1"/>
      <c r="H26" s="1"/>
    </row>
    <row r="27" spans="1:8" ht="15">
      <c r="A27" s="1"/>
      <c r="B27" s="1"/>
      <c r="C27" s="1"/>
      <c r="D27" s="1"/>
      <c r="E27" s="1"/>
      <c r="F27" s="1"/>
      <c r="G27" s="1"/>
      <c r="H27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1"/>
  <sheetViews>
    <sheetView zoomScaleNormal="100" workbookViewId="0"/>
  </sheetViews>
  <sheetFormatPr defaultRowHeight="12.75"/>
  <cols>
    <col min="2" max="2" width="3.140625" customWidth="1"/>
    <col min="3" max="3" width="23.28515625" bestFit="1" customWidth="1"/>
    <col min="4" max="4" width="15.28515625" customWidth="1"/>
    <col min="5" max="5" width="15" customWidth="1"/>
    <col min="6" max="6" width="15.28515625" customWidth="1"/>
    <col min="7" max="7" width="15.85546875" customWidth="1"/>
    <col min="8" max="8" width="3.140625" customWidth="1"/>
  </cols>
  <sheetData>
    <row r="1" spans="1:8" ht="18">
      <c r="A1" s="1"/>
      <c r="B1" s="1"/>
      <c r="C1" s="93" t="s">
        <v>181</v>
      </c>
      <c r="D1" s="1"/>
      <c r="E1" s="1"/>
      <c r="F1" s="1"/>
    </row>
    <row r="2" spans="1:8" ht="15">
      <c r="A2" s="1"/>
      <c r="B2" s="1"/>
      <c r="C2" s="1" t="s">
        <v>19</v>
      </c>
      <c r="D2" s="1"/>
      <c r="E2" s="1"/>
      <c r="F2" s="1"/>
    </row>
    <row r="3" spans="1:8" ht="15">
      <c r="A3" s="1"/>
      <c r="B3" s="1"/>
      <c r="C3" s="1"/>
      <c r="D3" s="1"/>
      <c r="E3" s="1"/>
      <c r="F3" s="1"/>
    </row>
    <row r="4" spans="1:8" ht="15">
      <c r="A4" s="1"/>
      <c r="B4" s="1"/>
      <c r="C4" s="2" t="s">
        <v>1</v>
      </c>
      <c r="D4" s="1"/>
      <c r="E4" s="1"/>
      <c r="F4" s="1"/>
    </row>
    <row r="5" spans="1:8" ht="15.75" thickBot="1">
      <c r="A5" s="1"/>
      <c r="B5" s="1"/>
      <c r="C5" s="1"/>
      <c r="D5" s="1"/>
      <c r="E5" s="1"/>
      <c r="F5" s="1"/>
    </row>
    <row r="6" spans="1:8" ht="15">
      <c r="A6" s="1"/>
      <c r="B6" s="3"/>
      <c r="C6" s="4"/>
      <c r="D6" s="4"/>
      <c r="E6" s="4"/>
      <c r="F6" s="4"/>
      <c r="G6" s="30"/>
      <c r="H6" s="27"/>
    </row>
    <row r="7" spans="1:8" ht="15">
      <c r="A7" s="1"/>
      <c r="B7" s="6"/>
      <c r="C7" s="7" t="s">
        <v>140</v>
      </c>
      <c r="D7" s="63">
        <v>310</v>
      </c>
      <c r="E7" s="25"/>
      <c r="F7" s="25"/>
      <c r="G7" s="26"/>
      <c r="H7" s="28"/>
    </row>
    <row r="8" spans="1:8" ht="15">
      <c r="A8" s="1"/>
      <c r="B8" s="64" t="s">
        <v>125</v>
      </c>
      <c r="C8" s="7" t="s">
        <v>21</v>
      </c>
      <c r="D8" s="65">
        <v>45</v>
      </c>
      <c r="E8" s="25"/>
      <c r="F8" s="25"/>
      <c r="G8" s="26"/>
      <c r="H8" s="28"/>
    </row>
    <row r="9" spans="1:8" ht="15">
      <c r="A9" s="1"/>
      <c r="B9" s="64" t="s">
        <v>126</v>
      </c>
      <c r="C9" s="7" t="s">
        <v>21</v>
      </c>
      <c r="D9" s="65">
        <v>60</v>
      </c>
      <c r="E9" s="25"/>
      <c r="F9" s="25"/>
      <c r="G9" s="26"/>
      <c r="H9" s="28"/>
    </row>
    <row r="10" spans="1:8" ht="15">
      <c r="A10" s="1"/>
      <c r="B10" s="64" t="s">
        <v>127</v>
      </c>
      <c r="C10" s="7" t="s">
        <v>21</v>
      </c>
      <c r="D10" s="65">
        <v>30</v>
      </c>
      <c r="E10" s="25"/>
      <c r="F10" s="25"/>
      <c r="G10" s="26"/>
      <c r="H10" s="28"/>
    </row>
    <row r="11" spans="1:8" ht="15">
      <c r="A11" s="1"/>
      <c r="B11" s="6"/>
      <c r="C11" s="7"/>
      <c r="D11" s="32" t="s">
        <v>23</v>
      </c>
      <c r="E11" s="33" t="s">
        <v>24</v>
      </c>
      <c r="F11" s="33" t="s">
        <v>25</v>
      </c>
      <c r="G11" s="33" t="s">
        <v>26</v>
      </c>
      <c r="H11" s="28"/>
    </row>
    <row r="12" spans="1:8" ht="15">
      <c r="A12" s="1"/>
      <c r="B12" s="6"/>
      <c r="C12" s="7" t="s">
        <v>22</v>
      </c>
      <c r="D12" s="63">
        <v>710</v>
      </c>
      <c r="E12" s="66">
        <v>810</v>
      </c>
      <c r="F12" s="66">
        <v>780</v>
      </c>
      <c r="G12" s="66">
        <v>940</v>
      </c>
      <c r="H12" s="28"/>
    </row>
    <row r="13" spans="1:8" ht="15.75" thickBot="1">
      <c r="A13" s="1"/>
      <c r="B13" s="9"/>
      <c r="C13" s="10"/>
      <c r="D13" s="10"/>
      <c r="E13" s="10"/>
      <c r="F13" s="10"/>
      <c r="G13" s="31"/>
      <c r="H13" s="29"/>
    </row>
    <row r="14" spans="1:8" ht="15">
      <c r="A14" s="1"/>
      <c r="B14" s="1"/>
      <c r="C14" s="1"/>
      <c r="D14" s="1"/>
      <c r="E14" s="1"/>
      <c r="F14" s="1"/>
    </row>
    <row r="15" spans="1:8" ht="15">
      <c r="A15" s="1"/>
      <c r="B15" s="1"/>
      <c r="C15" s="2" t="s">
        <v>2</v>
      </c>
      <c r="D15" s="1"/>
      <c r="E15" s="1"/>
      <c r="F15" s="1"/>
    </row>
    <row r="16" spans="1:8" ht="15.75" thickBot="1">
      <c r="A16" s="1"/>
      <c r="B16" s="1"/>
      <c r="C16" s="1"/>
      <c r="D16" s="1"/>
      <c r="E16" s="1"/>
      <c r="F16" s="1"/>
    </row>
    <row r="17" spans="1:8" ht="15">
      <c r="A17" s="1"/>
      <c r="B17" s="12"/>
      <c r="C17" s="13"/>
      <c r="D17" s="13"/>
      <c r="E17" s="13"/>
      <c r="F17" s="13"/>
      <c r="G17" s="35"/>
      <c r="H17" s="36"/>
    </row>
    <row r="18" spans="1:8" ht="15">
      <c r="A18" s="1"/>
      <c r="B18" s="68" t="s">
        <v>125</v>
      </c>
      <c r="C18" s="71">
        <f>D8</f>
        <v>45</v>
      </c>
      <c r="D18" s="70" t="s">
        <v>141</v>
      </c>
      <c r="E18" s="16"/>
      <c r="F18" s="16"/>
      <c r="G18" s="34"/>
      <c r="H18" s="37"/>
    </row>
    <row r="19" spans="1:8" ht="15">
      <c r="A19" s="1"/>
      <c r="B19" s="15"/>
      <c r="C19" s="16"/>
      <c r="D19" s="40" t="s">
        <v>23</v>
      </c>
      <c r="E19" s="41" t="s">
        <v>24</v>
      </c>
      <c r="F19" s="41" t="s">
        <v>25</v>
      </c>
      <c r="G19" s="41" t="s">
        <v>26</v>
      </c>
      <c r="H19" s="37"/>
    </row>
    <row r="20" spans="1:8" ht="15">
      <c r="A20" s="1"/>
      <c r="B20" s="15"/>
      <c r="C20" s="21" t="s">
        <v>27</v>
      </c>
      <c r="D20" s="95">
        <f>D7</f>
        <v>310</v>
      </c>
      <c r="E20" s="95">
        <f>D21/2</f>
        <v>355</v>
      </c>
      <c r="F20" s="96">
        <f>E21/2</f>
        <v>405</v>
      </c>
      <c r="G20" s="96">
        <f>F21/2</f>
        <v>390</v>
      </c>
      <c r="H20" s="37"/>
    </row>
    <row r="21" spans="1:8" ht="15">
      <c r="A21" s="1"/>
      <c r="B21" s="15"/>
      <c r="C21" s="21" t="s">
        <v>22</v>
      </c>
      <c r="D21" s="155">
        <f>D12</f>
        <v>710</v>
      </c>
      <c r="E21" s="155">
        <f>E12</f>
        <v>810</v>
      </c>
      <c r="F21" s="156">
        <f>F12</f>
        <v>780</v>
      </c>
      <c r="G21" s="156">
        <f>G12</f>
        <v>940</v>
      </c>
      <c r="H21" s="37"/>
    </row>
    <row r="22" spans="1:8" ht="15.75">
      <c r="A22" s="1"/>
      <c r="B22" s="15"/>
      <c r="C22" s="21" t="s">
        <v>28</v>
      </c>
      <c r="D22" s="157">
        <f>-(D7+(D12*(1-D8/90)))</f>
        <v>-665</v>
      </c>
      <c r="E22" s="158">
        <f>-(E20+(E21*(1-D8/90)))</f>
        <v>-760</v>
      </c>
      <c r="F22" s="159">
        <f>-(F20+(F21*(1-D8/90)))</f>
        <v>-795</v>
      </c>
      <c r="G22" s="159">
        <f>-(G20+(G21*(1-D8/90)))</f>
        <v>-860</v>
      </c>
      <c r="H22" s="37"/>
    </row>
    <row r="23" spans="1:8" ht="15.75" thickBot="1">
      <c r="A23" s="1"/>
      <c r="B23" s="15"/>
      <c r="C23" s="21" t="s">
        <v>29</v>
      </c>
      <c r="D23" s="97">
        <f>SUM(D20:D22)</f>
        <v>355</v>
      </c>
      <c r="E23" s="97">
        <f>SUM(E20:E22)</f>
        <v>405</v>
      </c>
      <c r="F23" s="98">
        <f>SUM(F20:F22)</f>
        <v>390</v>
      </c>
      <c r="G23" s="98">
        <f>SUM(G20:G22)</f>
        <v>470</v>
      </c>
      <c r="H23" s="37"/>
    </row>
    <row r="24" spans="1:8" ht="15.75" thickTop="1">
      <c r="A24" s="1"/>
      <c r="B24" s="15"/>
      <c r="C24" s="21"/>
      <c r="D24" s="22"/>
      <c r="E24" s="22"/>
      <c r="F24" s="16"/>
      <c r="G24" s="16"/>
      <c r="H24" s="37"/>
    </row>
    <row r="25" spans="1:8" ht="15">
      <c r="A25" s="1"/>
      <c r="B25" s="68" t="s">
        <v>126</v>
      </c>
      <c r="C25" s="71">
        <f>D9</f>
        <v>60</v>
      </c>
      <c r="D25" s="70" t="s">
        <v>141</v>
      </c>
      <c r="E25" s="22"/>
      <c r="F25" s="16"/>
      <c r="G25" s="16"/>
      <c r="H25" s="37"/>
    </row>
    <row r="26" spans="1:8" ht="15">
      <c r="A26" s="1"/>
      <c r="B26" s="15"/>
      <c r="C26" s="21" t="s">
        <v>27</v>
      </c>
      <c r="D26" s="95">
        <f>D7</f>
        <v>310</v>
      </c>
      <c r="E26" s="99">
        <f>(D27)-(D27/3)</f>
        <v>473.33333333333337</v>
      </c>
      <c r="F26" s="100">
        <f>E27-(E27/3)</f>
        <v>540</v>
      </c>
      <c r="G26" s="96">
        <f>F27-(F27/3)</f>
        <v>520</v>
      </c>
      <c r="H26" s="37"/>
    </row>
    <row r="27" spans="1:8" ht="15">
      <c r="A27" s="1"/>
      <c r="B27" s="15"/>
      <c r="C27" s="21" t="s">
        <v>22</v>
      </c>
      <c r="D27" s="155">
        <f>D12</f>
        <v>710</v>
      </c>
      <c r="E27" s="155">
        <f>E12</f>
        <v>810</v>
      </c>
      <c r="F27" s="156">
        <f>F12</f>
        <v>780</v>
      </c>
      <c r="G27" s="156">
        <f>G12</f>
        <v>940</v>
      </c>
      <c r="H27" s="37"/>
    </row>
    <row r="28" spans="1:8" ht="15.75">
      <c r="A28" s="1"/>
      <c r="B28" s="15"/>
      <c r="C28" s="21" t="s">
        <v>28</v>
      </c>
      <c r="D28" s="160">
        <f>-(D26+(D27*(1-D9/90)))</f>
        <v>-546.66666666666674</v>
      </c>
      <c r="E28" s="160">
        <f>-(E26+(E27*(1-D9/90)))</f>
        <v>-743.33333333333348</v>
      </c>
      <c r="F28" s="160">
        <f>-(F26+(F27*(1-D9/90)))</f>
        <v>-800</v>
      </c>
      <c r="G28" s="160">
        <f>-(G26+(G27*(1-D9/90)))</f>
        <v>-833.33333333333337</v>
      </c>
      <c r="H28" s="37"/>
    </row>
    <row r="29" spans="1:8" ht="15.75" thickBot="1">
      <c r="A29" s="1"/>
      <c r="B29" s="15"/>
      <c r="C29" s="21" t="s">
        <v>29</v>
      </c>
      <c r="D29" s="101">
        <f>SUM(D26:D28)</f>
        <v>473.33333333333326</v>
      </c>
      <c r="E29" s="101">
        <f>SUM(E26:E28)</f>
        <v>540</v>
      </c>
      <c r="F29" s="101">
        <f>SUM(F26:F28)</f>
        <v>520</v>
      </c>
      <c r="G29" s="101">
        <f>SUM(G26:G28)</f>
        <v>626.66666666666663</v>
      </c>
      <c r="H29" s="37"/>
    </row>
    <row r="30" spans="1:8" ht="15.75" thickTop="1">
      <c r="A30" s="1"/>
      <c r="B30" s="15"/>
      <c r="C30" s="21"/>
      <c r="D30" s="22"/>
      <c r="E30" s="22"/>
      <c r="F30" s="16"/>
      <c r="G30" s="16"/>
      <c r="H30" s="37"/>
    </row>
    <row r="31" spans="1:8" ht="15">
      <c r="A31" s="1"/>
      <c r="B31" s="68" t="s">
        <v>127</v>
      </c>
      <c r="C31" s="71">
        <f>D10</f>
        <v>30</v>
      </c>
      <c r="D31" s="70" t="s">
        <v>141</v>
      </c>
      <c r="E31" s="22"/>
      <c r="F31" s="16"/>
      <c r="G31" s="16"/>
      <c r="H31" s="37"/>
    </row>
    <row r="32" spans="1:8" ht="15">
      <c r="A32" s="1"/>
      <c r="B32" s="15"/>
      <c r="C32" s="21" t="s">
        <v>27</v>
      </c>
      <c r="D32" s="99">
        <f>D7</f>
        <v>310</v>
      </c>
      <c r="E32" s="99">
        <f>D33-(D33*(2/3))</f>
        <v>236.66666666666669</v>
      </c>
      <c r="F32" s="99">
        <f>E33-(E33*(2/3))</f>
        <v>270</v>
      </c>
      <c r="G32" s="99">
        <f>F33-(F33*(2/3))</f>
        <v>260</v>
      </c>
      <c r="H32" s="37"/>
    </row>
    <row r="33" spans="1:8" ht="15">
      <c r="A33" s="1"/>
      <c r="B33" s="15"/>
      <c r="C33" s="21" t="s">
        <v>22</v>
      </c>
      <c r="D33" s="161">
        <f>D12</f>
        <v>710</v>
      </c>
      <c r="E33" s="161">
        <f>E12</f>
        <v>810</v>
      </c>
      <c r="F33" s="162">
        <f>F12</f>
        <v>780</v>
      </c>
      <c r="G33" s="162">
        <f>G12</f>
        <v>940</v>
      </c>
      <c r="H33" s="37"/>
    </row>
    <row r="34" spans="1:8" ht="15.75">
      <c r="A34" s="1"/>
      <c r="B34" s="15"/>
      <c r="C34" s="21" t="s">
        <v>28</v>
      </c>
      <c r="D34" s="160">
        <f>-(D32+(D33*(1-D10/90)))</f>
        <v>-783.33333333333337</v>
      </c>
      <c r="E34" s="160">
        <f>-(E32+(E33*(1-D10/90)))</f>
        <v>-776.66666666666674</v>
      </c>
      <c r="F34" s="160">
        <f>-(F32+(F33*(1-D10/90)))</f>
        <v>-790.00000000000011</v>
      </c>
      <c r="G34" s="160">
        <f>-(G32+(G33*(1-D10/90)))</f>
        <v>-886.66666666666674</v>
      </c>
      <c r="H34" s="37"/>
    </row>
    <row r="35" spans="1:8" ht="15.75" thickBot="1">
      <c r="A35" s="1"/>
      <c r="B35" s="15"/>
      <c r="C35" s="21" t="s">
        <v>29</v>
      </c>
      <c r="D35" s="101">
        <f>SUM(D32:D34)</f>
        <v>236.66666666666663</v>
      </c>
      <c r="E35" s="101">
        <f>SUM(E32:E34)</f>
        <v>270</v>
      </c>
      <c r="F35" s="101">
        <f>SUM(F32:F34)</f>
        <v>259.99999999999989</v>
      </c>
      <c r="G35" s="101">
        <f>SUM(G32:G34)</f>
        <v>313.33333333333326</v>
      </c>
      <c r="H35" s="37"/>
    </row>
    <row r="36" spans="1:8" ht="16.5" thickTop="1" thickBot="1">
      <c r="A36" s="1"/>
      <c r="B36" s="18"/>
      <c r="C36" s="19"/>
      <c r="D36" s="19"/>
      <c r="E36" s="19"/>
      <c r="F36" s="19"/>
      <c r="G36" s="38"/>
      <c r="H36" s="39"/>
    </row>
    <row r="37" spans="1:8" ht="15">
      <c r="A37" s="1"/>
      <c r="B37" s="1"/>
      <c r="C37" s="1"/>
      <c r="D37" s="1"/>
      <c r="E37" s="1"/>
      <c r="F37" s="1"/>
    </row>
    <row r="38" spans="1:8" ht="15">
      <c r="A38" s="1"/>
      <c r="B38" s="1"/>
      <c r="C38" s="1"/>
      <c r="D38" s="1"/>
      <c r="E38" s="1"/>
      <c r="F38" s="1"/>
    </row>
    <row r="39" spans="1:8" ht="15">
      <c r="A39" s="1"/>
      <c r="B39" s="1"/>
      <c r="C39" s="1"/>
      <c r="D39" s="1"/>
      <c r="E39" s="1"/>
      <c r="F39" s="1"/>
    </row>
    <row r="40" spans="1:8" ht="15">
      <c r="A40" s="1"/>
      <c r="B40" s="1"/>
      <c r="C40" s="1"/>
      <c r="D40" s="1"/>
      <c r="E40" s="1"/>
      <c r="F40" s="1"/>
    </row>
    <row r="41" spans="1:8" ht="15">
      <c r="A41" s="1"/>
      <c r="B41" s="1"/>
      <c r="C41" s="1"/>
      <c r="D41" s="1"/>
      <c r="E41" s="1"/>
      <c r="F41" s="1"/>
    </row>
  </sheetData>
  <phoneticPr fontId="19" type="noConversion"/>
  <pageMargins left="0.75" right="0.75" top="1" bottom="1" header="0.5" footer="0.5"/>
  <pageSetup scale="83" orientation="portrait" horizontalDpi="360" verticalDpi="360" r:id="rId1"/>
  <headerFooter alignWithMargins="0"/>
  <ignoredErrors>
    <ignoredError sqref="F28 E2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H31"/>
  <sheetViews>
    <sheetView workbookViewId="0"/>
  </sheetViews>
  <sheetFormatPr defaultRowHeight="12.75"/>
  <cols>
    <col min="2" max="2" width="3.140625" customWidth="1"/>
    <col min="3" max="3" width="19" bestFit="1" customWidth="1"/>
    <col min="4" max="4" width="16.5703125" customWidth="1"/>
    <col min="5" max="5" width="12.28515625" bestFit="1" customWidth="1"/>
    <col min="6" max="6" width="18.28515625" customWidth="1"/>
    <col min="7" max="7" width="3.85546875" customWidth="1"/>
  </cols>
  <sheetData>
    <row r="1" spans="1:8" ht="18">
      <c r="A1" s="1"/>
      <c r="B1" s="1"/>
      <c r="C1" s="93" t="s">
        <v>181</v>
      </c>
      <c r="D1" s="1"/>
      <c r="E1" s="1"/>
      <c r="F1" s="1"/>
      <c r="G1" s="1"/>
      <c r="H1" s="1"/>
    </row>
    <row r="2" spans="1:8" ht="15">
      <c r="A2" s="1"/>
      <c r="B2" s="1"/>
      <c r="C2" s="1" t="s">
        <v>30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4"/>
      <c r="F6" s="4"/>
      <c r="G6" s="5"/>
      <c r="H6" s="1"/>
    </row>
    <row r="7" spans="1:8" ht="15">
      <c r="A7" s="1"/>
      <c r="B7" s="6"/>
      <c r="C7" s="72" t="s">
        <v>31</v>
      </c>
      <c r="D7" s="72" t="s">
        <v>32</v>
      </c>
      <c r="E7" s="73"/>
      <c r="F7" s="72" t="s">
        <v>33</v>
      </c>
      <c r="G7" s="8"/>
      <c r="H7" s="1"/>
    </row>
    <row r="8" spans="1:8" ht="15">
      <c r="A8" s="1"/>
      <c r="B8" s="6"/>
      <c r="C8" s="25" t="s">
        <v>34</v>
      </c>
      <c r="D8" s="66">
        <v>17385</v>
      </c>
      <c r="E8" s="66"/>
      <c r="F8" s="66">
        <v>19108</v>
      </c>
      <c r="G8" s="8"/>
      <c r="H8" s="1"/>
    </row>
    <row r="9" spans="1:8" ht="15">
      <c r="A9" s="1"/>
      <c r="B9" s="6"/>
      <c r="C9" s="25" t="s">
        <v>20</v>
      </c>
      <c r="D9" s="66">
        <v>13182</v>
      </c>
      <c r="E9" s="66"/>
      <c r="F9" s="66">
        <v>13973</v>
      </c>
      <c r="G9" s="8"/>
      <c r="H9" s="1"/>
    </row>
    <row r="10" spans="1:8" ht="15">
      <c r="A10" s="1"/>
      <c r="B10" s="6"/>
      <c r="C10" s="7" t="s">
        <v>35</v>
      </c>
      <c r="D10" s="74">
        <v>15385</v>
      </c>
      <c r="E10" s="66"/>
      <c r="F10" s="66">
        <v>16676</v>
      </c>
      <c r="G10" s="8"/>
      <c r="H10" s="1"/>
    </row>
    <row r="11" spans="1:8" ht="15">
      <c r="A11" s="1"/>
      <c r="B11" s="6"/>
      <c r="C11" s="7" t="s">
        <v>36</v>
      </c>
      <c r="D11" s="74"/>
      <c r="E11" s="66">
        <v>178312</v>
      </c>
      <c r="F11" s="66"/>
      <c r="G11" s="8"/>
      <c r="H11" s="1"/>
    </row>
    <row r="12" spans="1:8" ht="15">
      <c r="A12" s="1"/>
      <c r="B12" s="6"/>
      <c r="C12" s="7" t="s">
        <v>37</v>
      </c>
      <c r="D12" s="74"/>
      <c r="E12" s="66">
        <v>140382</v>
      </c>
      <c r="F12" s="66"/>
      <c r="G12" s="8"/>
      <c r="H12" s="1"/>
    </row>
    <row r="13" spans="1:8" ht="15.75" thickBot="1">
      <c r="A13" s="1"/>
      <c r="B13" s="9"/>
      <c r="C13" s="10"/>
      <c r="D13" s="10"/>
      <c r="E13" s="10"/>
      <c r="F13" s="10"/>
      <c r="G13" s="11"/>
      <c r="H13" s="1"/>
    </row>
    <row r="14" spans="1:8" ht="15">
      <c r="A14" s="1"/>
      <c r="B14" s="1"/>
      <c r="C14" s="1"/>
      <c r="D14" s="1"/>
      <c r="E14" s="1"/>
      <c r="F14" s="1"/>
      <c r="G14" s="1"/>
      <c r="H14" s="1"/>
    </row>
    <row r="15" spans="1:8" ht="15">
      <c r="A15" s="1"/>
      <c r="B15" s="1"/>
      <c r="C15" s="2" t="s">
        <v>2</v>
      </c>
      <c r="D15" s="1"/>
      <c r="E15" s="1"/>
      <c r="F15" s="1"/>
      <c r="G15" s="1"/>
      <c r="H15" s="1"/>
    </row>
    <row r="16" spans="1:8" ht="15.75" thickBot="1">
      <c r="A16" s="1"/>
      <c r="B16" s="1"/>
      <c r="C16" s="1"/>
      <c r="D16" s="1"/>
      <c r="E16" s="1"/>
      <c r="F16" s="1"/>
      <c r="G16" s="1"/>
      <c r="H16" s="1"/>
    </row>
    <row r="17" spans="1:8" ht="15">
      <c r="A17" s="1"/>
      <c r="B17" s="12"/>
      <c r="C17" s="13"/>
      <c r="D17" s="13"/>
      <c r="E17" s="13"/>
      <c r="F17" s="13"/>
      <c r="G17" s="14"/>
      <c r="H17" s="1"/>
    </row>
    <row r="18" spans="1:8" ht="15">
      <c r="A18" s="1"/>
      <c r="B18" s="15"/>
      <c r="C18" s="43" t="s">
        <v>40</v>
      </c>
      <c r="D18" s="24"/>
      <c r="E18" s="16"/>
      <c r="F18" s="75">
        <f>E12/((D8+F8)/2)</f>
        <v>7.6936398761406295</v>
      </c>
      <c r="G18" s="17"/>
      <c r="H18" s="1"/>
    </row>
    <row r="19" spans="1:8" ht="15">
      <c r="A19" s="1"/>
      <c r="B19" s="15"/>
      <c r="C19" s="23" t="s">
        <v>38</v>
      </c>
      <c r="D19" s="22"/>
      <c r="E19" s="16"/>
      <c r="F19" s="75">
        <f>365/F18</f>
        <v>47.441783846931941</v>
      </c>
      <c r="G19" s="17"/>
      <c r="H19" s="1"/>
    </row>
    <row r="20" spans="1:8" ht="15">
      <c r="A20" s="1"/>
      <c r="B20" s="15"/>
      <c r="C20" s="23" t="s">
        <v>39</v>
      </c>
      <c r="D20" s="22"/>
      <c r="E20" s="16"/>
      <c r="F20" s="75">
        <f>E11/((D9+F9)/2)</f>
        <v>13.132903700975879</v>
      </c>
      <c r="G20" s="17"/>
      <c r="H20" s="1"/>
    </row>
    <row r="21" spans="1:8" ht="15">
      <c r="A21" s="1"/>
      <c r="B21" s="15"/>
      <c r="C21" s="23" t="s">
        <v>41</v>
      </c>
      <c r="D21" s="22"/>
      <c r="E21" s="16"/>
      <c r="F21" s="75">
        <f>365/F20</f>
        <v>27.792787361478759</v>
      </c>
      <c r="G21" s="17"/>
      <c r="H21" s="1"/>
    </row>
    <row r="22" spans="1:8" ht="15.75">
      <c r="A22" s="1"/>
      <c r="B22" s="15"/>
      <c r="C22" s="23" t="s">
        <v>42</v>
      </c>
      <c r="D22" s="22"/>
      <c r="E22" s="16"/>
      <c r="F22" s="76">
        <f>F19+F21</f>
        <v>75.234571208410699</v>
      </c>
      <c r="G22" s="17"/>
      <c r="H22" s="1"/>
    </row>
    <row r="23" spans="1:8" ht="15">
      <c r="A23" s="1"/>
      <c r="B23" s="15"/>
      <c r="C23" s="23" t="s">
        <v>43</v>
      </c>
      <c r="D23" s="22"/>
      <c r="E23" s="16"/>
      <c r="F23" s="77">
        <f>E12/((D10+F10)/2)</f>
        <v>8.7571816225320482</v>
      </c>
      <c r="G23" s="17"/>
      <c r="H23" s="1"/>
    </row>
    <row r="24" spans="1:8" ht="15">
      <c r="A24" s="1"/>
      <c r="B24" s="15"/>
      <c r="C24" s="23" t="s">
        <v>44</v>
      </c>
      <c r="D24" s="22"/>
      <c r="E24" s="16"/>
      <c r="F24" s="78">
        <f>365/F23</f>
        <v>41.680076505534899</v>
      </c>
      <c r="G24" s="17"/>
      <c r="H24" s="1"/>
    </row>
    <row r="25" spans="1:8" ht="15.75">
      <c r="A25" s="1"/>
      <c r="B25" s="15"/>
      <c r="C25" s="23" t="s">
        <v>45</v>
      </c>
      <c r="D25" s="22"/>
      <c r="E25" s="16"/>
      <c r="F25" s="76">
        <f>F22-F24</f>
        <v>33.5544947028758</v>
      </c>
      <c r="G25" s="17"/>
      <c r="H25" s="1"/>
    </row>
    <row r="26" spans="1:8" ht="15.75" thickBot="1">
      <c r="A26" s="1"/>
      <c r="B26" s="18"/>
      <c r="C26" s="19"/>
      <c r="D26" s="19"/>
      <c r="E26" s="19"/>
      <c r="F26" s="19"/>
      <c r="G26" s="20"/>
      <c r="H26" s="1"/>
    </row>
    <row r="27" spans="1:8" ht="15">
      <c r="A27" s="1"/>
      <c r="B27" s="1"/>
      <c r="C27" s="1"/>
      <c r="D27" s="1"/>
      <c r="E27" s="1"/>
      <c r="F27" s="1"/>
      <c r="G27" s="1"/>
      <c r="H27" s="1"/>
    </row>
    <row r="28" spans="1:8" ht="15">
      <c r="A28" s="1"/>
      <c r="B28" s="1"/>
      <c r="C28" s="1"/>
      <c r="D28" s="1"/>
      <c r="E28" s="1"/>
      <c r="F28" s="1"/>
      <c r="G28" s="1"/>
      <c r="H28" s="1"/>
    </row>
    <row r="29" spans="1:8" ht="15">
      <c r="A29" s="1"/>
      <c r="B29" s="1"/>
      <c r="C29" s="1"/>
      <c r="D29" s="1"/>
      <c r="E29" s="1"/>
      <c r="F29" s="1"/>
      <c r="G29" s="1"/>
      <c r="H29" s="1"/>
    </row>
    <row r="30" spans="1:8" ht="15">
      <c r="A30" s="1"/>
      <c r="B30" s="1"/>
      <c r="C30" s="1"/>
      <c r="D30" s="1"/>
      <c r="E30" s="1"/>
      <c r="F30" s="1"/>
      <c r="G30" s="1"/>
      <c r="H30" s="1"/>
    </row>
    <row r="31" spans="1:8" ht="15">
      <c r="A31" s="1"/>
      <c r="B31" s="1"/>
      <c r="C31" s="1"/>
      <c r="D31" s="1"/>
      <c r="E31" s="1"/>
      <c r="F31" s="1"/>
      <c r="G31" s="1"/>
      <c r="H31" s="1"/>
    </row>
  </sheetData>
  <phoneticPr fontId="19" type="noConversion"/>
  <pageMargins left="0.75" right="0.75" top="1" bottom="1" header="0.5" footer="0.5"/>
  <pageSetup orientation="portrait" horizontalDpi="360" verticalDpi="360" r:id="rId1"/>
  <headerFooter alignWithMargins="0"/>
  <ignoredErrors>
    <ignoredError sqref="F2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K33"/>
  <sheetViews>
    <sheetView workbookViewId="0"/>
  </sheetViews>
  <sheetFormatPr defaultRowHeight="12.75"/>
  <cols>
    <col min="2" max="2" width="3.140625" customWidth="1"/>
    <col min="3" max="3" width="25.42578125" customWidth="1"/>
    <col min="4" max="4" width="15.28515625" customWidth="1"/>
    <col min="5" max="5" width="3.140625" customWidth="1"/>
    <col min="6" max="6" width="15" customWidth="1"/>
    <col min="7" max="7" width="3.140625" customWidth="1"/>
    <col min="8" max="8" width="15.28515625" customWidth="1"/>
    <col min="9" max="9" width="3.140625" customWidth="1"/>
    <col min="10" max="10" width="15.85546875" customWidth="1"/>
    <col min="11" max="11" width="3.140625" customWidth="1"/>
  </cols>
  <sheetData>
    <row r="1" spans="1:11" ht="18">
      <c r="A1" s="1"/>
      <c r="B1" s="1"/>
      <c r="C1" s="93" t="s">
        <v>181</v>
      </c>
      <c r="D1" s="1"/>
      <c r="E1" s="1"/>
      <c r="F1" s="1"/>
      <c r="G1" s="1"/>
      <c r="H1" s="1"/>
    </row>
    <row r="2" spans="1:11" ht="15">
      <c r="A2" s="1"/>
      <c r="B2" s="1"/>
      <c r="C2" s="1" t="s">
        <v>46</v>
      </c>
      <c r="D2" s="1"/>
      <c r="E2" s="1"/>
      <c r="F2" s="1"/>
      <c r="G2" s="1"/>
      <c r="H2" s="1"/>
    </row>
    <row r="3" spans="1:11" ht="15">
      <c r="A3" s="1"/>
      <c r="B3" s="1"/>
      <c r="C3" s="1"/>
      <c r="D3" s="1"/>
      <c r="E3" s="1"/>
      <c r="F3" s="1"/>
      <c r="G3" s="1"/>
      <c r="H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</row>
    <row r="5" spans="1:11" ht="15.75" thickBot="1">
      <c r="A5" s="1"/>
      <c r="B5" s="1"/>
      <c r="C5" s="1"/>
      <c r="D5" s="1"/>
      <c r="E5" s="1"/>
      <c r="F5" s="1"/>
      <c r="G5" s="1"/>
      <c r="H5" s="1"/>
    </row>
    <row r="6" spans="1:11" ht="15">
      <c r="A6" s="1"/>
      <c r="B6" s="3"/>
      <c r="C6" s="4"/>
      <c r="D6" s="4"/>
      <c r="E6" s="4"/>
      <c r="F6" s="4"/>
      <c r="G6" s="4"/>
      <c r="H6" s="4"/>
      <c r="I6" s="30"/>
      <c r="J6" s="30"/>
      <c r="K6" s="27"/>
    </row>
    <row r="7" spans="1:11" ht="15">
      <c r="A7" s="1"/>
      <c r="B7" s="6"/>
      <c r="C7" s="7" t="s">
        <v>142</v>
      </c>
      <c r="D7" s="79">
        <v>0.15</v>
      </c>
      <c r="E7" s="25"/>
      <c r="F7" s="25"/>
      <c r="G7" s="25"/>
      <c r="H7" s="25"/>
      <c r="I7" s="26"/>
      <c r="J7" s="26"/>
      <c r="K7" s="28"/>
    </row>
    <row r="8" spans="1:11" ht="15">
      <c r="A8" s="1"/>
      <c r="B8" s="6"/>
      <c r="C8" s="7" t="s">
        <v>143</v>
      </c>
      <c r="D8" s="79">
        <v>0.3</v>
      </c>
      <c r="E8" s="25"/>
      <c r="F8" s="25"/>
      <c r="G8" s="25"/>
      <c r="H8" s="25"/>
      <c r="I8" s="26"/>
      <c r="J8" s="26"/>
      <c r="K8" s="28"/>
    </row>
    <row r="9" spans="1:11" ht="15">
      <c r="A9" s="1"/>
      <c r="B9" s="64" t="s">
        <v>126</v>
      </c>
      <c r="C9" s="7" t="s">
        <v>44</v>
      </c>
      <c r="D9" s="65">
        <v>90</v>
      </c>
      <c r="E9" s="25"/>
      <c r="F9" s="25"/>
      <c r="G9" s="25"/>
      <c r="H9" s="25"/>
      <c r="I9" s="26"/>
      <c r="J9" s="26"/>
      <c r="K9" s="28"/>
    </row>
    <row r="10" spans="1:11" ht="15">
      <c r="A10" s="1"/>
      <c r="B10" s="64" t="s">
        <v>127</v>
      </c>
      <c r="C10" s="7" t="s">
        <v>44</v>
      </c>
      <c r="D10" s="65">
        <v>60</v>
      </c>
      <c r="E10" s="25"/>
      <c r="F10" s="25"/>
      <c r="G10" s="25"/>
      <c r="H10" s="25"/>
      <c r="I10" s="26"/>
      <c r="J10" s="26"/>
      <c r="K10" s="28"/>
    </row>
    <row r="11" spans="1:11" ht="15">
      <c r="A11" s="1"/>
      <c r="B11" s="6"/>
      <c r="C11" s="7"/>
      <c r="D11" s="32" t="s">
        <v>23</v>
      </c>
      <c r="E11" s="33"/>
      <c r="F11" s="33" t="s">
        <v>24</v>
      </c>
      <c r="G11" s="33"/>
      <c r="H11" s="33" t="s">
        <v>25</v>
      </c>
      <c r="I11" s="33"/>
      <c r="J11" s="33" t="s">
        <v>26</v>
      </c>
      <c r="K11" s="28"/>
    </row>
    <row r="12" spans="1:11" ht="15">
      <c r="A12" s="1"/>
      <c r="B12" s="6"/>
      <c r="C12" s="7" t="s">
        <v>22</v>
      </c>
      <c r="D12" s="63">
        <v>620</v>
      </c>
      <c r="E12" s="66"/>
      <c r="F12" s="66">
        <v>555</v>
      </c>
      <c r="G12" s="66"/>
      <c r="H12" s="66">
        <v>705</v>
      </c>
      <c r="I12" s="67"/>
      <c r="J12" s="66">
        <v>780</v>
      </c>
      <c r="K12" s="28"/>
    </row>
    <row r="13" spans="1:11" ht="15.75" thickBot="1">
      <c r="A13" s="1"/>
      <c r="B13" s="9"/>
      <c r="C13" s="10"/>
      <c r="D13" s="10"/>
      <c r="E13" s="10"/>
      <c r="F13" s="10"/>
      <c r="G13" s="10"/>
      <c r="H13" s="10"/>
      <c r="I13" s="31"/>
      <c r="J13" s="31"/>
      <c r="K13" s="29"/>
    </row>
    <row r="14" spans="1:11" ht="15">
      <c r="A14" s="1"/>
      <c r="B14" s="1"/>
      <c r="C14" s="1"/>
      <c r="D14" s="1"/>
      <c r="E14" s="1"/>
      <c r="F14" s="1"/>
      <c r="G14" s="1"/>
      <c r="H14" s="1"/>
    </row>
    <row r="15" spans="1:11" ht="15">
      <c r="A15" s="1"/>
      <c r="B15" s="1"/>
      <c r="C15" s="2" t="s">
        <v>2</v>
      </c>
      <c r="D15" s="1"/>
      <c r="E15" s="1"/>
      <c r="F15" s="1"/>
      <c r="G15" s="1"/>
      <c r="H15" s="1"/>
    </row>
    <row r="16" spans="1:11" ht="15.75" thickBot="1">
      <c r="A16" s="1"/>
      <c r="B16" s="1"/>
      <c r="C16" s="1"/>
      <c r="D16" s="1"/>
      <c r="E16" s="1"/>
      <c r="F16" s="1"/>
      <c r="G16" s="1"/>
      <c r="H16" s="1"/>
    </row>
    <row r="17" spans="1:11" ht="15">
      <c r="A17" s="1"/>
      <c r="B17" s="12"/>
      <c r="C17" s="13"/>
      <c r="D17" s="13"/>
      <c r="E17" s="13"/>
      <c r="F17" s="13"/>
      <c r="G17" s="13"/>
      <c r="H17" s="13"/>
      <c r="I17" s="35"/>
      <c r="J17" s="35"/>
      <c r="K17" s="36"/>
    </row>
    <row r="18" spans="1:11" ht="15">
      <c r="A18" s="1"/>
      <c r="B18" s="68" t="s">
        <v>125</v>
      </c>
      <c r="C18" s="16" t="s">
        <v>144</v>
      </c>
      <c r="D18" s="16"/>
      <c r="E18" s="16"/>
      <c r="F18" s="16"/>
      <c r="G18" s="16"/>
      <c r="H18" s="16"/>
      <c r="I18" s="34"/>
      <c r="J18" s="34"/>
      <c r="K18" s="37"/>
    </row>
    <row r="19" spans="1:11" ht="15">
      <c r="A19" s="1"/>
      <c r="B19" s="68"/>
      <c r="C19" s="16" t="s">
        <v>48</v>
      </c>
      <c r="D19" s="16"/>
      <c r="E19" s="16"/>
      <c r="F19" s="16"/>
      <c r="G19" s="16"/>
      <c r="H19" s="16"/>
      <c r="I19" s="34"/>
      <c r="J19" s="34"/>
      <c r="K19" s="37"/>
    </row>
    <row r="20" spans="1:11" ht="15">
      <c r="A20" s="1"/>
      <c r="B20" s="68"/>
      <c r="C20" s="16"/>
      <c r="D20" s="40" t="s">
        <v>23</v>
      </c>
      <c r="E20" s="41"/>
      <c r="F20" s="41" t="s">
        <v>24</v>
      </c>
      <c r="G20" s="41"/>
      <c r="H20" s="41" t="s">
        <v>25</v>
      </c>
      <c r="I20" s="41"/>
      <c r="J20" s="41" t="s">
        <v>26</v>
      </c>
      <c r="K20" s="37"/>
    </row>
    <row r="21" spans="1:11" ht="15.75">
      <c r="A21" s="1"/>
      <c r="B21" s="68"/>
      <c r="C21" s="21" t="s">
        <v>49</v>
      </c>
      <c r="D21" s="80">
        <f>D8*F12</f>
        <v>166.5</v>
      </c>
      <c r="E21" s="69"/>
      <c r="F21" s="81">
        <f>D8*H12</f>
        <v>211.5</v>
      </c>
      <c r="G21" s="82"/>
      <c r="H21" s="82">
        <f>D8*J12</f>
        <v>234</v>
      </c>
      <c r="I21" s="83"/>
      <c r="J21" s="82">
        <f>D12*(1+D7)*D8</f>
        <v>213.9</v>
      </c>
      <c r="K21" s="37"/>
    </row>
    <row r="22" spans="1:11" ht="15">
      <c r="A22" s="1"/>
      <c r="B22" s="68"/>
      <c r="C22" s="21"/>
      <c r="D22" s="22"/>
      <c r="E22" s="16"/>
      <c r="F22" s="22"/>
      <c r="G22" s="16"/>
      <c r="H22" s="16"/>
      <c r="I22" s="34"/>
      <c r="J22" s="16"/>
      <c r="K22" s="37"/>
    </row>
    <row r="23" spans="1:11" ht="15">
      <c r="A23" s="1"/>
      <c r="B23" s="68" t="s">
        <v>126</v>
      </c>
      <c r="C23" s="21" t="s">
        <v>145</v>
      </c>
      <c r="D23" s="84">
        <f>D9</f>
        <v>90</v>
      </c>
      <c r="E23" s="16" t="s">
        <v>146</v>
      </c>
      <c r="F23" s="22"/>
      <c r="G23" s="16"/>
      <c r="H23" s="16"/>
      <c r="I23" s="34"/>
      <c r="J23" s="16"/>
      <c r="K23" s="37"/>
    </row>
    <row r="24" spans="1:11" ht="15.75">
      <c r="A24" s="1"/>
      <c r="B24" s="68"/>
      <c r="C24" s="21" t="s">
        <v>49</v>
      </c>
      <c r="D24" s="80">
        <f>((D9/90)*($D$8)*($D$12))+(((90-D9)/90)*($D$8)*($F$12))</f>
        <v>186</v>
      </c>
      <c r="E24" s="82"/>
      <c r="F24" s="80">
        <f>((D9/90)*($D$8)*($F$12))+(((90-D9)/90)*($D$8)*($H$12))</f>
        <v>166.5</v>
      </c>
      <c r="G24" s="80">
        <f>((2/3)*(0.3)*(G8))+((1/3)*(0.3)*(I8))</f>
        <v>0</v>
      </c>
      <c r="H24" s="80">
        <f>((D9/90)*($D$8)*($H$12))+(((90-D9)/90)*($D$8)*($J$12))</f>
        <v>211.5</v>
      </c>
      <c r="I24" s="80">
        <f>((2/3)*(0.3)*(I8))+((1/3)*(0.3)*(K8))</f>
        <v>0</v>
      </c>
      <c r="J24" s="80">
        <f>((D9/90)*($D$8)*($J$12))+(((90-D9)/90)*($D$8)*(1+$D$7)*($D$12))</f>
        <v>234</v>
      </c>
      <c r="K24" s="37"/>
    </row>
    <row r="25" spans="1:11" ht="15">
      <c r="A25" s="1"/>
      <c r="B25" s="68"/>
      <c r="C25" s="21"/>
      <c r="D25" s="22"/>
      <c r="E25" s="16"/>
      <c r="F25" s="22"/>
      <c r="G25" s="16"/>
      <c r="H25" s="16"/>
      <c r="I25" s="34"/>
      <c r="J25" s="16"/>
      <c r="K25" s="37"/>
    </row>
    <row r="26" spans="1:11" ht="15">
      <c r="A26" s="1"/>
      <c r="B26" s="68" t="s">
        <v>127</v>
      </c>
      <c r="C26" s="21" t="s">
        <v>145</v>
      </c>
      <c r="D26" s="84">
        <f>D10</f>
        <v>60</v>
      </c>
      <c r="E26" s="16" t="s">
        <v>146</v>
      </c>
      <c r="F26" s="22"/>
      <c r="G26" s="16"/>
      <c r="H26" s="16"/>
      <c r="I26" s="34"/>
      <c r="J26" s="16"/>
      <c r="K26" s="37"/>
    </row>
    <row r="27" spans="1:11" ht="15.75">
      <c r="A27" s="1"/>
      <c r="B27" s="68"/>
      <c r="C27" s="21" t="s">
        <v>50</v>
      </c>
      <c r="D27" s="80">
        <f>((D10/90)*($D$8)*($D$12))+(((90-D10)/90)*($D$8)*($F$12))</f>
        <v>179.49999999999997</v>
      </c>
      <c r="E27" s="80">
        <f>((2/3)*(0.3)*(E12))+((1/3)*(0.3)*(G12))</f>
        <v>0</v>
      </c>
      <c r="F27" s="80">
        <f>((D10/90)*($D$8)*($F$12))+(((90-D10)/90)*($D$8)*($H$12))</f>
        <v>181.5</v>
      </c>
      <c r="G27" s="80">
        <f>((2/3)*(0.3)*(G12))+((1/3)*(0.3)*(I12))</f>
        <v>0</v>
      </c>
      <c r="H27" s="80">
        <f>((D10/90)*($D$8)*($H$12))+(((90-D10)/90)*($D$8)*($J$12))</f>
        <v>219</v>
      </c>
      <c r="I27" s="80">
        <f>((2/3)*(0.3)*(I12))+((1/3)*(0.3)*(K12))</f>
        <v>0</v>
      </c>
      <c r="J27" s="80">
        <f>((D10/90)*($D$8)*($J$12))+(((90-D10)/90)*($D$8)*(1+$D$7)*($D$12))</f>
        <v>227.29999999999998</v>
      </c>
      <c r="K27" s="37"/>
    </row>
    <row r="28" spans="1:11" ht="15.75" thickBot="1">
      <c r="A28" s="1"/>
      <c r="B28" s="18"/>
      <c r="C28" s="19"/>
      <c r="D28" s="19"/>
      <c r="E28" s="19"/>
      <c r="F28" s="19"/>
      <c r="G28" s="19"/>
      <c r="H28" s="19"/>
      <c r="I28" s="38"/>
      <c r="J28" s="38"/>
      <c r="K28" s="39"/>
    </row>
    <row r="29" spans="1:11" ht="15">
      <c r="A29" s="1"/>
      <c r="B29" s="1"/>
      <c r="C29" s="1"/>
      <c r="D29" s="1"/>
      <c r="E29" s="1"/>
      <c r="F29" s="1"/>
      <c r="G29" s="1"/>
      <c r="H29" s="1"/>
    </row>
    <row r="30" spans="1:11" ht="15">
      <c r="A30" s="1"/>
      <c r="B30" s="1"/>
      <c r="C30" s="1"/>
      <c r="D30" s="1"/>
      <c r="E30" s="1"/>
      <c r="F30" s="1"/>
      <c r="G30" s="1"/>
      <c r="H30" s="1"/>
    </row>
    <row r="31" spans="1:11" ht="15">
      <c r="A31" s="1"/>
      <c r="B31" s="1"/>
      <c r="C31" s="1"/>
      <c r="D31" s="1"/>
      <c r="E31" s="1"/>
      <c r="F31" s="1"/>
      <c r="G31" s="1"/>
      <c r="H31" s="1"/>
    </row>
    <row r="32" spans="1:11" ht="15">
      <c r="A32" s="1"/>
      <c r="B32" s="1"/>
      <c r="C32" s="1"/>
      <c r="D32" s="1"/>
      <c r="E32" s="1"/>
      <c r="F32" s="1"/>
      <c r="G32" s="1"/>
      <c r="H32" s="1"/>
    </row>
    <row r="33" spans="1:8" ht="15">
      <c r="A33" s="1"/>
      <c r="B33" s="1"/>
      <c r="C33" s="1"/>
      <c r="D33" s="1"/>
      <c r="E33" s="1"/>
      <c r="F33" s="1"/>
      <c r="G33" s="1"/>
      <c r="H33" s="1"/>
    </row>
  </sheetData>
  <phoneticPr fontId="19" type="noConversion"/>
  <pageMargins left="0.75" right="0.75" top="1" bottom="1" header="0.5" footer="0.5"/>
  <pageSetup orientation="portrait" horizontalDpi="360" verticalDpi="360" copies="0" r:id="rId1"/>
  <headerFooter alignWithMargins="0"/>
  <ignoredErrors>
    <ignoredError sqref="F27 H27 H24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H31"/>
  <sheetViews>
    <sheetView workbookViewId="0"/>
  </sheetViews>
  <sheetFormatPr defaultRowHeight="12.75"/>
  <cols>
    <col min="2" max="2" width="3.140625" customWidth="1"/>
    <col min="3" max="3" width="31.140625" customWidth="1"/>
    <col min="4" max="4" width="18" customWidth="1"/>
    <col min="5" max="5" width="15" customWidth="1"/>
    <col min="6" max="6" width="15.28515625" customWidth="1"/>
    <col min="7" max="7" width="15.85546875" customWidth="1"/>
    <col min="8" max="8" width="3.140625" customWidth="1"/>
  </cols>
  <sheetData>
    <row r="1" spans="1:8" ht="18">
      <c r="A1" s="1"/>
      <c r="B1" s="1"/>
      <c r="C1" s="93" t="s">
        <v>181</v>
      </c>
      <c r="D1" s="1"/>
      <c r="E1" s="1"/>
      <c r="F1" s="1"/>
    </row>
    <row r="2" spans="1:8" ht="15">
      <c r="A2" s="1"/>
      <c r="B2" s="1"/>
      <c r="C2" s="1" t="s">
        <v>47</v>
      </c>
      <c r="D2" s="1"/>
      <c r="E2" s="1"/>
      <c r="F2" s="1"/>
    </row>
    <row r="3" spans="1:8" ht="15">
      <c r="A3" s="1"/>
      <c r="B3" s="1"/>
      <c r="C3" s="1"/>
      <c r="D3" s="1"/>
      <c r="E3" s="1"/>
      <c r="F3" s="1"/>
    </row>
    <row r="4" spans="1:8" ht="15">
      <c r="A4" s="1"/>
      <c r="B4" s="1"/>
      <c r="C4" s="2" t="s">
        <v>1</v>
      </c>
      <c r="D4" s="1"/>
      <c r="E4" s="1"/>
      <c r="F4" s="1"/>
    </row>
    <row r="5" spans="1:8" ht="15.75" thickBot="1">
      <c r="A5" s="1"/>
      <c r="B5" s="1"/>
      <c r="C5" s="1"/>
      <c r="D5" s="1"/>
      <c r="E5" s="1"/>
      <c r="F5" s="1"/>
    </row>
    <row r="6" spans="1:8" ht="15">
      <c r="A6" s="1"/>
      <c r="B6" s="3"/>
      <c r="C6" s="4"/>
      <c r="D6" s="4"/>
      <c r="E6" s="4"/>
      <c r="F6" s="4"/>
      <c r="G6" s="30"/>
      <c r="H6" s="27"/>
    </row>
    <row r="7" spans="1:8" ht="15">
      <c r="A7" s="1"/>
      <c r="B7" s="6"/>
      <c r="C7" s="7" t="s">
        <v>147</v>
      </c>
      <c r="D7" s="79">
        <v>0.75</v>
      </c>
      <c r="E7" s="25"/>
      <c r="F7" s="25"/>
      <c r="G7" s="26"/>
      <c r="H7" s="28"/>
    </row>
    <row r="8" spans="1:8" ht="15">
      <c r="A8" s="1"/>
      <c r="B8" s="6"/>
      <c r="C8" s="7" t="s">
        <v>148</v>
      </c>
      <c r="D8" s="85">
        <v>1450</v>
      </c>
      <c r="E8" s="25"/>
      <c r="F8" s="25"/>
      <c r="G8" s="26"/>
      <c r="H8" s="28"/>
    </row>
    <row r="9" spans="1:8" ht="15">
      <c r="A9" s="1"/>
      <c r="B9" s="6"/>
      <c r="C9" s="7" t="s">
        <v>149</v>
      </c>
      <c r="D9" s="79">
        <v>0.2</v>
      </c>
      <c r="E9" s="25"/>
      <c r="F9" s="25"/>
      <c r="G9" s="26"/>
      <c r="H9" s="28"/>
    </row>
    <row r="10" spans="1:8" ht="15">
      <c r="A10" s="1"/>
      <c r="B10" s="6"/>
      <c r="C10" s="7" t="s">
        <v>44</v>
      </c>
      <c r="D10" s="65">
        <v>60</v>
      </c>
      <c r="E10" s="25" t="s">
        <v>165</v>
      </c>
      <c r="F10" s="25"/>
      <c r="G10" s="26"/>
      <c r="H10" s="28"/>
    </row>
    <row r="11" spans="1:8" ht="15">
      <c r="A11" s="1"/>
      <c r="B11" s="6"/>
      <c r="C11" s="7" t="s">
        <v>52</v>
      </c>
      <c r="D11" s="63">
        <v>73</v>
      </c>
      <c r="E11" s="25"/>
      <c r="F11" s="25"/>
      <c r="G11" s="26"/>
      <c r="H11" s="28"/>
    </row>
    <row r="12" spans="1:8" ht="15">
      <c r="A12" s="1"/>
      <c r="B12" s="6"/>
      <c r="C12" s="7"/>
      <c r="D12" s="32" t="s">
        <v>23</v>
      </c>
      <c r="E12" s="33" t="s">
        <v>24</v>
      </c>
      <c r="F12" s="33" t="s">
        <v>25</v>
      </c>
      <c r="G12" s="33" t="s">
        <v>26</v>
      </c>
      <c r="H12" s="28"/>
    </row>
    <row r="13" spans="1:8" ht="15">
      <c r="A13" s="1"/>
      <c r="B13" s="6"/>
      <c r="C13" s="7" t="s">
        <v>22</v>
      </c>
      <c r="D13" s="63">
        <v>1320</v>
      </c>
      <c r="E13" s="66">
        <v>1490</v>
      </c>
      <c r="F13" s="66">
        <v>1380</v>
      </c>
      <c r="G13" s="66">
        <v>1190</v>
      </c>
      <c r="H13" s="28"/>
    </row>
    <row r="14" spans="1:8" ht="15.75" thickBot="1">
      <c r="A14" s="1"/>
      <c r="B14" s="9"/>
      <c r="C14" s="10"/>
      <c r="D14" s="10"/>
      <c r="E14" s="10"/>
      <c r="F14" s="10"/>
      <c r="G14" s="31"/>
      <c r="H14" s="29"/>
    </row>
    <row r="15" spans="1:8" ht="15">
      <c r="A15" s="1"/>
      <c r="B15" s="1"/>
      <c r="C15" s="1"/>
      <c r="D15" s="1"/>
      <c r="E15" s="1"/>
      <c r="F15" s="1"/>
    </row>
    <row r="16" spans="1:8" ht="15">
      <c r="A16" s="1"/>
      <c r="B16" s="1"/>
      <c r="C16" s="2" t="s">
        <v>2</v>
      </c>
      <c r="D16" s="1"/>
      <c r="E16" s="1"/>
      <c r="F16" s="1"/>
    </row>
    <row r="17" spans="1:8" ht="15.75" thickBot="1">
      <c r="A17" s="1"/>
      <c r="B17" s="1"/>
      <c r="C17" s="1"/>
      <c r="D17" s="1"/>
      <c r="E17" s="1"/>
      <c r="F17" s="1"/>
    </row>
    <row r="18" spans="1:8" ht="15">
      <c r="A18" s="1"/>
      <c r="B18" s="12"/>
      <c r="C18" s="13"/>
      <c r="D18" s="13"/>
      <c r="E18" s="13"/>
      <c r="F18" s="13"/>
      <c r="G18" s="35"/>
      <c r="H18" s="36"/>
    </row>
    <row r="19" spans="1:8" ht="15">
      <c r="A19" s="1"/>
      <c r="B19" s="15"/>
      <c r="C19" s="16" t="s">
        <v>150</v>
      </c>
      <c r="D19" s="84">
        <f>D10</f>
        <v>60</v>
      </c>
      <c r="E19" s="16"/>
      <c r="F19" s="16"/>
      <c r="G19" s="34"/>
      <c r="H19" s="37"/>
    </row>
    <row r="20" spans="1:8" ht="15">
      <c r="A20" s="1"/>
      <c r="B20" s="15"/>
      <c r="C20" s="16"/>
      <c r="D20" s="16"/>
      <c r="E20" s="16"/>
      <c r="F20" s="16"/>
      <c r="G20" s="34"/>
      <c r="H20" s="37"/>
    </row>
    <row r="21" spans="1:8" ht="15">
      <c r="A21" s="1"/>
      <c r="B21" s="15"/>
      <c r="C21" s="16"/>
      <c r="D21" s="40" t="s">
        <v>23</v>
      </c>
      <c r="E21" s="41" t="s">
        <v>24</v>
      </c>
      <c r="F21" s="41" t="s">
        <v>25</v>
      </c>
      <c r="G21" s="41" t="s">
        <v>26</v>
      </c>
      <c r="H21" s="37"/>
    </row>
    <row r="22" spans="1:8" ht="15.75">
      <c r="A22" s="1"/>
      <c r="B22" s="15"/>
      <c r="C22" s="21" t="s">
        <v>49</v>
      </c>
      <c r="D22" s="80">
        <f>((D10/90)*$D$7*D13)+(((90-D10)/90)*$D$7*E13)</f>
        <v>1032.5</v>
      </c>
      <c r="E22" s="80">
        <f>((D10/90)*$D$7*E13)+(((90-D10)/90)*$D$7*F13)</f>
        <v>1090</v>
      </c>
      <c r="F22" s="80">
        <f>((D10/90)*$D$7*F13)+(((90-D10)/90)*$D$7*G13)</f>
        <v>987.5</v>
      </c>
      <c r="G22" s="80">
        <f>((D10/90)*$D$7*G13)+(((90-D10)/90)*$D$7*D8)</f>
        <v>957.5</v>
      </c>
      <c r="H22" s="37"/>
    </row>
    <row r="23" spans="1:8" ht="15.75">
      <c r="A23" s="1"/>
      <c r="B23" s="15"/>
      <c r="C23" s="21" t="s">
        <v>53</v>
      </c>
      <c r="D23" s="160">
        <f>D9*D13</f>
        <v>264</v>
      </c>
      <c r="E23" s="160">
        <f>D9*E13</f>
        <v>298</v>
      </c>
      <c r="F23" s="163">
        <f>D9*F13</f>
        <v>276</v>
      </c>
      <c r="G23" s="163">
        <f>D9*G13</f>
        <v>238</v>
      </c>
      <c r="H23" s="37"/>
    </row>
    <row r="24" spans="1:8" ht="15.75">
      <c r="A24" s="1"/>
      <c r="B24" s="15"/>
      <c r="C24" s="21" t="s">
        <v>54</v>
      </c>
      <c r="D24" s="158">
        <f>D11</f>
        <v>73</v>
      </c>
      <c r="E24" s="158">
        <f>D11</f>
        <v>73</v>
      </c>
      <c r="F24" s="159">
        <f>D11</f>
        <v>73</v>
      </c>
      <c r="G24" s="159">
        <f>D11</f>
        <v>73</v>
      </c>
      <c r="H24" s="37"/>
    </row>
    <row r="25" spans="1:8" ht="15.75">
      <c r="A25" s="1"/>
      <c r="B25" s="15"/>
      <c r="C25" s="21" t="s">
        <v>55</v>
      </c>
      <c r="D25" s="80">
        <f>SUM(D22:D24)</f>
        <v>1369.5</v>
      </c>
      <c r="E25" s="80">
        <f>SUM(E22:E24)</f>
        <v>1461</v>
      </c>
      <c r="F25" s="80">
        <f>SUM(F22:F24)</f>
        <v>1336.5</v>
      </c>
      <c r="G25" s="80">
        <f>SUM(G22:G24)</f>
        <v>1268.5</v>
      </c>
      <c r="H25" s="37"/>
    </row>
    <row r="26" spans="1:8" ht="15.75" thickBot="1">
      <c r="A26" s="1"/>
      <c r="B26" s="18"/>
      <c r="C26" s="19"/>
      <c r="D26" s="19"/>
      <c r="E26" s="19"/>
      <c r="F26" s="19"/>
      <c r="G26" s="38"/>
      <c r="H26" s="39"/>
    </row>
    <row r="27" spans="1:8" ht="15">
      <c r="A27" s="1"/>
      <c r="B27" s="1"/>
      <c r="C27" s="1"/>
      <c r="D27" s="1"/>
      <c r="E27" s="1"/>
      <c r="F27" s="1"/>
    </row>
    <row r="28" spans="1:8" ht="15">
      <c r="A28" s="1"/>
      <c r="B28" s="1"/>
      <c r="C28" s="1"/>
      <c r="D28" s="1"/>
      <c r="E28" s="1"/>
      <c r="F28" s="1"/>
    </row>
    <row r="29" spans="1:8" ht="15">
      <c r="A29" s="1"/>
      <c r="B29" s="1"/>
      <c r="C29" s="1"/>
      <c r="D29" s="1"/>
      <c r="E29" s="1"/>
      <c r="F29" s="1"/>
    </row>
    <row r="30" spans="1:8" ht="15">
      <c r="A30" s="1"/>
      <c r="B30" s="1"/>
      <c r="C30" s="1"/>
      <c r="D30" s="1"/>
      <c r="E30" s="1"/>
      <c r="F30" s="1"/>
    </row>
    <row r="31" spans="1:8" ht="15">
      <c r="A31" s="1"/>
      <c r="B31" s="1"/>
      <c r="C31" s="1"/>
      <c r="D31" s="1"/>
      <c r="E31" s="1"/>
      <c r="F31" s="1"/>
    </row>
  </sheetData>
  <phoneticPr fontId="19" type="noConversion"/>
  <pageMargins left="0.75" right="0.75" top="1" bottom="1" header="0.5" footer="0.5"/>
  <pageSetup orientation="portrait" horizontalDpi="360" verticalDpi="360" copies="0" r:id="rId1"/>
  <headerFooter alignWithMargins="0"/>
  <ignoredErrors>
    <ignoredError sqref="E22 F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Chapter 26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#13,14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2011-07-26T01:01:57Z</cp:lastPrinted>
  <dcterms:created xsi:type="dcterms:W3CDTF">2002-05-22T18:53:39Z</dcterms:created>
  <dcterms:modified xsi:type="dcterms:W3CDTF">2012-11-06T11:00:12Z</dcterms:modified>
</cp:coreProperties>
</file>