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5" windowWidth="15195" windowHeight="8955"/>
  </bookViews>
  <sheets>
    <sheet name="Chapter 23" sheetId="2" r:id="rId1"/>
    <sheet name="#1" sheetId="1" r:id="rId2"/>
    <sheet name="#2" sheetId="3" r:id="rId3"/>
    <sheet name="#3" sheetId="6" r:id="rId4"/>
    <sheet name="#4" sheetId="4" r:id="rId5"/>
    <sheet name="#5" sheetId="7" r:id="rId6"/>
    <sheet name="#6" sheetId="8" r:id="rId7"/>
    <sheet name="#7" sheetId="10" r:id="rId8"/>
    <sheet name="#8" sheetId="12" r:id="rId9"/>
    <sheet name="#9" sheetId="9" r:id="rId10"/>
    <sheet name="#10" sheetId="11" r:id="rId11"/>
  </sheets>
  <calcPr calcId="114210"/>
</workbook>
</file>

<file path=xl/calcChain.xml><?xml version="1.0" encoding="utf-8"?>
<calcChain xmlns="http://schemas.openxmlformats.org/spreadsheetml/2006/main">
  <c r="H29" i="11"/>
  <c r="H43"/>
  <c r="H36"/>
  <c r="D7" i="9"/>
  <c r="D9"/>
  <c r="D10"/>
  <c r="D8"/>
  <c r="D18"/>
  <c r="D21"/>
  <c r="D34"/>
  <c r="D34" i="12"/>
  <c r="F37"/>
  <c r="H40"/>
  <c r="H41"/>
  <c r="D19"/>
  <c r="D22"/>
  <c r="D18"/>
  <c r="F31"/>
  <c r="D16"/>
  <c r="D18" i="4"/>
  <c r="D19" i="11"/>
  <c r="D20"/>
  <c r="D22"/>
  <c r="D23"/>
  <c r="D39"/>
  <c r="F32"/>
  <c r="D17"/>
  <c r="D25"/>
  <c r="D26"/>
  <c r="D24" i="10"/>
  <c r="D18"/>
  <c r="D20"/>
  <c r="D21"/>
  <c r="D23"/>
  <c r="D17"/>
  <c r="D19" i="9"/>
  <c r="D22"/>
  <c r="D16"/>
  <c r="D22" i="8"/>
  <c r="D20"/>
  <c r="D18" i="7"/>
  <c r="D20"/>
  <c r="D18" i="6"/>
  <c r="D30"/>
  <c r="D19" i="4"/>
  <c r="D21"/>
  <c r="D22"/>
  <c r="D24"/>
  <c r="D25"/>
  <c r="D24" i="3"/>
  <c r="D26"/>
  <c r="D22"/>
  <c r="D18" i="1"/>
  <c r="D19"/>
  <c r="D21"/>
  <c r="F46" i="11"/>
  <c r="F47"/>
  <c r="H44"/>
  <c r="D26" i="10"/>
  <c r="D24" i="9"/>
  <c r="D25"/>
  <c r="F31"/>
  <c r="F37"/>
  <c r="H40"/>
  <c r="H41"/>
  <c r="H34" i="12"/>
  <c r="H35"/>
  <c r="H28"/>
  <c r="H29"/>
  <c r="D21"/>
  <c r="D24"/>
  <c r="D25"/>
  <c r="D24" i="8"/>
  <c r="D25"/>
  <c r="D27"/>
  <c r="D27" i="4"/>
  <c r="D29"/>
  <c r="C31"/>
  <c r="D25" i="3"/>
  <c r="D27"/>
  <c r="D29"/>
  <c r="D31"/>
  <c r="D33"/>
  <c r="D20" i="1"/>
  <c r="D23"/>
  <c r="D25"/>
  <c r="D22" i="7"/>
  <c r="D21"/>
  <c r="D23"/>
  <c r="H34" i="9"/>
  <c r="H35"/>
  <c r="F38"/>
  <c r="H28"/>
  <c r="H29"/>
  <c r="F32"/>
  <c r="F33" i="11"/>
  <c r="H37"/>
  <c r="H30"/>
  <c r="D19" i="6"/>
  <c r="D21"/>
  <c r="D24"/>
  <c r="H51" i="11"/>
  <c r="H52"/>
  <c r="F48"/>
  <c r="D25" i="7"/>
  <c r="F38" i="12"/>
  <c r="F32"/>
  <c r="D26" i="8"/>
  <c r="D29"/>
  <c r="D31"/>
  <c r="D31" i="6"/>
  <c r="D22"/>
  <c r="F34" i="11"/>
  <c r="D40"/>
  <c r="D35" i="9"/>
  <c r="D35" i="12"/>
  <c r="D27" i="6"/>
  <c r="D25"/>
  <c r="D28"/>
  <c r="D35"/>
  <c r="D37"/>
  <c r="D33"/>
</calcChain>
</file>

<file path=xl/sharedStrings.xml><?xml version="1.0" encoding="utf-8"?>
<sst xmlns="http://schemas.openxmlformats.org/spreadsheetml/2006/main" count="224" uniqueCount="100">
  <si>
    <t>Input Area:</t>
  </si>
  <si>
    <t>Current stock price</t>
  </si>
  <si>
    <t>Exercise price</t>
  </si>
  <si>
    <t>Expiration (months)</t>
  </si>
  <si>
    <t>Risk-free rate</t>
  </si>
  <si>
    <t>Standard deviation</t>
  </si>
  <si>
    <t>Output Area:</t>
  </si>
  <si>
    <t>Call</t>
  </si>
  <si>
    <r>
      <t>d</t>
    </r>
    <r>
      <rPr>
        <vertAlign val="subscript"/>
        <sz val="12"/>
        <rFont val="Arial"/>
        <family val="2"/>
      </rPr>
      <t>1</t>
    </r>
  </si>
  <si>
    <r>
      <t>d</t>
    </r>
    <r>
      <rPr>
        <vertAlign val="subscript"/>
        <sz val="12"/>
        <rFont val="Arial"/>
        <family val="2"/>
      </rPr>
      <t>2</t>
    </r>
  </si>
  <si>
    <r>
      <t>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</si>
  <si>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r>
      <t>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</si>
  <si>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t>Input boxes in tan</t>
  </si>
  <si>
    <t>Output boxes in yellow</t>
  </si>
  <si>
    <t>Given data in blue</t>
  </si>
  <si>
    <t>Calculations in red</t>
  </si>
  <si>
    <t>Answers in green</t>
  </si>
  <si>
    <t>Chapter 23</t>
  </si>
  <si>
    <t>Options granted</t>
  </si>
  <si>
    <t xml:space="preserve">Grant value </t>
  </si>
  <si>
    <t>Question 1</t>
  </si>
  <si>
    <t>Question 2</t>
  </si>
  <si>
    <t>Annual salary</t>
  </si>
  <si>
    <t>Discount rate for salary</t>
  </si>
  <si>
    <t>PV of salary</t>
  </si>
  <si>
    <t>Years for contract</t>
  </si>
  <si>
    <t>Question 3</t>
  </si>
  <si>
    <t>Current price</t>
  </si>
  <si>
    <t>Probability of rise</t>
  </si>
  <si>
    <t>Probability of fall</t>
  </si>
  <si>
    <t>Percentage increase</t>
  </si>
  <si>
    <t>Percentage decrease</t>
  </si>
  <si>
    <t>Value of option</t>
  </si>
  <si>
    <t>Cost to construct</t>
  </si>
  <si>
    <t>Value if increase</t>
  </si>
  <si>
    <t>Value if decrease</t>
  </si>
  <si>
    <t>Offer price</t>
  </si>
  <si>
    <t>Payoff if price increase</t>
  </si>
  <si>
    <t>Payoff if price decreases</t>
  </si>
  <si>
    <t>Expected payoff</t>
  </si>
  <si>
    <t>Question 4</t>
  </si>
  <si>
    <t>Galllons to sell</t>
  </si>
  <si>
    <t>Strike price</t>
  </si>
  <si>
    <t>Months to expiration</t>
  </si>
  <si>
    <t>u</t>
  </si>
  <si>
    <t>d</t>
  </si>
  <si>
    <t>Contract value</t>
  </si>
  <si>
    <t>Question 5</t>
  </si>
  <si>
    <t>Barrels on land</t>
  </si>
  <si>
    <t>Excavation cost</t>
  </si>
  <si>
    <t>Call value</t>
  </si>
  <si>
    <t>"Stock" price</t>
  </si>
  <si>
    <t>Price per ton</t>
  </si>
  <si>
    <t>Price per barrel</t>
  </si>
  <si>
    <t>Question 6</t>
  </si>
  <si>
    <t>Tons to purchase</t>
  </si>
  <si>
    <t>Rods to produce</t>
  </si>
  <si>
    <t>Cost to produce one rod</t>
  </si>
  <si>
    <t>Price per rod</t>
  </si>
  <si>
    <t>Put value</t>
  </si>
  <si>
    <t>Stock price</t>
  </si>
  <si>
    <t>Put price</t>
  </si>
  <si>
    <t>Percentage price increase</t>
  </si>
  <si>
    <t>Percentage price decrease</t>
  </si>
  <si>
    <t>Probablility of price increase</t>
  </si>
  <si>
    <t>Probability of price decrease</t>
  </si>
  <si>
    <t>Monthly interest rate</t>
  </si>
  <si>
    <t>Stock price(A)</t>
  </si>
  <si>
    <t>Stock price (B)</t>
  </si>
  <si>
    <t xml:space="preserve">Stock price (C) </t>
  </si>
  <si>
    <t>Stock price (D)</t>
  </si>
  <si>
    <t>Stock price (E)</t>
  </si>
  <si>
    <t>Stock price (F)</t>
  </si>
  <si>
    <t>Question 7</t>
  </si>
  <si>
    <t>Salvage value</t>
  </si>
  <si>
    <t>Value of project today</t>
  </si>
  <si>
    <t>Value if high demand</t>
  </si>
  <si>
    <t>Value if low demand</t>
  </si>
  <si>
    <t>Value in high demand</t>
  </si>
  <si>
    <t>Value in low demand</t>
  </si>
  <si>
    <t>Question 9</t>
  </si>
  <si>
    <t>Current value</t>
  </si>
  <si>
    <t>Value pre-payment</t>
  </si>
  <si>
    <t>Value post-payment (B)</t>
  </si>
  <si>
    <t>Payment to owners</t>
  </si>
  <si>
    <t>Call price</t>
  </si>
  <si>
    <t>Value  (E)</t>
  </si>
  <si>
    <t>Value (F)</t>
  </si>
  <si>
    <t>Value (D)</t>
  </si>
  <si>
    <t>Value post-payment (C)</t>
  </si>
  <si>
    <t>Value (G)</t>
  </si>
  <si>
    <t>Question 8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</si>
  <si>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</si>
  <si>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</si>
  <si>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</si>
  <si>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</si>
  <si>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Price with increase</t>
  </si>
  <si>
    <t>Price with decrease</t>
  </si>
  <si>
    <t>Problems 1-10</t>
  </si>
  <si>
    <t>Question 10</t>
  </si>
</sst>
</file>

<file path=xl/styles.xml><?xml version="1.0" encoding="utf-8"?>
<styleSheet xmlns="http://schemas.openxmlformats.org/spreadsheetml/2006/main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  <numFmt numFmtId="167" formatCode="0.0000"/>
    <numFmt numFmtId="168" formatCode="_(* #,##0.0000_);_(* \(#,##0.0000\);_(* &quot;-&quot;????_);_(@_)"/>
    <numFmt numFmtId="169" formatCode="_(&quot;$&quot;* #,##0.00_);_(&quot;$&quot;* \(#,##0.00\);_(&quot;$&quot;* &quot;-&quot;_);_(@_)"/>
    <numFmt numFmtId="170" formatCode="_(&quot;$&quot;* #,##0.000_);_(&quot;$&quot;* \(#,##0.000\);_(&quot;$&quot;* &quot;-&quot;??_);_(@_)"/>
    <numFmt numFmtId="171" formatCode="_(&quot;$&quot;* #,##0.000_);_(&quot;$&quot;* \(#,##0.000\);_(&quot;$&quot;* &quot;-&quot;_);_(@_)"/>
  </numFmts>
  <fonts count="25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vertAlign val="subscript"/>
      <sz val="12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42" fontId="5" fillId="2" borderId="0" xfId="2" applyNumberFormat="1" applyFont="1" applyFill="1" applyBorder="1"/>
    <xf numFmtId="0" fontId="2" fillId="2" borderId="5" xfId="0" applyFont="1" applyFill="1" applyBorder="1"/>
    <xf numFmtId="164" fontId="5" fillId="2" borderId="0" xfId="2" applyNumberFormat="1" applyFont="1" applyFill="1" applyBorder="1"/>
    <xf numFmtId="166" fontId="5" fillId="2" borderId="0" xfId="1" applyNumberFormat="1" applyFont="1" applyFill="1" applyBorder="1"/>
    <xf numFmtId="9" fontId="5" fillId="2" borderId="0" xfId="3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168" fontId="7" fillId="3" borderId="0" xfId="0" applyNumberFormat="1" applyFont="1" applyFill="1" applyBorder="1"/>
    <xf numFmtId="0" fontId="2" fillId="3" borderId="5" xfId="0" applyFont="1" applyFill="1" applyBorder="1"/>
    <xf numFmtId="0" fontId="8" fillId="3" borderId="0" xfId="0" applyFont="1" applyFill="1" applyBorder="1"/>
    <xf numFmtId="44" fontId="9" fillId="3" borderId="9" xfId="2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10" fillId="4" borderId="0" xfId="0" applyFont="1" applyFill="1" applyBorder="1"/>
    <xf numFmtId="0" fontId="0" fillId="4" borderId="0" xfId="0" applyFill="1"/>
    <xf numFmtId="2" fontId="11" fillId="4" borderId="0" xfId="0" applyNumberFormat="1" applyFont="1" applyFill="1" applyBorder="1" applyAlignment="1"/>
    <xf numFmtId="0" fontId="12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18" fillId="4" borderId="0" xfId="0" applyFont="1" applyFill="1" applyBorder="1"/>
    <xf numFmtId="0" fontId="9" fillId="4" borderId="0" xfId="0" applyFont="1" applyFill="1" applyBorder="1"/>
    <xf numFmtId="41" fontId="5" fillId="2" borderId="0" xfId="0" applyNumberFormat="1" applyFont="1" applyFill="1" applyBorder="1"/>
    <xf numFmtId="44" fontId="7" fillId="3" borderId="0" xfId="2" applyFont="1" applyFill="1" applyBorder="1"/>
    <xf numFmtId="44" fontId="9" fillId="3" borderId="0" xfId="2" applyFont="1" applyFill="1" applyBorder="1"/>
    <xf numFmtId="42" fontId="5" fillId="2" borderId="0" xfId="0" applyNumberFormat="1" applyFont="1" applyFill="1" applyBorder="1"/>
    <xf numFmtId="44" fontId="7" fillId="3" borderId="0" xfId="0" applyNumberFormat="1" applyFont="1" applyFill="1" applyBorder="1"/>
    <xf numFmtId="10" fontId="7" fillId="3" borderId="0" xfId="3" applyNumberFormat="1" applyFont="1" applyFill="1" applyBorder="1"/>
    <xf numFmtId="42" fontId="5" fillId="2" borderId="0" xfId="3" applyNumberFormat="1" applyFont="1" applyFill="1" applyBorder="1"/>
    <xf numFmtId="10" fontId="5" fillId="2" borderId="0" xfId="3" applyNumberFormat="1" applyFont="1" applyFill="1" applyBorder="1"/>
    <xf numFmtId="42" fontId="7" fillId="3" borderId="0" xfId="0" applyNumberFormat="1" applyFont="1" applyFill="1" applyBorder="1"/>
    <xf numFmtId="0" fontId="9" fillId="3" borderId="0" xfId="0" applyFont="1" applyFill="1" applyBorder="1"/>
    <xf numFmtId="169" fontId="7" fillId="3" borderId="0" xfId="0" applyNumberFormat="1" applyFont="1" applyFill="1" applyBorder="1"/>
    <xf numFmtId="169" fontId="5" fillId="2" borderId="0" xfId="0" applyNumberFormat="1" applyFont="1" applyFill="1" applyBorder="1"/>
    <xf numFmtId="0" fontId="4" fillId="3" borderId="0" xfId="0" applyFont="1" applyFill="1" applyBorder="1"/>
    <xf numFmtId="168" fontId="7" fillId="3" borderId="0" xfId="3" applyNumberFormat="1" applyFont="1" applyFill="1" applyBorder="1"/>
    <xf numFmtId="171" fontId="7" fillId="3" borderId="0" xfId="0" applyNumberFormat="1" applyFont="1" applyFill="1" applyBorder="1"/>
    <xf numFmtId="170" fontId="7" fillId="3" borderId="0" xfId="0" applyNumberFormat="1" applyFont="1" applyFill="1" applyBorder="1"/>
    <xf numFmtId="165" fontId="5" fillId="2" borderId="0" xfId="3" applyNumberFormat="1" applyFont="1" applyFill="1" applyBorder="1"/>
    <xf numFmtId="2" fontId="0" fillId="0" borderId="0" xfId="0" applyNumberFormat="1"/>
    <xf numFmtId="2" fontId="0" fillId="0" borderId="0" xfId="0" applyNumberFormat="1" applyBorder="1"/>
    <xf numFmtId="0" fontId="19" fillId="0" borderId="0" xfId="0" applyFont="1"/>
    <xf numFmtId="2" fontId="19" fillId="0" borderId="0" xfId="0" applyNumberFormat="1" applyFont="1"/>
    <xf numFmtId="0" fontId="0" fillId="2" borderId="1" xfId="0" applyFill="1" applyBorder="1"/>
    <xf numFmtId="0" fontId="19" fillId="2" borderId="2" xfId="0" applyFont="1" applyFill="1" applyBorder="1"/>
    <xf numFmtId="0" fontId="19" fillId="2" borderId="3" xfId="0" applyFont="1" applyFill="1" applyBorder="1"/>
    <xf numFmtId="0" fontId="0" fillId="2" borderId="4" xfId="0" applyFill="1" applyBorder="1"/>
    <xf numFmtId="0" fontId="19" fillId="2" borderId="0" xfId="0" applyFont="1" applyFill="1" applyBorder="1" applyAlignment="1">
      <alignment horizontal="left"/>
    </xf>
    <xf numFmtId="0" fontId="19" fillId="2" borderId="5" xfId="0" applyFont="1" applyFill="1" applyBorder="1"/>
    <xf numFmtId="0" fontId="2" fillId="2" borderId="0" xfId="0" applyFont="1" applyFill="1" applyBorder="1" applyAlignment="1">
      <alignment horizontal="left"/>
    </xf>
    <xf numFmtId="0" fontId="0" fillId="2" borderId="6" xfId="0" applyFill="1" applyBorder="1"/>
    <xf numFmtId="0" fontId="19" fillId="2" borderId="7" xfId="0" applyFont="1" applyFill="1" applyBorder="1"/>
    <xf numFmtId="0" fontId="19" fillId="2" borderId="8" xfId="0" applyFont="1" applyFill="1" applyBorder="1"/>
    <xf numFmtId="42" fontId="21" fillId="2" borderId="0" xfId="0" applyNumberFormat="1" applyFont="1" applyFill="1" applyBorder="1"/>
    <xf numFmtId="9" fontId="21" fillId="2" borderId="0" xfId="3" applyFont="1" applyFill="1" applyBorder="1"/>
    <xf numFmtId="0" fontId="0" fillId="3" borderId="1" xfId="0" applyFill="1" applyBorder="1"/>
    <xf numFmtId="0" fontId="19" fillId="3" borderId="2" xfId="0" applyFont="1" applyFill="1" applyBorder="1"/>
    <xf numFmtId="2" fontId="0" fillId="3" borderId="3" xfId="0" applyNumberFormat="1" applyFill="1" applyBorder="1"/>
    <xf numFmtId="0" fontId="0" fillId="3" borderId="4" xfId="0" applyFill="1" applyBorder="1"/>
    <xf numFmtId="0" fontId="19" fillId="3" borderId="0" xfId="0" applyFont="1" applyFill="1" applyBorder="1" applyAlignment="1">
      <alignment horizontal="left"/>
    </xf>
    <xf numFmtId="167" fontId="20" fillId="3" borderId="0" xfId="0" applyNumberFormat="1" applyFont="1" applyFill="1" applyBorder="1"/>
    <xf numFmtId="0" fontId="19" fillId="3" borderId="0" xfId="0" applyFont="1" applyFill="1" applyBorder="1"/>
    <xf numFmtId="2" fontId="0" fillId="3" borderId="5" xfId="0" applyNumberFormat="1" applyFill="1" applyBorder="1"/>
    <xf numFmtId="0" fontId="4" fillId="3" borderId="0" xfId="0" applyFont="1" applyFill="1" applyBorder="1" applyAlignment="1">
      <alignment horizontal="left"/>
    </xf>
    <xf numFmtId="0" fontId="19" fillId="3" borderId="0" xfId="0" applyFont="1" applyFill="1" applyBorder="1" applyAlignment="1">
      <alignment horizontal="right"/>
    </xf>
    <xf numFmtId="0" fontId="20" fillId="3" borderId="0" xfId="0" applyFont="1" applyFill="1" applyBorder="1"/>
    <xf numFmtId="10" fontId="20" fillId="3" borderId="0" xfId="3" applyNumberFormat="1" applyFont="1" applyFill="1" applyBorder="1"/>
    <xf numFmtId="2" fontId="19" fillId="3" borderId="0" xfId="0" applyNumberFormat="1" applyFont="1" applyFill="1" applyBorder="1"/>
    <xf numFmtId="0" fontId="0" fillId="3" borderId="5" xfId="0" applyFill="1" applyBorder="1"/>
    <xf numFmtId="44" fontId="20" fillId="3" borderId="0" xfId="0" applyNumberFormat="1" applyFont="1" applyFill="1" applyBorder="1"/>
    <xf numFmtId="44" fontId="9" fillId="3" borderId="0" xfId="0" applyNumberFormat="1" applyFont="1" applyFill="1" applyBorder="1"/>
    <xf numFmtId="0" fontId="0" fillId="3" borderId="6" xfId="0" applyFill="1" applyBorder="1"/>
    <xf numFmtId="0" fontId="19" fillId="3" borderId="7" xfId="0" applyFont="1" applyFill="1" applyBorder="1"/>
    <xf numFmtId="2" fontId="19" fillId="3" borderId="7" xfId="0" applyNumberFormat="1" applyFont="1" applyFill="1" applyBorder="1"/>
    <xf numFmtId="0" fontId="0" fillId="3" borderId="8" xfId="0" applyFill="1" applyBorder="1"/>
    <xf numFmtId="44" fontId="9" fillId="3" borderId="9" xfId="0" applyNumberFormat="1" applyFont="1" applyFill="1" applyBorder="1"/>
    <xf numFmtId="164" fontId="20" fillId="3" borderId="0" xfId="0" applyNumberFormat="1" applyFont="1" applyFill="1" applyBorder="1"/>
    <xf numFmtId="164" fontId="9" fillId="3" borderId="9" xfId="0" applyNumberFormat="1" applyFont="1" applyFill="1" applyBorder="1"/>
    <xf numFmtId="0" fontId="19" fillId="3" borderId="0" xfId="0" applyFont="1" applyFill="1"/>
    <xf numFmtId="164" fontId="20" fillId="3" borderId="0" xfId="0" applyNumberFormat="1" applyFont="1" applyFill="1"/>
    <xf numFmtId="0" fontId="22" fillId="4" borderId="0" xfId="0" applyFont="1" applyFill="1" applyBorder="1"/>
    <xf numFmtId="44" fontId="7" fillId="3" borderId="0" xfId="3" applyNumberFormat="1" applyFont="1" applyFill="1" applyBorder="1"/>
    <xf numFmtId="42" fontId="23" fillId="2" borderId="0" xfId="0" applyNumberFormat="1" applyFont="1" applyFill="1" applyBorder="1"/>
    <xf numFmtId="9" fontId="23" fillId="2" borderId="0" xfId="3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32</xdr:row>
      <xdr:rowOff>38100</xdr:rowOff>
    </xdr:from>
    <xdr:to>
      <xdr:col>4</xdr:col>
      <xdr:colOff>1047750</xdr:colOff>
      <xdr:row>34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 flipV="1">
          <a:off x="3657600" y="6200775"/>
          <a:ext cx="81915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34</xdr:row>
      <xdr:rowOff>0</xdr:rowOff>
    </xdr:from>
    <xdr:to>
      <xdr:col>5</xdr:col>
      <xdr:colOff>0</xdr:colOff>
      <xdr:row>36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3648075" y="6543675"/>
          <a:ext cx="828675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19050</xdr:colOff>
      <xdr:row>29</xdr:row>
      <xdr:rowOff>19050</xdr:rowOff>
    </xdr:from>
    <xdr:to>
      <xdr:col>7</xdr:col>
      <xdr:colOff>0</xdr:colOff>
      <xdr:row>30</xdr:row>
      <xdr:rowOff>95250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 flipV="1">
          <a:off x="5334000" y="5610225"/>
          <a:ext cx="81915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30</xdr:row>
      <xdr:rowOff>123825</xdr:rowOff>
    </xdr:from>
    <xdr:to>
      <xdr:col>7</xdr:col>
      <xdr:colOff>19050</xdr:colOff>
      <xdr:row>32</xdr:row>
      <xdr:rowOff>152400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5324475" y="5905500"/>
          <a:ext cx="8477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35</xdr:row>
      <xdr:rowOff>0</xdr:rowOff>
    </xdr:from>
    <xdr:to>
      <xdr:col>7</xdr:col>
      <xdr:colOff>0</xdr:colOff>
      <xdr:row>36</xdr:row>
      <xdr:rowOff>142875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 flipV="1">
          <a:off x="5314950" y="6743700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36</xdr:row>
      <xdr:rowOff>133350</xdr:rowOff>
    </xdr:from>
    <xdr:to>
      <xdr:col>7</xdr:col>
      <xdr:colOff>19050</xdr:colOff>
      <xdr:row>39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5324475" y="7067550"/>
          <a:ext cx="847725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32</xdr:row>
      <xdr:rowOff>38100</xdr:rowOff>
    </xdr:from>
    <xdr:to>
      <xdr:col>4</xdr:col>
      <xdr:colOff>1047750</xdr:colOff>
      <xdr:row>34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 flipV="1">
          <a:off x="3657600" y="6200775"/>
          <a:ext cx="81915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34</xdr:row>
      <xdr:rowOff>0</xdr:rowOff>
    </xdr:from>
    <xdr:to>
      <xdr:col>5</xdr:col>
      <xdr:colOff>0</xdr:colOff>
      <xdr:row>36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3648075" y="6543675"/>
          <a:ext cx="828675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19050</xdr:colOff>
      <xdr:row>29</xdr:row>
      <xdr:rowOff>19050</xdr:rowOff>
    </xdr:from>
    <xdr:to>
      <xdr:col>7</xdr:col>
      <xdr:colOff>0</xdr:colOff>
      <xdr:row>30</xdr:row>
      <xdr:rowOff>95250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V="1">
          <a:off x="5334000" y="5610225"/>
          <a:ext cx="81915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30</xdr:row>
      <xdr:rowOff>123825</xdr:rowOff>
    </xdr:from>
    <xdr:to>
      <xdr:col>7</xdr:col>
      <xdr:colOff>19050</xdr:colOff>
      <xdr:row>32</xdr:row>
      <xdr:rowOff>152400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>
          <a:off x="5324475" y="5905500"/>
          <a:ext cx="8477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35</xdr:row>
      <xdr:rowOff>0</xdr:rowOff>
    </xdr:from>
    <xdr:to>
      <xdr:col>7</xdr:col>
      <xdr:colOff>0</xdr:colOff>
      <xdr:row>36</xdr:row>
      <xdr:rowOff>142875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V="1">
          <a:off x="5314950" y="6743700"/>
          <a:ext cx="8382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36</xdr:row>
      <xdr:rowOff>133350</xdr:rowOff>
    </xdr:from>
    <xdr:to>
      <xdr:col>7</xdr:col>
      <xdr:colOff>19050</xdr:colOff>
      <xdr:row>39</xdr:row>
      <xdr:rowOff>0</xdr:rowOff>
    </xdr:to>
    <xdr:sp macro="" textlink="">
      <xdr:nvSpPr>
        <xdr:cNvPr id="3078" name="Line 6"/>
        <xdr:cNvSpPr>
          <a:spLocks noChangeShapeType="1"/>
        </xdr:cNvSpPr>
      </xdr:nvSpPr>
      <xdr:spPr bwMode="auto">
        <a:xfrm>
          <a:off x="5324475" y="7067550"/>
          <a:ext cx="847725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34</xdr:row>
      <xdr:rowOff>38100</xdr:rowOff>
    </xdr:from>
    <xdr:to>
      <xdr:col>5</xdr:col>
      <xdr:colOff>0</xdr:colOff>
      <xdr:row>39</xdr:row>
      <xdr:rowOff>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 flipV="1">
          <a:off x="3905250" y="6581775"/>
          <a:ext cx="838200" cy="914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1095375</xdr:colOff>
      <xdr:row>40</xdr:row>
      <xdr:rowOff>9525</xdr:rowOff>
    </xdr:from>
    <xdr:to>
      <xdr:col>5</xdr:col>
      <xdr:colOff>76200</xdr:colOff>
      <xdr:row>44</xdr:row>
      <xdr:rowOff>152400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3895725" y="7705725"/>
          <a:ext cx="923925" cy="904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19050</xdr:colOff>
      <xdr:row>30</xdr:row>
      <xdr:rowOff>19050</xdr:rowOff>
    </xdr:from>
    <xdr:to>
      <xdr:col>7</xdr:col>
      <xdr:colOff>0</xdr:colOff>
      <xdr:row>32</xdr:row>
      <xdr:rowOff>95250</xdr:rowOff>
    </xdr:to>
    <xdr:sp macro="" textlink="">
      <xdr:nvSpPr>
        <xdr:cNvPr id="4099" name="Line 3"/>
        <xdr:cNvSpPr>
          <a:spLocks noChangeShapeType="1"/>
        </xdr:cNvSpPr>
      </xdr:nvSpPr>
      <xdr:spPr bwMode="auto">
        <a:xfrm flipV="1">
          <a:off x="5819775" y="5800725"/>
          <a:ext cx="81915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32</xdr:row>
      <xdr:rowOff>123825</xdr:rowOff>
    </xdr:from>
    <xdr:to>
      <xdr:col>7</xdr:col>
      <xdr:colOff>19050</xdr:colOff>
      <xdr:row>34</xdr:row>
      <xdr:rowOff>152400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>
          <a:off x="5810250" y="6286500"/>
          <a:ext cx="8477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47</xdr:row>
      <xdr:rowOff>142875</xdr:rowOff>
    </xdr:from>
    <xdr:to>
      <xdr:col>7</xdr:col>
      <xdr:colOff>38100</xdr:colOff>
      <xdr:row>50</xdr:row>
      <xdr:rowOff>9525</xdr:rowOff>
    </xdr:to>
    <xdr:sp macro="" textlink="">
      <xdr:nvSpPr>
        <xdr:cNvPr id="4101" name="Line 6"/>
        <xdr:cNvSpPr>
          <a:spLocks noChangeShapeType="1"/>
        </xdr:cNvSpPr>
      </xdr:nvSpPr>
      <xdr:spPr bwMode="auto">
        <a:xfrm>
          <a:off x="5829300" y="9172575"/>
          <a:ext cx="847725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19050</xdr:colOff>
      <xdr:row>44</xdr:row>
      <xdr:rowOff>47625</xdr:rowOff>
    </xdr:from>
    <xdr:to>
      <xdr:col>7</xdr:col>
      <xdr:colOff>0</xdr:colOff>
      <xdr:row>47</xdr:row>
      <xdr:rowOff>123825</xdr:rowOff>
    </xdr:to>
    <xdr:sp macro="" textlink="">
      <xdr:nvSpPr>
        <xdr:cNvPr id="4102" name="Line 7"/>
        <xdr:cNvSpPr>
          <a:spLocks noChangeShapeType="1"/>
        </xdr:cNvSpPr>
      </xdr:nvSpPr>
      <xdr:spPr bwMode="auto">
        <a:xfrm flipV="1">
          <a:off x="5819775" y="8505825"/>
          <a:ext cx="81915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7"/>
  <sheetViews>
    <sheetView tabSelected="1" workbookViewId="0"/>
  </sheetViews>
  <sheetFormatPr defaultRowHeight="12.75"/>
  <cols>
    <col min="1" max="3" width="9.140625" style="30"/>
    <col min="4" max="4" width="42.5703125" style="30" customWidth="1"/>
    <col min="5" max="16384" width="9.140625" style="30"/>
  </cols>
  <sheetData>
    <row r="1" spans="1:6">
      <c r="A1" s="29"/>
      <c r="B1" s="29"/>
      <c r="C1" s="29"/>
      <c r="D1" s="29"/>
      <c r="E1" s="29"/>
      <c r="F1" s="29"/>
    </row>
    <row r="2" spans="1:6">
      <c r="A2" s="29"/>
      <c r="B2" s="29"/>
      <c r="C2" s="29"/>
      <c r="D2" s="29"/>
      <c r="E2" s="29"/>
      <c r="F2" s="29"/>
    </row>
    <row r="3" spans="1:6">
      <c r="A3" s="29"/>
      <c r="B3" s="29"/>
      <c r="C3" s="29"/>
      <c r="D3" s="29"/>
      <c r="E3" s="29"/>
      <c r="F3" s="29"/>
    </row>
    <row r="4" spans="1:6">
      <c r="A4" s="29"/>
      <c r="B4" s="29"/>
      <c r="C4" s="29"/>
      <c r="D4" s="29"/>
      <c r="E4" s="29"/>
      <c r="F4" s="29"/>
    </row>
    <row r="5" spans="1:6">
      <c r="A5" s="29"/>
      <c r="B5" s="29"/>
      <c r="C5" s="29"/>
      <c r="D5" s="29"/>
      <c r="E5" s="29"/>
      <c r="F5" s="29"/>
    </row>
    <row r="6" spans="1:6">
      <c r="A6" s="29"/>
      <c r="B6" s="29"/>
      <c r="C6" s="29"/>
      <c r="D6" s="29"/>
      <c r="E6" s="29"/>
      <c r="F6" s="29"/>
    </row>
    <row r="7" spans="1:6">
      <c r="A7" s="29"/>
      <c r="B7" s="29"/>
      <c r="C7" s="29"/>
      <c r="D7" s="29"/>
      <c r="E7" s="29"/>
      <c r="F7" s="29"/>
    </row>
    <row r="8" spans="1:6">
      <c r="A8" s="29"/>
      <c r="B8" s="29"/>
      <c r="C8" s="29"/>
      <c r="D8" s="29"/>
      <c r="E8" s="29"/>
      <c r="F8" s="29"/>
    </row>
    <row r="9" spans="1:6">
      <c r="A9" s="29"/>
      <c r="B9" s="29"/>
      <c r="C9" s="29"/>
      <c r="D9" s="29"/>
      <c r="E9" s="29"/>
      <c r="F9" s="29"/>
    </row>
    <row r="10" spans="1:6">
      <c r="A10" s="29"/>
      <c r="B10" s="29"/>
      <c r="C10" s="29"/>
      <c r="D10" s="29"/>
      <c r="E10" s="29"/>
      <c r="F10" s="29"/>
    </row>
    <row r="11" spans="1:6">
      <c r="A11" s="29"/>
      <c r="B11" s="29"/>
      <c r="C11" s="29"/>
      <c r="D11" s="29"/>
      <c r="E11" s="29"/>
      <c r="F11" s="29"/>
    </row>
    <row r="12" spans="1:6" ht="59.25">
      <c r="A12" s="29"/>
      <c r="B12" s="29"/>
      <c r="C12" s="29"/>
      <c r="D12" s="31" t="s">
        <v>17</v>
      </c>
      <c r="E12" s="29"/>
      <c r="F12" s="32"/>
    </row>
    <row r="13" spans="1:6">
      <c r="A13" s="29"/>
      <c r="B13" s="29"/>
      <c r="C13" s="29"/>
      <c r="D13" s="29"/>
      <c r="E13" s="29"/>
      <c r="F13" s="29"/>
    </row>
    <row r="14" spans="1:6" ht="23.25">
      <c r="A14" s="29"/>
      <c r="B14" s="29"/>
      <c r="C14" s="29"/>
      <c r="D14" s="33" t="s">
        <v>98</v>
      </c>
      <c r="E14" s="29"/>
      <c r="F14" s="29"/>
    </row>
    <row r="15" spans="1:6">
      <c r="A15" s="29"/>
      <c r="B15" s="29"/>
      <c r="C15" s="29"/>
      <c r="D15" s="29"/>
      <c r="E15" s="29"/>
      <c r="F15" s="29"/>
    </row>
    <row r="16" spans="1:6">
      <c r="A16" s="29"/>
      <c r="B16" s="29"/>
      <c r="C16" s="29"/>
      <c r="D16" s="29"/>
      <c r="E16" s="29"/>
      <c r="F16" s="29"/>
    </row>
    <row r="17" spans="1:6" ht="15">
      <c r="A17" s="29"/>
      <c r="B17" s="29"/>
      <c r="C17" s="29"/>
      <c r="D17" s="34"/>
      <c r="E17" s="29"/>
      <c r="F17" s="29"/>
    </row>
    <row r="18" spans="1:6" ht="15.75">
      <c r="A18" s="29"/>
      <c r="B18" s="29"/>
      <c r="C18" s="29"/>
      <c r="D18" s="35" t="s">
        <v>12</v>
      </c>
      <c r="E18" s="29"/>
      <c r="F18" s="29"/>
    </row>
    <row r="19" spans="1:6" ht="15.75">
      <c r="A19" s="29"/>
      <c r="B19" s="29"/>
      <c r="C19" s="29"/>
      <c r="D19" s="36" t="s">
        <v>13</v>
      </c>
      <c r="E19" s="29"/>
      <c r="F19" s="29"/>
    </row>
    <row r="20" spans="1:6" ht="15.75">
      <c r="A20" s="29"/>
      <c r="B20" s="29"/>
      <c r="C20" s="29"/>
      <c r="D20" s="37" t="s">
        <v>14</v>
      </c>
      <c r="E20" s="29"/>
      <c r="F20" s="29"/>
    </row>
    <row r="21" spans="1:6" ht="15.75">
      <c r="A21" s="29"/>
      <c r="B21" s="29"/>
      <c r="C21" s="29"/>
      <c r="D21" s="38" t="s">
        <v>15</v>
      </c>
      <c r="E21" s="29"/>
      <c r="F21" s="29"/>
    </row>
    <row r="22" spans="1:6" ht="15.75">
      <c r="A22" s="29"/>
      <c r="B22" s="29"/>
      <c r="C22" s="29"/>
      <c r="D22" s="39" t="s">
        <v>16</v>
      </c>
      <c r="E22" s="29"/>
      <c r="F22" s="29"/>
    </row>
    <row r="23" spans="1:6" ht="15">
      <c r="A23" s="29"/>
      <c r="B23" s="29"/>
      <c r="C23" s="29"/>
      <c r="D23" s="34"/>
      <c r="E23" s="29"/>
      <c r="F23" s="29"/>
    </row>
    <row r="24" spans="1:6">
      <c r="A24" s="29"/>
      <c r="B24" s="29"/>
      <c r="C24" s="29"/>
      <c r="D24" s="98" t="s">
        <v>92</v>
      </c>
      <c r="E24" s="29"/>
      <c r="F24" s="29"/>
    </row>
    <row r="25" spans="1:6">
      <c r="A25" s="29"/>
      <c r="B25" s="29"/>
      <c r="C25" s="29"/>
      <c r="D25" s="98" t="s">
        <v>93</v>
      </c>
      <c r="E25" s="29"/>
      <c r="F25" s="29"/>
    </row>
    <row r="26" spans="1:6">
      <c r="D26" s="98" t="s">
        <v>94</v>
      </c>
    </row>
    <row r="27" spans="1:6">
      <c r="D27" s="98" t="s">
        <v>95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50"/>
  <sheetViews>
    <sheetView zoomScaleNormal="100" workbookViewId="0"/>
  </sheetViews>
  <sheetFormatPr defaultRowHeight="15"/>
  <cols>
    <col min="2" max="2" width="3.140625" customWidth="1"/>
    <col min="3" max="3" width="29.7109375" style="59" customWidth="1"/>
    <col min="4" max="7" width="12.5703125" style="59" customWidth="1"/>
    <col min="8" max="8" width="12.5703125" style="60" customWidth="1"/>
    <col min="9" max="9" width="15.85546875" bestFit="1" customWidth="1"/>
    <col min="10" max="10" width="6.5703125" style="57" bestFit="1" customWidth="1"/>
  </cols>
  <sheetData>
    <row r="1" spans="2:11" ht="18">
      <c r="C1" s="2" t="s">
        <v>17</v>
      </c>
      <c r="H1" s="59"/>
      <c r="I1" s="57"/>
      <c r="J1"/>
      <c r="K1" s="57"/>
    </row>
    <row r="2" spans="2:11">
      <c r="C2" s="1" t="s">
        <v>80</v>
      </c>
      <c r="H2" s="59"/>
      <c r="I2" s="57"/>
      <c r="J2"/>
      <c r="K2" s="57"/>
    </row>
    <row r="3" spans="2:11">
      <c r="H3" s="59"/>
      <c r="I3" s="57"/>
      <c r="J3"/>
      <c r="K3" s="57"/>
    </row>
    <row r="4" spans="2:11">
      <c r="C4" s="3" t="s">
        <v>0</v>
      </c>
      <c r="H4" s="59"/>
      <c r="I4" s="57"/>
      <c r="J4"/>
      <c r="K4" s="57"/>
    </row>
    <row r="5" spans="2:11" ht="15.75" thickBot="1">
      <c r="H5" s="59"/>
      <c r="I5" s="57"/>
      <c r="J5"/>
      <c r="K5" s="57"/>
    </row>
    <row r="6" spans="2:11">
      <c r="B6" s="61"/>
      <c r="C6" s="62"/>
      <c r="D6" s="62"/>
      <c r="E6" s="63"/>
      <c r="H6" s="59"/>
      <c r="I6" s="57"/>
      <c r="J6"/>
      <c r="K6" s="57"/>
    </row>
    <row r="7" spans="2:11">
      <c r="B7" s="64"/>
      <c r="C7" s="65" t="s">
        <v>60</v>
      </c>
      <c r="D7" s="100">
        <f ca="1">'#8'!D7</f>
        <v>73</v>
      </c>
      <c r="E7" s="66"/>
      <c r="H7" s="59"/>
      <c r="I7" s="57"/>
      <c r="J7"/>
      <c r="K7" s="57"/>
    </row>
    <row r="8" spans="2:11">
      <c r="B8" s="64"/>
      <c r="C8" s="67" t="s">
        <v>5</v>
      </c>
      <c r="D8" s="101">
        <f ca="1">'#8'!D8</f>
        <v>0.7</v>
      </c>
      <c r="E8" s="66"/>
      <c r="H8" s="59"/>
      <c r="I8" s="57"/>
      <c r="J8"/>
      <c r="K8" s="57"/>
    </row>
    <row r="9" spans="2:11">
      <c r="B9" s="64"/>
      <c r="C9" s="65" t="s">
        <v>42</v>
      </c>
      <c r="D9" s="100">
        <f ca="1">'#8'!D9</f>
        <v>80</v>
      </c>
      <c r="E9" s="66"/>
      <c r="H9" s="59"/>
      <c r="I9" s="57"/>
      <c r="J9"/>
      <c r="K9" s="57"/>
    </row>
    <row r="10" spans="2:11">
      <c r="B10" s="64"/>
      <c r="C10" s="65" t="s">
        <v>4</v>
      </c>
      <c r="D10" s="101">
        <f ca="1">'#8'!D10</f>
        <v>0.05</v>
      </c>
      <c r="E10" s="66"/>
      <c r="H10" s="59"/>
      <c r="I10" s="57"/>
      <c r="J10"/>
      <c r="K10" s="57"/>
    </row>
    <row r="11" spans="2:11" ht="15.75" thickBot="1">
      <c r="B11" s="68"/>
      <c r="C11" s="69"/>
      <c r="D11" s="69"/>
      <c r="E11" s="70"/>
      <c r="H11" s="59"/>
      <c r="I11" s="57"/>
      <c r="J11"/>
      <c r="K11" s="57"/>
    </row>
    <row r="12" spans="2:11">
      <c r="H12" s="59"/>
      <c r="I12" s="57"/>
      <c r="J12"/>
      <c r="K12" s="57"/>
    </row>
    <row r="13" spans="2:11">
      <c r="H13" s="59"/>
      <c r="I13" s="57"/>
      <c r="J13"/>
      <c r="K13" s="57"/>
    </row>
    <row r="14" spans="2:11" ht="15.75" thickBot="1">
      <c r="H14" s="59"/>
      <c r="I14" s="57"/>
      <c r="J14"/>
      <c r="K14" s="57"/>
    </row>
    <row r="15" spans="2:11">
      <c r="B15" s="73"/>
      <c r="C15" s="74"/>
      <c r="D15" s="74"/>
      <c r="E15" s="74"/>
      <c r="F15" s="74"/>
      <c r="G15" s="74"/>
      <c r="H15" s="74"/>
      <c r="I15" s="75"/>
      <c r="J15"/>
      <c r="K15" s="57"/>
    </row>
    <row r="16" spans="2:11">
      <c r="B16" s="76"/>
      <c r="C16" s="77" t="s">
        <v>66</v>
      </c>
      <c r="D16" s="78">
        <f>D10/12</f>
        <v>4.1666666666666666E-3</v>
      </c>
      <c r="E16" s="79"/>
      <c r="F16" s="79"/>
      <c r="G16" s="79"/>
      <c r="H16" s="79"/>
      <c r="I16" s="80"/>
      <c r="J16"/>
      <c r="K16" s="57"/>
    </row>
    <row r="17" spans="2:11">
      <c r="B17" s="76"/>
      <c r="C17" s="79"/>
      <c r="D17" s="78"/>
      <c r="E17" s="79"/>
      <c r="F17" s="79"/>
      <c r="G17" s="79"/>
      <c r="H17" s="79"/>
      <c r="I17" s="80"/>
      <c r="J17"/>
      <c r="K17" s="57"/>
    </row>
    <row r="18" spans="2:11">
      <c r="B18" s="76"/>
      <c r="C18" s="81" t="s">
        <v>44</v>
      </c>
      <c r="D18" s="78">
        <f>EXP(D8/SQRT(12))</f>
        <v>1.2239368556233305</v>
      </c>
      <c r="E18" s="79"/>
      <c r="F18" s="79"/>
      <c r="G18" s="79"/>
      <c r="H18" s="79"/>
      <c r="I18" s="80"/>
      <c r="J18"/>
      <c r="K18" s="57"/>
    </row>
    <row r="19" spans="2:11">
      <c r="B19" s="76"/>
      <c r="C19" s="81" t="s">
        <v>45</v>
      </c>
      <c r="D19" s="78">
        <f>EXP(-1*(D8*SQRT(1/12)))</f>
        <v>0.81703561372920408</v>
      </c>
      <c r="E19" s="79"/>
      <c r="F19" s="79"/>
      <c r="G19" s="79"/>
      <c r="H19" s="79"/>
      <c r="I19" s="80"/>
      <c r="J19"/>
      <c r="K19" s="57"/>
    </row>
    <row r="20" spans="2:11">
      <c r="B20" s="76"/>
      <c r="C20" s="82"/>
      <c r="D20" s="83"/>
      <c r="E20" s="79"/>
      <c r="F20" s="79"/>
      <c r="G20" s="79"/>
      <c r="H20" s="79"/>
      <c r="I20" s="80"/>
      <c r="J20"/>
      <c r="K20" s="57"/>
    </row>
    <row r="21" spans="2:11">
      <c r="B21" s="76"/>
      <c r="C21" s="77" t="s">
        <v>62</v>
      </c>
      <c r="D21" s="84">
        <f>D18-1</f>
        <v>0.22393685562333054</v>
      </c>
      <c r="E21" s="79"/>
      <c r="F21" s="79"/>
      <c r="G21" s="79"/>
      <c r="H21" s="79"/>
      <c r="I21" s="80"/>
      <c r="J21"/>
      <c r="K21" s="57"/>
    </row>
    <row r="22" spans="2:11">
      <c r="B22" s="76"/>
      <c r="C22" s="77" t="s">
        <v>63</v>
      </c>
      <c r="D22" s="84">
        <f>D19-1</f>
        <v>-0.18296438627079592</v>
      </c>
      <c r="E22" s="79"/>
      <c r="F22" s="79"/>
      <c r="G22" s="79"/>
      <c r="H22" s="79"/>
      <c r="I22" s="80"/>
      <c r="J22"/>
      <c r="K22" s="57"/>
    </row>
    <row r="23" spans="2:11">
      <c r="B23" s="76"/>
      <c r="C23" s="77"/>
      <c r="D23" s="84"/>
      <c r="E23" s="79"/>
      <c r="F23" s="79"/>
      <c r="G23" s="79"/>
      <c r="H23" s="79"/>
      <c r="I23" s="80"/>
      <c r="J23"/>
      <c r="K23" s="57"/>
    </row>
    <row r="24" spans="2:11">
      <c r="B24" s="76"/>
      <c r="C24" s="77" t="s">
        <v>64</v>
      </c>
      <c r="D24" s="78">
        <f>(D16-D22)/(D21-D22)</f>
        <v>0.45989304939539383</v>
      </c>
      <c r="E24" s="79"/>
      <c r="F24" s="79"/>
      <c r="G24" s="79"/>
      <c r="H24" s="79"/>
      <c r="I24" s="80"/>
      <c r="J24"/>
      <c r="K24" s="57"/>
    </row>
    <row r="25" spans="2:11">
      <c r="B25" s="76"/>
      <c r="C25" s="77" t="s">
        <v>65</v>
      </c>
      <c r="D25" s="78">
        <f>1-D24</f>
        <v>0.54010695060460612</v>
      </c>
      <c r="E25" s="79"/>
      <c r="F25" s="79"/>
      <c r="G25" s="79"/>
      <c r="H25" s="79"/>
      <c r="I25" s="80"/>
      <c r="J25"/>
      <c r="K25" s="57"/>
    </row>
    <row r="26" spans="2:11">
      <c r="B26" s="76"/>
      <c r="C26" s="79"/>
      <c r="D26" s="79"/>
      <c r="E26" s="79"/>
      <c r="F26" s="79"/>
      <c r="G26" s="79"/>
      <c r="H26" s="85"/>
      <c r="I26" s="86"/>
    </row>
    <row r="27" spans="2:11">
      <c r="B27" s="76"/>
      <c r="C27" s="79"/>
      <c r="D27" s="79"/>
      <c r="E27" s="79"/>
      <c r="F27" s="79"/>
      <c r="G27" s="79"/>
      <c r="H27" s="85"/>
      <c r="I27" s="86"/>
    </row>
    <row r="28" spans="2:11">
      <c r="B28" s="76"/>
      <c r="C28" s="79"/>
      <c r="D28" s="79"/>
      <c r="E28" s="79"/>
      <c r="F28" s="85"/>
      <c r="G28" s="82" t="s">
        <v>70</v>
      </c>
      <c r="H28" s="87">
        <f>F31*D18</f>
        <v>109.35556413837817</v>
      </c>
      <c r="I28" s="86"/>
      <c r="J28"/>
    </row>
    <row r="29" spans="2:11">
      <c r="B29" s="76"/>
      <c r="C29" s="79"/>
      <c r="D29" s="79"/>
      <c r="E29" s="79"/>
      <c r="F29" s="85"/>
      <c r="G29" s="82" t="s">
        <v>61</v>
      </c>
      <c r="H29" s="87">
        <f>MAX(D9-H28,0)</f>
        <v>0</v>
      </c>
      <c r="I29" s="86"/>
      <c r="J29"/>
    </row>
    <row r="30" spans="2:11">
      <c r="B30" s="76"/>
      <c r="C30" s="79"/>
      <c r="D30" s="79"/>
      <c r="E30" s="79"/>
      <c r="F30" s="85"/>
      <c r="G30" s="79"/>
      <c r="H30" s="87"/>
      <c r="I30" s="86"/>
      <c r="J30"/>
    </row>
    <row r="31" spans="2:11">
      <c r="B31" s="76"/>
      <c r="C31" s="79"/>
      <c r="D31" s="79"/>
      <c r="E31" s="82" t="s">
        <v>68</v>
      </c>
      <c r="F31" s="87">
        <f>D34*D18</f>
        <v>89.347390460503135</v>
      </c>
      <c r="G31" s="79"/>
      <c r="H31" s="87"/>
      <c r="I31" s="86"/>
      <c r="J31"/>
    </row>
    <row r="32" spans="2:11">
      <c r="B32" s="76"/>
      <c r="C32" s="79"/>
      <c r="D32" s="79"/>
      <c r="E32" s="82" t="s">
        <v>61</v>
      </c>
      <c r="F32" s="87">
        <f>((H29*D24)+(H35*D25))/(1+D16)</f>
        <v>3.765060900480234</v>
      </c>
      <c r="G32" s="79"/>
      <c r="H32" s="87"/>
      <c r="I32" s="86"/>
      <c r="J32"/>
    </row>
    <row r="33" spans="2:10">
      <c r="B33" s="76"/>
      <c r="C33" s="79"/>
      <c r="D33" s="79"/>
      <c r="E33" s="79"/>
      <c r="F33" s="87"/>
      <c r="G33" s="79"/>
      <c r="H33" s="87"/>
      <c r="I33" s="86"/>
      <c r="J33"/>
    </row>
    <row r="34" spans="2:10">
      <c r="B34" s="76"/>
      <c r="C34" s="82" t="s">
        <v>67</v>
      </c>
      <c r="D34" s="87">
        <f>D7</f>
        <v>73</v>
      </c>
      <c r="E34" s="79"/>
      <c r="F34" s="87"/>
      <c r="G34" s="82" t="s">
        <v>71</v>
      </c>
      <c r="H34" s="87">
        <f>F31*D19</f>
        <v>73.000000000000014</v>
      </c>
      <c r="I34" s="86"/>
      <c r="J34"/>
    </row>
    <row r="35" spans="2:10" ht="15.75">
      <c r="B35" s="76"/>
      <c r="C35" s="82" t="s">
        <v>61</v>
      </c>
      <c r="D35" s="88">
        <f>((F32*D24)+(F38*D25))/(1+D16)</f>
        <v>12.673352937544983</v>
      </c>
      <c r="E35" s="79"/>
      <c r="F35" s="87"/>
      <c r="G35" s="82" t="s">
        <v>61</v>
      </c>
      <c r="H35" s="87">
        <f>MAX(D9-H34,0)</f>
        <v>6.9999999999999858</v>
      </c>
      <c r="I35" s="86"/>
      <c r="J35"/>
    </row>
    <row r="36" spans="2:10">
      <c r="B36" s="76"/>
      <c r="C36" s="79"/>
      <c r="D36" s="79"/>
      <c r="E36" s="79"/>
      <c r="F36" s="87"/>
      <c r="G36" s="79"/>
      <c r="H36" s="87"/>
      <c r="I36" s="86"/>
      <c r="J36"/>
    </row>
    <row r="37" spans="2:10">
      <c r="B37" s="76"/>
      <c r="C37" s="79"/>
      <c r="D37" s="79"/>
      <c r="E37" s="82" t="s">
        <v>69</v>
      </c>
      <c r="F37" s="87">
        <f>D34*D19</f>
        <v>59.643599802231897</v>
      </c>
      <c r="G37" s="79"/>
      <c r="H37" s="87"/>
      <c r="I37" s="86"/>
      <c r="J37"/>
    </row>
    <row r="38" spans="2:10">
      <c r="B38" s="76"/>
      <c r="C38" s="79"/>
      <c r="D38" s="79"/>
      <c r="E38" s="82" t="s">
        <v>61</v>
      </c>
      <c r="F38" s="87">
        <f>MAX(((H35*D24)+(H41*D25))/(1+D16),D9-F37)</f>
        <v>20.356400197768103</v>
      </c>
      <c r="G38" s="79"/>
      <c r="H38" s="87"/>
      <c r="I38" s="86"/>
      <c r="J38"/>
    </row>
    <row r="39" spans="2:10">
      <c r="B39" s="76"/>
      <c r="C39" s="79"/>
      <c r="D39" s="79"/>
      <c r="E39" s="79"/>
      <c r="F39" s="85"/>
      <c r="G39" s="79"/>
      <c r="H39" s="87"/>
      <c r="I39" s="86"/>
      <c r="J39"/>
    </row>
    <row r="40" spans="2:10">
      <c r="B40" s="76"/>
      <c r="C40" s="79"/>
      <c r="D40" s="79"/>
      <c r="E40" s="79"/>
      <c r="F40" s="85"/>
      <c r="G40" s="82" t="s">
        <v>72</v>
      </c>
      <c r="H40" s="87">
        <f>F37*D19</f>
        <v>48.730945169435572</v>
      </c>
      <c r="I40" s="86"/>
      <c r="J40"/>
    </row>
    <row r="41" spans="2:10">
      <c r="B41" s="76"/>
      <c r="C41" s="79"/>
      <c r="D41" s="79"/>
      <c r="E41" s="79"/>
      <c r="F41" s="85"/>
      <c r="G41" s="82" t="s">
        <v>61</v>
      </c>
      <c r="H41" s="87">
        <f>MAX(D9-H40,0)</f>
        <v>31.269054830564428</v>
      </c>
      <c r="I41" s="86"/>
      <c r="J41"/>
    </row>
    <row r="42" spans="2:10" ht="15.75" thickBot="1">
      <c r="B42" s="89"/>
      <c r="C42" s="90"/>
      <c r="D42" s="90"/>
      <c r="E42" s="90"/>
      <c r="F42" s="91"/>
      <c r="G42" s="90"/>
      <c r="H42" s="91"/>
      <c r="I42" s="92"/>
      <c r="J42"/>
    </row>
    <row r="43" spans="2:10">
      <c r="J43" s="58"/>
    </row>
    <row r="44" spans="2:10">
      <c r="J44" s="58"/>
    </row>
    <row r="45" spans="2:10">
      <c r="J45" s="58"/>
    </row>
    <row r="46" spans="2:10">
      <c r="J46" s="58"/>
    </row>
    <row r="47" spans="2:10">
      <c r="J47" s="58"/>
    </row>
    <row r="48" spans="2:10">
      <c r="J48" s="58"/>
    </row>
    <row r="49" spans="10:10">
      <c r="J49" s="58"/>
    </row>
    <row r="50" spans="10:10">
      <c r="J50" s="58"/>
    </row>
  </sheetData>
  <phoneticPr fontId="0" type="noConversion"/>
  <pageMargins left="0.75" right="0.75" top="1" bottom="1" header="0.5" footer="0.5"/>
  <pageSetup scale="6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61"/>
  <sheetViews>
    <sheetView zoomScaleNormal="100" workbookViewId="0"/>
  </sheetViews>
  <sheetFormatPr defaultRowHeight="15"/>
  <cols>
    <col min="2" max="2" width="3.140625" customWidth="1"/>
    <col min="3" max="3" width="29.7109375" style="59" customWidth="1"/>
    <col min="4" max="4" width="16.5703125" style="59" customWidth="1"/>
    <col min="5" max="5" width="12.5703125" style="59" customWidth="1"/>
    <col min="6" max="6" width="15.85546875" style="59" customWidth="1"/>
    <col min="7" max="7" width="12.5703125" style="59" customWidth="1"/>
    <col min="8" max="8" width="18.85546875" style="60" bestFit="1" customWidth="1"/>
    <col min="9" max="9" width="15.85546875" bestFit="1" customWidth="1"/>
    <col min="10" max="10" width="6.5703125" style="57" bestFit="1" customWidth="1"/>
  </cols>
  <sheetData>
    <row r="1" spans="2:11" ht="18">
      <c r="C1" s="2" t="s">
        <v>17</v>
      </c>
      <c r="H1" s="59"/>
      <c r="I1" s="57"/>
      <c r="J1"/>
      <c r="K1" s="57"/>
    </row>
    <row r="2" spans="2:11">
      <c r="C2" s="1" t="s">
        <v>99</v>
      </c>
      <c r="H2" s="59"/>
      <c r="I2" s="57"/>
      <c r="J2"/>
      <c r="K2" s="57"/>
    </row>
    <row r="3" spans="2:11">
      <c r="H3" s="59"/>
      <c r="I3" s="57"/>
      <c r="J3"/>
      <c r="K3" s="57"/>
    </row>
    <row r="4" spans="2:11">
      <c r="C4" s="3" t="s">
        <v>0</v>
      </c>
      <c r="H4" s="59"/>
      <c r="I4" s="57"/>
      <c r="J4"/>
      <c r="K4" s="57"/>
    </row>
    <row r="5" spans="2:11" ht="15.75" thickBot="1">
      <c r="H5" s="59"/>
      <c r="I5" s="57"/>
      <c r="J5"/>
      <c r="K5" s="57"/>
    </row>
    <row r="6" spans="2:11">
      <c r="B6" s="61"/>
      <c r="C6" s="62"/>
      <c r="D6" s="62"/>
      <c r="E6" s="63"/>
      <c r="H6" s="59"/>
      <c r="I6" s="57"/>
      <c r="J6"/>
      <c r="K6" s="57"/>
    </row>
    <row r="7" spans="2:11">
      <c r="B7" s="64"/>
      <c r="C7" s="65" t="s">
        <v>42</v>
      </c>
      <c r="D7" s="71">
        <v>63000000</v>
      </c>
      <c r="E7" s="66"/>
      <c r="H7" s="59"/>
      <c r="I7" s="57"/>
      <c r="J7"/>
      <c r="K7" s="57"/>
    </row>
    <row r="8" spans="2:11">
      <c r="B8" s="64"/>
      <c r="C8" s="65" t="s">
        <v>81</v>
      </c>
      <c r="D8" s="71">
        <v>60000000</v>
      </c>
      <c r="E8" s="66"/>
      <c r="H8" s="59"/>
      <c r="I8" s="57"/>
      <c r="J8"/>
      <c r="K8" s="57"/>
    </row>
    <row r="9" spans="2:11">
      <c r="B9" s="64"/>
      <c r="C9" s="65" t="s">
        <v>84</v>
      </c>
      <c r="D9" s="71">
        <v>900000</v>
      </c>
      <c r="E9" s="66"/>
      <c r="H9" s="59"/>
      <c r="I9" s="57"/>
      <c r="J9"/>
      <c r="K9" s="57"/>
    </row>
    <row r="10" spans="2:11">
      <c r="B10" s="64"/>
      <c r="C10" s="67" t="s">
        <v>5</v>
      </c>
      <c r="D10" s="72">
        <v>0.3</v>
      </c>
      <c r="E10" s="66"/>
      <c r="H10" s="59"/>
      <c r="I10" s="57"/>
      <c r="J10"/>
      <c r="K10" s="57"/>
    </row>
    <row r="11" spans="2:11">
      <c r="B11" s="64"/>
      <c r="C11" s="65" t="s">
        <v>4</v>
      </c>
      <c r="D11" s="72">
        <v>0.06</v>
      </c>
      <c r="E11" s="66"/>
      <c r="H11" s="59"/>
      <c r="I11" s="57"/>
      <c r="J11"/>
      <c r="K11" s="57"/>
    </row>
    <row r="12" spans="2:11" ht="15.75" thickBot="1">
      <c r="B12" s="68"/>
      <c r="C12" s="69"/>
      <c r="D12" s="69"/>
      <c r="E12" s="70"/>
      <c r="H12" s="59"/>
      <c r="I12" s="57"/>
      <c r="J12"/>
      <c r="K12" s="57"/>
    </row>
    <row r="13" spans="2:11">
      <c r="H13" s="59"/>
      <c r="I13" s="57"/>
      <c r="J13"/>
      <c r="K13" s="57"/>
    </row>
    <row r="14" spans="2:11">
      <c r="H14" s="59"/>
      <c r="I14" s="57"/>
      <c r="J14"/>
      <c r="K14" s="57"/>
    </row>
    <row r="15" spans="2:11" ht="15.75" thickBot="1">
      <c r="H15" s="59"/>
      <c r="I15" s="57"/>
      <c r="J15"/>
      <c r="K15" s="57"/>
    </row>
    <row r="16" spans="2:11">
      <c r="B16" s="73"/>
      <c r="C16" s="74"/>
      <c r="D16" s="74"/>
      <c r="E16" s="74"/>
      <c r="F16" s="74"/>
      <c r="G16" s="74"/>
      <c r="H16" s="74"/>
      <c r="I16" s="75"/>
      <c r="J16"/>
      <c r="K16" s="57"/>
    </row>
    <row r="17" spans="2:11">
      <c r="B17" s="76"/>
      <c r="C17" s="77" t="s">
        <v>66</v>
      </c>
      <c r="D17" s="78">
        <f>D11/2</f>
        <v>0.03</v>
      </c>
      <c r="E17" s="79"/>
      <c r="F17" s="79"/>
      <c r="G17" s="79"/>
      <c r="H17" s="79"/>
      <c r="I17" s="80"/>
      <c r="J17"/>
      <c r="K17" s="57"/>
    </row>
    <row r="18" spans="2:11">
      <c r="B18" s="76"/>
      <c r="C18" s="79"/>
      <c r="D18" s="78"/>
      <c r="E18" s="79"/>
      <c r="F18" s="79"/>
      <c r="G18" s="79"/>
      <c r="H18" s="79"/>
      <c r="I18" s="80"/>
      <c r="J18"/>
      <c r="K18" s="57"/>
    </row>
    <row r="19" spans="2:11">
      <c r="B19" s="76"/>
      <c r="C19" s="81" t="s">
        <v>44</v>
      </c>
      <c r="D19" s="78">
        <f>EXP(D10/SQRT(2))</f>
        <v>1.2363111098437876</v>
      </c>
      <c r="E19" s="79"/>
      <c r="F19" s="79"/>
      <c r="G19" s="79"/>
      <c r="H19" s="79"/>
      <c r="I19" s="80"/>
      <c r="J19"/>
      <c r="K19" s="57"/>
    </row>
    <row r="20" spans="2:11">
      <c r="B20" s="76"/>
      <c r="C20" s="81" t="s">
        <v>45</v>
      </c>
      <c r="D20" s="78">
        <f>EXP(-1*(D10*SQRT(1/2)))</f>
        <v>0.80885789348471804</v>
      </c>
      <c r="E20" s="79"/>
      <c r="F20" s="79"/>
      <c r="G20" s="79"/>
      <c r="H20" s="79"/>
      <c r="I20" s="80"/>
      <c r="J20"/>
      <c r="K20" s="57"/>
    </row>
    <row r="21" spans="2:11">
      <c r="B21" s="76"/>
      <c r="C21" s="82"/>
      <c r="D21" s="83"/>
      <c r="E21" s="79"/>
      <c r="F21" s="79"/>
      <c r="G21" s="79"/>
      <c r="H21" s="79"/>
      <c r="I21" s="80"/>
      <c r="J21"/>
      <c r="K21" s="57"/>
    </row>
    <row r="22" spans="2:11">
      <c r="B22" s="76"/>
      <c r="C22" s="77" t="s">
        <v>62</v>
      </c>
      <c r="D22" s="84">
        <f>D19-1</f>
        <v>0.23631110984378756</v>
      </c>
      <c r="E22" s="79"/>
      <c r="F22" s="79"/>
      <c r="G22" s="79"/>
      <c r="H22" s="79"/>
      <c r="I22" s="80"/>
      <c r="J22"/>
      <c r="K22" s="57"/>
    </row>
    <row r="23" spans="2:11">
      <c r="B23" s="76"/>
      <c r="C23" s="77" t="s">
        <v>63</v>
      </c>
      <c r="D23" s="84">
        <f>D20-1</f>
        <v>-0.19114210651528196</v>
      </c>
      <c r="E23" s="79"/>
      <c r="F23" s="79"/>
      <c r="G23" s="79"/>
      <c r="H23" s="79"/>
      <c r="I23" s="80"/>
      <c r="J23"/>
      <c r="K23" s="57"/>
    </row>
    <row r="24" spans="2:11">
      <c r="B24" s="76"/>
      <c r="C24" s="77"/>
      <c r="D24" s="84"/>
      <c r="E24" s="79"/>
      <c r="F24" s="79"/>
      <c r="G24" s="79"/>
      <c r="H24" s="79"/>
      <c r="I24" s="80"/>
      <c r="J24"/>
      <c r="K24" s="57"/>
    </row>
    <row r="25" spans="2:11">
      <c r="B25" s="76"/>
      <c r="C25" s="77" t="s">
        <v>64</v>
      </c>
      <c r="D25" s="78">
        <f>(D17-D23)/(D22-D23)</f>
        <v>0.51734809343326604</v>
      </c>
      <c r="E25" s="79"/>
      <c r="F25" s="79"/>
      <c r="G25" s="79"/>
      <c r="H25" s="79"/>
      <c r="I25" s="80"/>
      <c r="J25"/>
      <c r="K25" s="57"/>
    </row>
    <row r="26" spans="2:11">
      <c r="B26" s="76"/>
      <c r="C26" s="77" t="s">
        <v>65</v>
      </c>
      <c r="D26" s="78">
        <f>1-D25</f>
        <v>0.48265190656673396</v>
      </c>
      <c r="E26" s="79"/>
      <c r="F26" s="79"/>
      <c r="G26" s="79"/>
      <c r="H26" s="79"/>
      <c r="I26" s="80"/>
      <c r="J26"/>
      <c r="K26" s="57"/>
    </row>
    <row r="27" spans="2:11">
      <c r="B27" s="76"/>
      <c r="C27" s="79"/>
      <c r="D27" s="79"/>
      <c r="E27" s="79"/>
      <c r="F27" s="79"/>
      <c r="G27" s="79"/>
      <c r="H27" s="85"/>
      <c r="I27" s="86"/>
    </row>
    <row r="28" spans="2:11">
      <c r="B28" s="76"/>
      <c r="C28" s="79"/>
      <c r="D28" s="79"/>
      <c r="E28" s="79"/>
      <c r="F28" s="79"/>
      <c r="G28" s="79"/>
      <c r="H28" s="85"/>
      <c r="I28" s="86"/>
    </row>
    <row r="29" spans="2:11">
      <c r="B29" s="76"/>
      <c r="C29" s="79"/>
      <c r="D29" s="79"/>
      <c r="E29" s="79"/>
      <c r="F29" s="85"/>
      <c r="G29" s="82" t="s">
        <v>88</v>
      </c>
      <c r="H29" s="94">
        <f>F33*D19</f>
        <v>90595229.620531261</v>
      </c>
      <c r="I29" s="86"/>
      <c r="J29"/>
    </row>
    <row r="30" spans="2:11">
      <c r="B30" s="76"/>
      <c r="C30" s="79"/>
      <c r="D30" s="79"/>
      <c r="E30" s="79"/>
      <c r="F30" s="85"/>
      <c r="G30" s="82" t="s">
        <v>85</v>
      </c>
      <c r="H30" s="94">
        <f>MAX(H29-D7,0)</f>
        <v>27595229.620531261</v>
      </c>
      <c r="I30" s="86"/>
      <c r="J30"/>
    </row>
    <row r="31" spans="2:11">
      <c r="B31" s="76"/>
      <c r="C31" s="79"/>
      <c r="D31" s="79"/>
      <c r="E31" s="79"/>
      <c r="F31" s="85"/>
      <c r="G31" s="79"/>
      <c r="H31" s="87"/>
      <c r="I31" s="86"/>
      <c r="J31"/>
    </row>
    <row r="32" spans="2:11">
      <c r="B32" s="76"/>
      <c r="C32" s="79"/>
      <c r="D32" s="79"/>
      <c r="E32" s="82" t="s">
        <v>82</v>
      </c>
      <c r="F32" s="94">
        <f>D39*D19</f>
        <v>74178666.590627253</v>
      </c>
      <c r="G32" s="79"/>
      <c r="H32" s="87"/>
      <c r="I32" s="86"/>
      <c r="J32"/>
    </row>
    <row r="33" spans="2:10">
      <c r="B33" s="76"/>
      <c r="C33" s="79"/>
      <c r="D33" s="79"/>
      <c r="E33" s="82" t="s">
        <v>83</v>
      </c>
      <c r="F33" s="97">
        <f>F32-D9</f>
        <v>73278666.590627253</v>
      </c>
      <c r="G33" s="79"/>
      <c r="H33" s="87"/>
      <c r="I33" s="86"/>
      <c r="J33"/>
    </row>
    <row r="34" spans="2:10">
      <c r="B34" s="76"/>
      <c r="C34" s="79"/>
      <c r="D34" s="79"/>
      <c r="E34" s="82" t="s">
        <v>85</v>
      </c>
      <c r="F34" s="94">
        <f>MAX(((H30*D25)+(H37*D26))/(1+D17),F32-D7)</f>
        <v>13860523.720422367</v>
      </c>
      <c r="G34" s="79"/>
      <c r="H34" s="87"/>
      <c r="I34" s="86"/>
      <c r="J34"/>
    </row>
    <row r="35" spans="2:10">
      <c r="B35" s="76"/>
      <c r="C35" s="79"/>
      <c r="D35" s="79"/>
      <c r="E35" s="79"/>
      <c r="F35" s="87"/>
      <c r="G35" s="79"/>
      <c r="H35" s="87"/>
      <c r="I35" s="86"/>
      <c r="J35"/>
    </row>
    <row r="36" spans="2:10">
      <c r="B36" s="76"/>
      <c r="C36" s="96"/>
      <c r="D36" s="96"/>
      <c r="E36" s="79"/>
      <c r="F36" s="87"/>
      <c r="G36" s="82" t="s">
        <v>86</v>
      </c>
      <c r="H36" s="94">
        <f>F33*D20</f>
        <v>59272027.895863742</v>
      </c>
      <c r="I36" s="86"/>
      <c r="J36"/>
    </row>
    <row r="37" spans="2:10">
      <c r="B37" s="76"/>
      <c r="C37" s="96"/>
      <c r="D37" s="96"/>
      <c r="E37" s="79"/>
      <c r="F37" s="87"/>
      <c r="G37" s="82" t="s">
        <v>85</v>
      </c>
      <c r="H37" s="94">
        <f>MAX(H36-D7,0)</f>
        <v>0</v>
      </c>
      <c r="I37" s="86"/>
      <c r="J37"/>
    </row>
    <row r="38" spans="2:10">
      <c r="B38" s="76"/>
      <c r="C38" s="79"/>
      <c r="D38" s="79"/>
      <c r="E38" s="79"/>
      <c r="F38" s="87"/>
      <c r="G38" s="79"/>
      <c r="H38" s="87"/>
      <c r="I38" s="86"/>
      <c r="J38"/>
    </row>
    <row r="39" spans="2:10">
      <c r="B39" s="76"/>
      <c r="C39" s="82" t="s">
        <v>67</v>
      </c>
      <c r="D39" s="94">
        <f>D8</f>
        <v>60000000</v>
      </c>
      <c r="E39" s="79"/>
      <c r="F39" s="87"/>
      <c r="G39" s="79"/>
      <c r="H39" s="87"/>
      <c r="I39" s="86"/>
      <c r="J39"/>
    </row>
    <row r="40" spans="2:10" ht="15.75">
      <c r="B40" s="76"/>
      <c r="C40" s="82" t="s">
        <v>85</v>
      </c>
      <c r="D40" s="95">
        <f>((F34*D25)+(F48*D26))/(1+D17)</f>
        <v>6961859.7288806513</v>
      </c>
      <c r="E40" s="79"/>
      <c r="F40" s="87"/>
      <c r="G40" s="79"/>
      <c r="H40" s="87"/>
      <c r="I40" s="86"/>
      <c r="J40"/>
    </row>
    <row r="41" spans="2:10">
      <c r="B41" s="76"/>
      <c r="C41" s="79"/>
      <c r="D41" s="79"/>
      <c r="E41" s="79"/>
      <c r="F41" s="87"/>
      <c r="G41" s="79"/>
      <c r="H41" s="87"/>
      <c r="I41" s="86"/>
      <c r="J41"/>
    </row>
    <row r="42" spans="2:10">
      <c r="B42" s="76"/>
      <c r="C42" s="79"/>
      <c r="D42" s="79"/>
      <c r="E42" s="79"/>
      <c r="F42" s="87"/>
      <c r="G42" s="82"/>
      <c r="H42" s="87"/>
      <c r="I42" s="86"/>
      <c r="J42"/>
    </row>
    <row r="43" spans="2:10">
      <c r="B43" s="76"/>
      <c r="C43" s="79"/>
      <c r="D43" s="79"/>
      <c r="E43" s="79"/>
      <c r="F43" s="87"/>
      <c r="G43" s="82" t="s">
        <v>87</v>
      </c>
      <c r="H43" s="94">
        <f>F47*D19</f>
        <v>58887320.00114058</v>
      </c>
      <c r="I43" s="86"/>
      <c r="J43"/>
    </row>
    <row r="44" spans="2:10">
      <c r="B44" s="76"/>
      <c r="C44" s="79"/>
      <c r="D44" s="79"/>
      <c r="E44" s="79"/>
      <c r="F44" s="87"/>
      <c r="G44" s="82" t="s">
        <v>85</v>
      </c>
      <c r="H44" s="94">
        <f>MAX(H43-D7,0)</f>
        <v>0</v>
      </c>
      <c r="I44" s="86"/>
      <c r="J44"/>
    </row>
    <row r="45" spans="2:10">
      <c r="B45" s="76"/>
      <c r="C45" s="79"/>
      <c r="D45" s="79"/>
      <c r="E45" s="79"/>
      <c r="F45" s="87"/>
      <c r="G45" s="79"/>
      <c r="H45" s="87"/>
      <c r="I45" s="86"/>
      <c r="J45"/>
    </row>
    <row r="46" spans="2:10">
      <c r="B46" s="76"/>
      <c r="C46" s="79"/>
      <c r="D46" s="79"/>
      <c r="E46" s="82" t="s">
        <v>82</v>
      </c>
      <c r="F46" s="94">
        <f>D39*D20</f>
        <v>48531473.609083079</v>
      </c>
      <c r="G46" s="79"/>
      <c r="H46" s="87"/>
      <c r="I46" s="86"/>
      <c r="J46"/>
    </row>
    <row r="47" spans="2:10">
      <c r="B47" s="76"/>
      <c r="C47" s="79"/>
      <c r="D47" s="79"/>
      <c r="E47" s="82" t="s">
        <v>89</v>
      </c>
      <c r="F47" s="94">
        <f>F46-D9</f>
        <v>47631473.609083079</v>
      </c>
      <c r="G47" s="79"/>
      <c r="H47" s="87"/>
      <c r="I47" s="86"/>
      <c r="J47"/>
    </row>
    <row r="48" spans="2:10">
      <c r="B48" s="76"/>
      <c r="C48" s="79"/>
      <c r="D48" s="79"/>
      <c r="E48" s="82" t="s">
        <v>85</v>
      </c>
      <c r="F48" s="94">
        <f>(H37*D25)+(H52*D26)/(1+D17)</f>
        <v>0</v>
      </c>
      <c r="G48" s="79"/>
      <c r="H48" s="87"/>
      <c r="I48" s="86"/>
      <c r="J48"/>
    </row>
    <row r="49" spans="2:10">
      <c r="B49" s="76"/>
      <c r="C49" s="79"/>
      <c r="D49" s="79"/>
      <c r="E49" s="79"/>
      <c r="F49" s="85"/>
      <c r="G49" s="79"/>
      <c r="H49" s="87"/>
      <c r="I49" s="86"/>
      <c r="J49"/>
    </row>
    <row r="50" spans="2:10">
      <c r="B50" s="76"/>
      <c r="C50" s="79"/>
      <c r="D50" s="79"/>
      <c r="E50" s="79"/>
      <c r="F50" s="85"/>
      <c r="G50" s="82"/>
      <c r="H50" s="87"/>
      <c r="I50" s="86"/>
      <c r="J50"/>
    </row>
    <row r="51" spans="2:10">
      <c r="B51" s="76"/>
      <c r="C51" s="79"/>
      <c r="D51" s="79"/>
      <c r="E51" s="79"/>
      <c r="F51" s="85"/>
      <c r="G51" s="82" t="s">
        <v>90</v>
      </c>
      <c r="H51" s="94">
        <f>F47*D20</f>
        <v>38527093.407015882</v>
      </c>
      <c r="I51" s="86"/>
      <c r="J51"/>
    </row>
    <row r="52" spans="2:10">
      <c r="B52" s="76"/>
      <c r="C52" s="79"/>
      <c r="D52" s="79"/>
      <c r="E52" s="79"/>
      <c r="F52" s="85"/>
      <c r="G52" s="82" t="s">
        <v>85</v>
      </c>
      <c r="H52" s="94">
        <f>MAX(H51-D7,0)</f>
        <v>0</v>
      </c>
      <c r="I52" s="86"/>
      <c r="J52"/>
    </row>
    <row r="53" spans="2:10" ht="15.75" thickBot="1">
      <c r="B53" s="89"/>
      <c r="C53" s="90"/>
      <c r="D53" s="90"/>
      <c r="E53" s="90"/>
      <c r="F53" s="91"/>
      <c r="G53" s="90"/>
      <c r="H53" s="91"/>
      <c r="I53" s="92"/>
      <c r="J53"/>
    </row>
    <row r="54" spans="2:10">
      <c r="J54" s="58"/>
    </row>
    <row r="55" spans="2:10">
      <c r="J55" s="58"/>
    </row>
    <row r="56" spans="2:10">
      <c r="J56" s="58"/>
    </row>
    <row r="57" spans="2:10">
      <c r="J57" s="58"/>
    </row>
    <row r="58" spans="2:10">
      <c r="J58" s="58"/>
    </row>
    <row r="59" spans="2:10">
      <c r="J59" s="58"/>
    </row>
    <row r="60" spans="2:10">
      <c r="J60" s="58"/>
    </row>
    <row r="61" spans="2:10">
      <c r="J61" s="58"/>
    </row>
  </sheetData>
  <phoneticPr fontId="0" type="noConversion"/>
  <pageMargins left="0.75" right="0.75" top="1" bottom="1" header="0.5" footer="0.5"/>
  <pageSetup scale="6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A1:K55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20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18</v>
      </c>
      <c r="D7" s="40">
        <v>30000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1</v>
      </c>
      <c r="D8" s="9">
        <v>50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2</v>
      </c>
      <c r="D9" s="11">
        <v>50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3</v>
      </c>
      <c r="D10" s="12">
        <v>60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4</v>
      </c>
      <c r="D11" s="13">
        <v>0.06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5</v>
      </c>
      <c r="D12" s="13">
        <v>0.56000000000000005</v>
      </c>
      <c r="E12" s="10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14"/>
      <c r="C13" s="15"/>
      <c r="D13" s="15"/>
      <c r="E13" s="16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3" t="s">
        <v>6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7"/>
      <c r="C17" s="18"/>
      <c r="D17" s="18"/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20"/>
      <c r="C18" s="21" t="s">
        <v>8</v>
      </c>
      <c r="D18" s="22">
        <f>((((LN($D$8/$D$9))+(($D$11+(POWER($D$12,2)/2))*($D$10/12))))/($D$12*SQRT(($D$10/12))))</f>
        <v>0.8656777455749185</v>
      </c>
      <c r="E18" s="23"/>
      <c r="F18" s="1"/>
      <c r="G18" s="1"/>
      <c r="H18" s="1"/>
      <c r="I18" s="1"/>
      <c r="J18" s="1"/>
      <c r="K18" s="1"/>
    </row>
    <row r="19" spans="1:11" ht="15.75" customHeight="1">
      <c r="A19" s="1"/>
      <c r="B19" s="20"/>
      <c r="C19" s="21" t="s">
        <v>9</v>
      </c>
      <c r="D19" s="22">
        <f>$D$18-$D$12*SQRT($D$10/12)</f>
        <v>-0.38652032182496399</v>
      </c>
      <c r="E19" s="23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 t="s">
        <v>10</v>
      </c>
      <c r="D20" s="22">
        <f>NORMSDIST(D18)</f>
        <v>0.80666654629410128</v>
      </c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 t="s">
        <v>11</v>
      </c>
      <c r="D21" s="22">
        <f>NORMSDIST(D19)</f>
        <v>0.34955567757404976</v>
      </c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/>
      <c r="D22" s="24"/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 t="s">
        <v>7</v>
      </c>
      <c r="D23" s="41">
        <f>($D$8*$D$20)-(($D$9*EXP(-$D$11*($D$10/12))*$D$21))</f>
        <v>27.385466560225076</v>
      </c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/>
      <c r="D24" s="41"/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19</v>
      </c>
      <c r="D25" s="25">
        <f>D23*D7</f>
        <v>821563.99680675229</v>
      </c>
      <c r="E25" s="23"/>
      <c r="F25" s="1"/>
      <c r="G25" s="1"/>
      <c r="H25" s="1"/>
      <c r="I25" s="1"/>
      <c r="J25" s="1"/>
      <c r="K25" s="1"/>
    </row>
    <row r="26" spans="1:11" ht="15.75" customHeight="1" thickBot="1">
      <c r="A26" s="1"/>
      <c r="B26" s="26"/>
      <c r="C26" s="27"/>
      <c r="D26" s="27"/>
      <c r="E26" s="28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/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2"/>
  <dimension ref="A1:K63"/>
  <sheetViews>
    <sheetView workbookViewId="0"/>
  </sheetViews>
  <sheetFormatPr defaultRowHeight="12.75"/>
  <cols>
    <col min="2" max="2" width="3.140625" customWidth="1"/>
    <col min="3" max="3" width="23.7109375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21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22</v>
      </c>
      <c r="D7" s="43">
        <v>410000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25</v>
      </c>
      <c r="D8" s="43">
        <v>3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23</v>
      </c>
      <c r="D9" s="13">
        <v>0.09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/>
      <c r="D10" s="8"/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18</v>
      </c>
      <c r="D11" s="40">
        <v>15000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1</v>
      </c>
      <c r="D12" s="9">
        <v>37</v>
      </c>
      <c r="E12" s="10"/>
      <c r="F12" s="1"/>
      <c r="G12" s="1"/>
      <c r="H12" s="1"/>
      <c r="I12" s="1"/>
      <c r="J12" s="1"/>
      <c r="K12" s="1"/>
    </row>
    <row r="13" spans="1:11" ht="15.75" customHeight="1">
      <c r="A13" s="1"/>
      <c r="B13" s="7"/>
      <c r="C13" s="8" t="s">
        <v>2</v>
      </c>
      <c r="D13" s="11">
        <v>37</v>
      </c>
      <c r="E13" s="10"/>
      <c r="F13" s="1"/>
      <c r="G13" s="1"/>
      <c r="H13" s="1"/>
      <c r="I13" s="1"/>
      <c r="J13" s="1"/>
      <c r="K13" s="1"/>
    </row>
    <row r="14" spans="1:11" ht="15.75" customHeight="1">
      <c r="A14" s="1"/>
      <c r="B14" s="7"/>
      <c r="C14" s="8" t="s">
        <v>3</v>
      </c>
      <c r="D14" s="12">
        <v>36</v>
      </c>
      <c r="E14" s="10"/>
      <c r="F14" s="1"/>
      <c r="G14" s="1"/>
      <c r="H14" s="1"/>
      <c r="I14" s="1"/>
      <c r="J14" s="1"/>
      <c r="K14" s="1"/>
    </row>
    <row r="15" spans="1:11" ht="15.75" customHeight="1">
      <c r="A15" s="1"/>
      <c r="B15" s="7"/>
      <c r="C15" s="8" t="s">
        <v>4</v>
      </c>
      <c r="D15" s="13">
        <v>0.05</v>
      </c>
      <c r="E15" s="10"/>
      <c r="F15" s="1"/>
      <c r="G15" s="1"/>
      <c r="H15" s="1"/>
      <c r="I15" s="1"/>
      <c r="J15" s="1"/>
      <c r="K15" s="1"/>
    </row>
    <row r="16" spans="1:11" ht="15.75" customHeight="1">
      <c r="A16" s="1"/>
      <c r="B16" s="7"/>
      <c r="C16" s="8" t="s">
        <v>5</v>
      </c>
      <c r="D16" s="13">
        <v>0.65</v>
      </c>
      <c r="E16" s="10"/>
      <c r="F16" s="1"/>
      <c r="G16" s="1"/>
      <c r="H16" s="1"/>
      <c r="I16" s="1"/>
      <c r="J16" s="1"/>
      <c r="K16" s="1"/>
    </row>
    <row r="17" spans="1:11" ht="15.75" customHeight="1" thickBot="1">
      <c r="A17" s="1"/>
      <c r="B17" s="14"/>
      <c r="C17" s="15"/>
      <c r="D17" s="15"/>
      <c r="E17" s="16"/>
      <c r="F17" s="1"/>
      <c r="G17" s="1"/>
      <c r="H17" s="1"/>
      <c r="I17" s="1"/>
      <c r="J17" s="1"/>
      <c r="K17" s="1"/>
    </row>
    <row r="18" spans="1:1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.75" customHeight="1">
      <c r="A19" s="1"/>
      <c r="B19" s="1"/>
      <c r="C19" s="3" t="s">
        <v>6</v>
      </c>
      <c r="D19" s="1"/>
      <c r="E19" s="1"/>
      <c r="F19" s="1"/>
      <c r="G19" s="1"/>
      <c r="H19" s="1"/>
      <c r="I19" s="1"/>
      <c r="J19" s="1"/>
      <c r="K19" s="1"/>
    </row>
    <row r="20" spans="1:11" ht="15.75" customHeight="1" thickBo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.75" customHeight="1">
      <c r="A21" s="1"/>
      <c r="B21" s="17"/>
      <c r="C21" s="18"/>
      <c r="D21" s="18"/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 t="s">
        <v>24</v>
      </c>
      <c r="D22" s="44">
        <f>PV(D9,D8,-D7)</f>
        <v>1037830.8130551522</v>
      </c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/>
      <c r="D23" s="21"/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 t="s">
        <v>8</v>
      </c>
      <c r="D24" s="22">
        <f>((((LN($D$12/$D$13))+(($D$15+(POWER($D$16,2)/2))*($D$14/12))))/($D$16*SQRT(($D$14/12))))</f>
        <v>0.69615118996518366</v>
      </c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9</v>
      </c>
      <c r="D25" s="22">
        <f>$D$24-$D$16*SQRT($D$14/12)</f>
        <v>-0.42968183495458645</v>
      </c>
      <c r="E25" s="23"/>
      <c r="F25" s="1"/>
      <c r="G25" s="1"/>
      <c r="H25" s="1"/>
      <c r="I25" s="1"/>
      <c r="J25" s="1"/>
      <c r="K25" s="1"/>
    </row>
    <row r="26" spans="1:11" ht="15.75" customHeight="1">
      <c r="A26" s="1"/>
      <c r="B26" s="20"/>
      <c r="C26" s="21" t="s">
        <v>10</v>
      </c>
      <c r="D26" s="22">
        <f>NORMSDIST(D24)</f>
        <v>0.75683292428987969</v>
      </c>
      <c r="E26" s="23"/>
      <c r="F26" s="1"/>
      <c r="G26" s="1"/>
      <c r="H26" s="1"/>
      <c r="I26" s="1"/>
      <c r="J26" s="1"/>
      <c r="K26" s="1"/>
    </row>
    <row r="27" spans="1:11" ht="15.75" customHeight="1">
      <c r="A27" s="1"/>
      <c r="B27" s="20"/>
      <c r="C27" s="21" t="s">
        <v>11</v>
      </c>
      <c r="D27" s="22">
        <f>NORMSDIST(D25)</f>
        <v>0.33371354946399445</v>
      </c>
      <c r="E27" s="23"/>
      <c r="F27" s="1"/>
      <c r="G27" s="1"/>
      <c r="H27" s="1"/>
      <c r="I27" s="1"/>
      <c r="J27" s="1"/>
      <c r="K27" s="1"/>
    </row>
    <row r="28" spans="1:11" ht="15.75" customHeight="1">
      <c r="A28" s="1"/>
      <c r="B28" s="20"/>
      <c r="C28" s="21"/>
      <c r="D28" s="24"/>
      <c r="E28" s="23"/>
      <c r="F28" s="1"/>
      <c r="G28" s="1"/>
      <c r="H28" s="1"/>
      <c r="I28" s="1"/>
      <c r="J28" s="1"/>
      <c r="K28" s="1"/>
    </row>
    <row r="29" spans="1:11" ht="15.75" customHeight="1">
      <c r="A29" s="1"/>
      <c r="B29" s="20"/>
      <c r="C29" s="21" t="s">
        <v>7</v>
      </c>
      <c r="D29" s="41">
        <f>($D$12*$D$26)-(($D$13*EXP(-$D$15*($D$14/12))*$D$27))</f>
        <v>17.375311385728757</v>
      </c>
      <c r="E29" s="23"/>
      <c r="F29" s="1"/>
      <c r="G29" s="1"/>
      <c r="H29" s="1"/>
      <c r="I29" s="1"/>
      <c r="J29" s="1"/>
      <c r="K29" s="1"/>
    </row>
    <row r="30" spans="1:11" ht="15.75" customHeight="1">
      <c r="A30" s="1"/>
      <c r="B30" s="20"/>
      <c r="C30" s="21"/>
      <c r="D30" s="41"/>
      <c r="E30" s="23"/>
      <c r="F30" s="1"/>
      <c r="G30" s="1"/>
      <c r="H30" s="1"/>
      <c r="I30" s="1"/>
      <c r="J30" s="1"/>
      <c r="K30" s="1"/>
    </row>
    <row r="31" spans="1:11" ht="15.75" customHeight="1">
      <c r="A31" s="1"/>
      <c r="B31" s="20"/>
      <c r="C31" s="21" t="s">
        <v>19</v>
      </c>
      <c r="D31" s="41">
        <f>D29*D11</f>
        <v>260629.67078593135</v>
      </c>
      <c r="E31" s="23"/>
      <c r="F31" s="1"/>
      <c r="G31" s="1"/>
      <c r="H31" s="1"/>
      <c r="I31" s="1"/>
      <c r="J31" s="1"/>
      <c r="K31" s="1"/>
    </row>
    <row r="32" spans="1:11" ht="15.75" customHeight="1">
      <c r="A32" s="1"/>
      <c r="B32" s="20"/>
      <c r="C32" s="21"/>
      <c r="D32" s="41"/>
      <c r="E32" s="23"/>
      <c r="F32" s="1"/>
      <c r="G32" s="1"/>
      <c r="H32" s="1"/>
      <c r="I32" s="1"/>
      <c r="J32" s="1"/>
      <c r="K32" s="1"/>
    </row>
    <row r="33" spans="1:11" ht="15.75" customHeight="1">
      <c r="A33" s="1"/>
      <c r="B33" s="20"/>
      <c r="C33" s="21" t="s">
        <v>46</v>
      </c>
      <c r="D33" s="25">
        <f>D22+D31</f>
        <v>1298460.4838410835</v>
      </c>
      <c r="E33" s="23"/>
      <c r="F33" s="1"/>
      <c r="G33" s="1"/>
      <c r="H33" s="1"/>
      <c r="I33" s="1"/>
      <c r="J33" s="1"/>
      <c r="K33" s="1"/>
    </row>
    <row r="34" spans="1:11" ht="15.75" customHeight="1" thickBot="1">
      <c r="A34" s="1"/>
      <c r="B34" s="26"/>
      <c r="C34" s="27"/>
      <c r="D34" s="27"/>
      <c r="E34" s="28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5"/>
  <dimension ref="A1:K67"/>
  <sheetViews>
    <sheetView workbookViewId="0"/>
  </sheetViews>
  <sheetFormatPr defaultRowHeight="12.75"/>
  <cols>
    <col min="2" max="2" width="3.140625" customWidth="1"/>
    <col min="3" max="3" width="27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26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41</v>
      </c>
      <c r="D7" s="40">
        <v>5000000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43</v>
      </c>
      <c r="D8" s="40">
        <v>3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42</v>
      </c>
      <c r="D9" s="51">
        <v>3.65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27</v>
      </c>
      <c r="D10" s="51">
        <v>3.3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5</v>
      </c>
      <c r="D11" s="13">
        <v>0.57999999999999996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4</v>
      </c>
      <c r="D12" s="47">
        <v>0.06</v>
      </c>
      <c r="E12" s="10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14"/>
      <c r="C13" s="15"/>
      <c r="D13" s="15"/>
      <c r="E13" s="16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3" t="s">
        <v>6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7"/>
      <c r="C17" s="18"/>
      <c r="D17" s="18"/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20"/>
      <c r="C18" s="52" t="s">
        <v>44</v>
      </c>
      <c r="D18" s="22">
        <f>EXP(D11/SQRT(12/D8))</f>
        <v>1.3364274880254721</v>
      </c>
      <c r="E18" s="23"/>
      <c r="F18" s="1"/>
      <c r="G18" s="1"/>
      <c r="H18" s="1"/>
      <c r="I18" s="1"/>
      <c r="J18" s="1"/>
      <c r="K18" s="1"/>
    </row>
    <row r="19" spans="1:11" ht="15.75" customHeight="1">
      <c r="A19" s="1"/>
      <c r="B19" s="20"/>
      <c r="C19" s="52" t="s">
        <v>45</v>
      </c>
      <c r="D19" s="22">
        <f>1/D18</f>
        <v>0.74826356757856527</v>
      </c>
      <c r="E19" s="23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/>
      <c r="D20" s="21"/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 t="s">
        <v>30</v>
      </c>
      <c r="D21" s="45">
        <f>D18-1</f>
        <v>0.33642748802547207</v>
      </c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 t="s">
        <v>31</v>
      </c>
      <c r="D22" s="45">
        <f>-(1-D19)</f>
        <v>-0.25173643242143473</v>
      </c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/>
      <c r="D23" s="53"/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 t="s">
        <v>96</v>
      </c>
      <c r="D24" s="99">
        <f>D10*(1+D21)</f>
        <v>4.4102107104840576</v>
      </c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97</v>
      </c>
      <c r="D25" s="99">
        <f>D10*(1+D22)</f>
        <v>2.4692697730092652</v>
      </c>
      <c r="E25" s="23"/>
      <c r="F25" s="1"/>
      <c r="G25" s="1"/>
      <c r="H25" s="1"/>
      <c r="I25" s="1"/>
      <c r="J25" s="1"/>
      <c r="K25" s="1"/>
    </row>
    <row r="26" spans="1:11" ht="15.75" customHeight="1">
      <c r="A26" s="1"/>
      <c r="B26" s="20"/>
      <c r="C26" s="21"/>
      <c r="D26" s="22"/>
      <c r="E26" s="23"/>
      <c r="F26" s="1"/>
      <c r="G26" s="1"/>
      <c r="H26" s="1"/>
      <c r="I26" s="1"/>
      <c r="J26" s="1"/>
      <c r="K26" s="1"/>
    </row>
    <row r="27" spans="1:11" ht="15.75" customHeight="1">
      <c r="A27" s="1"/>
      <c r="B27" s="20"/>
      <c r="C27" s="21" t="s">
        <v>28</v>
      </c>
      <c r="D27" s="22">
        <f>((D12/(12/D8))-D22)/(D21-D22)</f>
        <v>0.45350696149257064</v>
      </c>
      <c r="E27" s="23"/>
      <c r="F27" s="1"/>
      <c r="G27" s="1"/>
      <c r="H27" s="1"/>
      <c r="I27" s="1"/>
      <c r="J27" s="1"/>
      <c r="K27" s="1"/>
    </row>
    <row r="28" spans="1:11" ht="15.75" customHeight="1">
      <c r="A28" s="1"/>
      <c r="B28" s="20"/>
      <c r="C28" s="21" t="s">
        <v>29</v>
      </c>
      <c r="D28" s="22">
        <f>1-D27</f>
        <v>0.54649303850742936</v>
      </c>
      <c r="E28" s="23"/>
      <c r="F28" s="1"/>
      <c r="G28" s="1"/>
      <c r="H28" s="1"/>
      <c r="I28" s="1"/>
      <c r="J28" s="1"/>
      <c r="K28" s="1"/>
    </row>
    <row r="29" spans="1:11" ht="15.75" customHeight="1">
      <c r="A29" s="1"/>
      <c r="B29" s="20"/>
      <c r="C29" s="21"/>
      <c r="D29" s="22"/>
      <c r="E29" s="23"/>
      <c r="F29" s="1"/>
      <c r="G29" s="1"/>
      <c r="H29" s="1"/>
      <c r="I29" s="1"/>
      <c r="J29" s="1"/>
      <c r="K29" s="1"/>
    </row>
    <row r="30" spans="1:11" ht="15.75" customHeight="1">
      <c r="A30" s="1"/>
      <c r="B30" s="20"/>
      <c r="C30" s="21" t="s">
        <v>37</v>
      </c>
      <c r="D30" s="54">
        <f>MAX((D10*D18)-D9,0)</f>
        <v>0.76021071048405764</v>
      </c>
      <c r="E30" s="23"/>
      <c r="F30" s="1"/>
      <c r="G30" s="1"/>
      <c r="H30" s="1"/>
      <c r="I30" s="1"/>
      <c r="J30" s="1"/>
      <c r="K30" s="1"/>
    </row>
    <row r="31" spans="1:11" ht="15.75" customHeight="1">
      <c r="A31" s="1"/>
      <c r="B31" s="20"/>
      <c r="C31" s="21" t="s">
        <v>38</v>
      </c>
      <c r="D31" s="48">
        <f>MAX((D10*D19)-D7,0)</f>
        <v>0</v>
      </c>
      <c r="E31" s="23"/>
      <c r="F31" s="1"/>
      <c r="G31" s="1"/>
      <c r="H31" s="1"/>
      <c r="I31" s="1"/>
      <c r="J31" s="1"/>
      <c r="K31" s="1"/>
    </row>
    <row r="32" spans="1:11" ht="15.75" customHeight="1">
      <c r="A32" s="1"/>
      <c r="B32" s="20"/>
      <c r="C32" s="21"/>
      <c r="D32" s="48"/>
      <c r="E32" s="23"/>
      <c r="F32" s="1"/>
      <c r="G32" s="1"/>
      <c r="H32" s="1"/>
      <c r="I32" s="1"/>
      <c r="J32" s="1"/>
      <c r="K32" s="1"/>
    </row>
    <row r="33" spans="1:11" ht="15.75" customHeight="1">
      <c r="A33" s="1"/>
      <c r="B33" s="20"/>
      <c r="C33" s="21" t="s">
        <v>39</v>
      </c>
      <c r="D33" s="54">
        <f>(D30*D27)+(D28*D31)</f>
        <v>0.34476084940573332</v>
      </c>
      <c r="E33" s="23"/>
      <c r="F33" s="1"/>
      <c r="G33" s="1"/>
      <c r="H33" s="1"/>
      <c r="I33" s="1"/>
      <c r="J33" s="1"/>
      <c r="K33" s="1"/>
    </row>
    <row r="34" spans="1:11" ht="15.75" customHeight="1">
      <c r="A34" s="1"/>
      <c r="B34" s="20"/>
      <c r="C34" s="21"/>
      <c r="D34" s="22"/>
      <c r="E34" s="23"/>
      <c r="F34" s="1"/>
      <c r="G34" s="1"/>
      <c r="H34" s="1"/>
      <c r="I34" s="1"/>
      <c r="J34" s="1"/>
      <c r="K34" s="1"/>
    </row>
    <row r="35" spans="1:11" ht="15.75" customHeight="1">
      <c r="A35" s="1"/>
      <c r="B35" s="20"/>
      <c r="C35" s="21" t="s">
        <v>32</v>
      </c>
      <c r="D35" s="55">
        <f>((D27*D30)+(D28*D31))/(1+(D12/(12/D8)))</f>
        <v>0.33966586148348116</v>
      </c>
      <c r="E35" s="23"/>
      <c r="F35" s="1"/>
      <c r="G35" s="1"/>
      <c r="H35" s="1"/>
      <c r="I35" s="1"/>
      <c r="J35" s="1"/>
      <c r="K35" s="1"/>
    </row>
    <row r="36" spans="1:11" ht="15.75" customHeight="1">
      <c r="A36" s="1"/>
      <c r="B36" s="20"/>
      <c r="C36" s="21"/>
      <c r="D36" s="41"/>
      <c r="E36" s="23"/>
      <c r="F36" s="1"/>
      <c r="G36" s="1"/>
      <c r="H36" s="1"/>
      <c r="I36" s="1"/>
      <c r="J36" s="1"/>
      <c r="K36" s="1"/>
    </row>
    <row r="37" spans="1:11" ht="15.75" customHeight="1">
      <c r="A37" s="1"/>
      <c r="B37" s="20"/>
      <c r="C37" s="21" t="s">
        <v>46</v>
      </c>
      <c r="D37" s="25">
        <f>D35*D7</f>
        <v>1698329.3074174058</v>
      </c>
      <c r="E37" s="23"/>
      <c r="F37" s="1"/>
      <c r="G37" s="1"/>
      <c r="H37" s="1"/>
      <c r="I37" s="1"/>
      <c r="J37" s="1"/>
      <c r="K37" s="1"/>
    </row>
    <row r="38" spans="1:11" ht="15.75" customHeight="1" thickBot="1">
      <c r="A38" s="1"/>
      <c r="B38" s="26"/>
      <c r="C38" s="27"/>
      <c r="D38" s="27"/>
      <c r="E38" s="28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/>
    <row r="53" spans="1:11" ht="15.75" customHeight="1"/>
    <row r="54" spans="1:11" ht="15.75" customHeight="1"/>
    <row r="55" spans="1:11" ht="15.75" customHeight="1"/>
    <row r="56" spans="1:11" ht="15.75" customHeight="1"/>
    <row r="57" spans="1:11" ht="15.75" customHeight="1"/>
    <row r="58" spans="1:11" ht="15.75" customHeight="1"/>
    <row r="59" spans="1:11" ht="15.75" customHeight="1"/>
    <row r="60" spans="1:11" ht="15.75" customHeight="1"/>
    <row r="61" spans="1:11" ht="15.75" customHeight="1"/>
    <row r="62" spans="1:11" ht="15.75" customHeight="1"/>
    <row r="63" spans="1:11" ht="15.75" customHeight="1"/>
    <row r="64" spans="1:11" ht="15.75" customHeight="1"/>
    <row r="65" ht="15.75" customHeight="1"/>
    <row r="66" ht="15.75" customHeight="1"/>
    <row r="67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3"/>
  <dimension ref="A1:K61"/>
  <sheetViews>
    <sheetView workbookViewId="0"/>
  </sheetViews>
  <sheetFormatPr defaultRowHeight="12.75"/>
  <cols>
    <col min="2" max="2" width="3.140625" customWidth="1"/>
    <col min="3" max="3" width="27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40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33</v>
      </c>
      <c r="D7" s="43">
        <v>25000000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27</v>
      </c>
      <c r="D8" s="43">
        <v>23500000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34</v>
      </c>
      <c r="D9" s="43">
        <v>26800000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35</v>
      </c>
      <c r="D10" s="46">
        <v>22000000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4</v>
      </c>
      <c r="D11" s="47">
        <v>4.8000000000000001E-2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36</v>
      </c>
      <c r="D12" s="9">
        <v>750000</v>
      </c>
      <c r="E12" s="10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14"/>
      <c r="C13" s="15"/>
      <c r="D13" s="15"/>
      <c r="E13" s="16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3" t="s">
        <v>6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7"/>
      <c r="C17" s="18"/>
      <c r="D17" s="18"/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20"/>
      <c r="C18" s="21" t="s">
        <v>30</v>
      </c>
      <c r="D18" s="45">
        <f>(D9-D8)/D8</f>
        <v>0.14042553191489363</v>
      </c>
      <c r="E18" s="23"/>
      <c r="F18" s="1"/>
      <c r="G18" s="1"/>
      <c r="H18" s="1"/>
      <c r="I18" s="1"/>
      <c r="J18" s="1"/>
      <c r="K18" s="1"/>
    </row>
    <row r="19" spans="1:11" ht="15.75" customHeight="1">
      <c r="A19" s="1"/>
      <c r="B19" s="20"/>
      <c r="C19" s="21" t="s">
        <v>31</v>
      </c>
      <c r="D19" s="45">
        <f>(D10-D8)/D8</f>
        <v>-6.3829787234042548E-2</v>
      </c>
      <c r="E19" s="23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/>
      <c r="D20" s="22"/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 t="s">
        <v>28</v>
      </c>
      <c r="D21" s="22">
        <f>(D11-D19)/(D18-D19)</f>
        <v>0.54749999999999999</v>
      </c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 t="s">
        <v>29</v>
      </c>
      <c r="D22" s="22">
        <f>1-D21</f>
        <v>0.45250000000000001</v>
      </c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/>
      <c r="D23" s="22"/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 t="s">
        <v>37</v>
      </c>
      <c r="D24" s="48">
        <f>MAX(D9-D7,0)</f>
        <v>1800000</v>
      </c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38</v>
      </c>
      <c r="D25" s="48">
        <f>MAX(D10-D7,0)</f>
        <v>0</v>
      </c>
      <c r="E25" s="23"/>
      <c r="F25" s="1"/>
      <c r="G25" s="1"/>
      <c r="H25" s="1"/>
      <c r="I25" s="1"/>
      <c r="J25" s="1"/>
      <c r="K25" s="1"/>
    </row>
    <row r="26" spans="1:11" ht="15.75" customHeight="1">
      <c r="A26" s="1"/>
      <c r="B26" s="20"/>
      <c r="C26" s="21"/>
      <c r="D26" s="48"/>
      <c r="E26" s="23"/>
      <c r="F26" s="1"/>
      <c r="G26" s="1"/>
      <c r="H26" s="1"/>
      <c r="I26" s="1"/>
      <c r="J26" s="1"/>
      <c r="K26" s="1"/>
    </row>
    <row r="27" spans="1:11" ht="15.75" customHeight="1">
      <c r="A27" s="1"/>
      <c r="B27" s="20"/>
      <c r="C27" s="21" t="s">
        <v>39</v>
      </c>
      <c r="D27" s="50">
        <f>(D24*D21)+(D22*D25)</f>
        <v>985500</v>
      </c>
      <c r="E27" s="23"/>
      <c r="F27" s="1"/>
      <c r="G27" s="1"/>
      <c r="H27" s="1"/>
      <c r="I27" s="1"/>
      <c r="J27" s="1"/>
      <c r="K27" s="1"/>
    </row>
    <row r="28" spans="1:11" ht="15.75" customHeight="1">
      <c r="A28" s="1"/>
      <c r="B28" s="20"/>
      <c r="C28" s="21"/>
      <c r="D28" s="22"/>
      <c r="E28" s="23"/>
      <c r="F28" s="1"/>
      <c r="G28" s="1"/>
      <c r="H28" s="1"/>
      <c r="I28" s="1"/>
      <c r="J28" s="1"/>
      <c r="K28" s="1"/>
    </row>
    <row r="29" spans="1:11" ht="15.75" customHeight="1">
      <c r="A29" s="1"/>
      <c r="B29" s="20"/>
      <c r="C29" s="21" t="s">
        <v>32</v>
      </c>
      <c r="D29" s="44">
        <f>((D21*D24)+(D22*D25))/(1+D11)</f>
        <v>940362.59541984729</v>
      </c>
      <c r="E29" s="23"/>
      <c r="F29" s="1"/>
      <c r="G29" s="1"/>
      <c r="H29" s="1"/>
      <c r="I29" s="1"/>
      <c r="J29" s="1"/>
      <c r="K29" s="1"/>
    </row>
    <row r="30" spans="1:11" ht="15.75" customHeight="1">
      <c r="A30" s="1"/>
      <c r="B30" s="20"/>
      <c r="C30" s="21"/>
      <c r="D30" s="41"/>
      <c r="E30" s="23"/>
      <c r="F30" s="1"/>
      <c r="G30" s="1"/>
      <c r="H30" s="1"/>
      <c r="I30" s="1"/>
      <c r="J30" s="1"/>
      <c r="K30" s="1"/>
    </row>
    <row r="31" spans="1:11" ht="15.75" customHeight="1">
      <c r="A31" s="1"/>
      <c r="B31" s="20"/>
      <c r="C31" s="49" t="str">
        <f>IF(D29&gt;D12,"Do not sell the land.","Sell the land.")</f>
        <v>Do not sell the land.</v>
      </c>
      <c r="D31" s="42"/>
      <c r="E31" s="23"/>
      <c r="F31" s="1"/>
      <c r="G31" s="1"/>
      <c r="H31" s="1"/>
      <c r="I31" s="1"/>
      <c r="J31" s="1"/>
      <c r="K31" s="1"/>
    </row>
    <row r="32" spans="1:11" ht="15.75" customHeight="1" thickBot="1">
      <c r="A32" s="1"/>
      <c r="B32" s="26"/>
      <c r="C32" s="27"/>
      <c r="D32" s="27"/>
      <c r="E32" s="28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4"/>
  <dimension ref="A1:K55"/>
  <sheetViews>
    <sheetView workbookViewId="0"/>
  </sheetViews>
  <sheetFormatPr defaultRowHeight="12.75"/>
  <cols>
    <col min="2" max="2" width="3.140625" customWidth="1"/>
    <col min="3" max="3" width="24.710937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47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53</v>
      </c>
      <c r="D7" s="9">
        <v>93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48</v>
      </c>
      <c r="D8" s="40">
        <v>435000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49</v>
      </c>
      <c r="D9" s="11">
        <v>75000000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3</v>
      </c>
      <c r="D10" s="12">
        <v>12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4</v>
      </c>
      <c r="D11" s="56">
        <v>0.04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5</v>
      </c>
      <c r="D12" s="13">
        <v>0.5</v>
      </c>
      <c r="E12" s="10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14"/>
      <c r="C13" s="15"/>
      <c r="D13" s="15"/>
      <c r="E13" s="16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3" t="s">
        <v>6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7"/>
      <c r="C17" s="18"/>
      <c r="D17" s="18"/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20"/>
      <c r="C18" s="21" t="s">
        <v>51</v>
      </c>
      <c r="D18" s="48">
        <f>D8*D7</f>
        <v>40455000</v>
      </c>
      <c r="E18" s="23"/>
      <c r="F18" s="1"/>
      <c r="G18" s="1"/>
      <c r="H18" s="1"/>
      <c r="I18" s="1"/>
      <c r="J18" s="1"/>
      <c r="K18" s="1"/>
    </row>
    <row r="19" spans="1:11" ht="15.75" customHeight="1">
      <c r="A19" s="1"/>
      <c r="B19" s="20"/>
      <c r="C19" s="21"/>
      <c r="D19" s="21"/>
      <c r="E19" s="23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 t="s">
        <v>8</v>
      </c>
      <c r="D20" s="22">
        <f>((((LN(D18/D9))+((D11+(D12*D12)/2))*(D10/12))))/(D12*SQRT((D10/12)))</f>
        <v>-0.90459573655301484</v>
      </c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 t="s">
        <v>9</v>
      </c>
      <c r="D21" s="22">
        <f>$D$20-$D$12*SQRT($D$10/12)</f>
        <v>-1.4045957365530148</v>
      </c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 t="s">
        <v>10</v>
      </c>
      <c r="D22" s="22">
        <f>NORMSDIST(D20)</f>
        <v>0.1828397974150601</v>
      </c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 t="s">
        <v>11</v>
      </c>
      <c r="D23" s="22">
        <f>NORMSDIST(D21)</f>
        <v>8.0070762571696333E-2</v>
      </c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/>
      <c r="D24" s="24"/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50</v>
      </c>
      <c r="D25" s="25">
        <f>(D18*D22)-((D9*EXP(-D11*(D10/12))*D23))</f>
        <v>1626948.2746443348</v>
      </c>
      <c r="E25" s="23"/>
      <c r="F25" s="1"/>
      <c r="G25" s="1"/>
      <c r="H25" s="1"/>
      <c r="I25" s="1"/>
      <c r="J25" s="1"/>
      <c r="K25" s="1"/>
    </row>
    <row r="26" spans="1:11" ht="15.75" customHeight="1" thickBot="1">
      <c r="A26" s="1"/>
      <c r="B26" s="26"/>
      <c r="C26" s="27"/>
      <c r="D26" s="27"/>
      <c r="E26" s="28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/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K61"/>
  <sheetViews>
    <sheetView workbookViewId="0"/>
  </sheetViews>
  <sheetFormatPr defaultRowHeight="12.75"/>
  <cols>
    <col min="2" max="2" width="3.140625" customWidth="1"/>
    <col min="3" max="3" width="25.140625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54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52</v>
      </c>
      <c r="D7" s="9">
        <v>670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55</v>
      </c>
      <c r="D8" s="40">
        <v>500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56</v>
      </c>
      <c r="D9" s="40">
        <v>55000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57</v>
      </c>
      <c r="D10" s="43">
        <v>18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58</v>
      </c>
      <c r="D11" s="43">
        <v>29</v>
      </c>
      <c r="E11" s="10"/>
      <c r="F11" s="1"/>
      <c r="G11" s="1"/>
      <c r="H11" s="1"/>
      <c r="I11" s="1"/>
      <c r="J11" s="1"/>
      <c r="K11" s="1"/>
    </row>
    <row r="12" spans="1:11" ht="15.75" customHeight="1">
      <c r="A12" s="1"/>
      <c r="B12" s="7"/>
      <c r="C12" s="8" t="s">
        <v>3</v>
      </c>
      <c r="D12" s="12">
        <v>6</v>
      </c>
      <c r="E12" s="10"/>
      <c r="F12" s="1"/>
      <c r="G12" s="1"/>
      <c r="H12" s="1"/>
      <c r="I12" s="1"/>
      <c r="J12" s="1"/>
      <c r="K12" s="1"/>
    </row>
    <row r="13" spans="1:11" ht="15.75" customHeight="1">
      <c r="A13" s="1"/>
      <c r="B13" s="7"/>
      <c r="C13" s="8" t="s">
        <v>4</v>
      </c>
      <c r="D13" s="56">
        <v>4.4999999999999998E-2</v>
      </c>
      <c r="E13" s="10"/>
      <c r="F13" s="1"/>
      <c r="G13" s="1"/>
      <c r="H13" s="1"/>
      <c r="I13" s="1"/>
      <c r="J13" s="1"/>
      <c r="K13" s="1"/>
    </row>
    <row r="14" spans="1:11" ht="15.75" customHeight="1">
      <c r="A14" s="1"/>
      <c r="B14" s="7"/>
      <c r="C14" s="8" t="s">
        <v>5</v>
      </c>
      <c r="D14" s="13">
        <v>0.45</v>
      </c>
      <c r="E14" s="10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4"/>
      <c r="C15" s="15"/>
      <c r="D15" s="15"/>
      <c r="E15" s="16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"/>
      <c r="C17" s="3" t="s">
        <v>6</v>
      </c>
      <c r="D17" s="1"/>
      <c r="E17" s="1"/>
      <c r="F17" s="1"/>
      <c r="G17" s="1"/>
      <c r="H17" s="1"/>
      <c r="I17" s="1"/>
      <c r="J17" s="1"/>
      <c r="K17" s="1"/>
    </row>
    <row r="18" spans="1:11" ht="15.75" customHeight="1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.75" customHeight="1">
      <c r="A19" s="1"/>
      <c r="B19" s="17"/>
      <c r="C19" s="18"/>
      <c r="D19" s="18"/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 t="s">
        <v>42</v>
      </c>
      <c r="D20" s="48">
        <f>D9*(D11-D10)</f>
        <v>605000</v>
      </c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/>
      <c r="D21" s="21"/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 t="s">
        <v>51</v>
      </c>
      <c r="D22" s="48">
        <f>D8*D7</f>
        <v>335000</v>
      </c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/>
      <c r="D23" s="21"/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 t="s">
        <v>8</v>
      </c>
      <c r="D24" s="22">
        <f>((((LN(D22/D20))+((D13+(D14*D14)/2))*(D12/12))))/(D14*SQRT((D12/12)))</f>
        <v>-1.6278318604050781</v>
      </c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 t="s">
        <v>9</v>
      </c>
      <c r="D25" s="22">
        <f>$D$24-$D$14*SQRT($D$12/12)</f>
        <v>-1.9460299119390245</v>
      </c>
      <c r="E25" s="23"/>
      <c r="F25" s="1"/>
      <c r="G25" s="1"/>
      <c r="H25" s="1"/>
      <c r="I25" s="1"/>
      <c r="J25" s="1"/>
      <c r="K25" s="1"/>
    </row>
    <row r="26" spans="1:11" ht="15.75" customHeight="1">
      <c r="A26" s="1"/>
      <c r="B26" s="20"/>
      <c r="C26" s="21" t="s">
        <v>10</v>
      </c>
      <c r="D26" s="22">
        <f>NORMSDIST(D24)</f>
        <v>5.1780271431273416E-2</v>
      </c>
      <c r="E26" s="23"/>
      <c r="F26" s="1"/>
      <c r="G26" s="1"/>
      <c r="H26" s="1"/>
      <c r="I26" s="1"/>
      <c r="J26" s="1"/>
      <c r="K26" s="1"/>
    </row>
    <row r="27" spans="1:11" ht="15.75" customHeight="1">
      <c r="A27" s="1"/>
      <c r="B27" s="20"/>
      <c r="C27" s="21" t="s">
        <v>11</v>
      </c>
      <c r="D27" s="22">
        <f>NORMSDIST(D25)</f>
        <v>2.582557332065467E-2</v>
      </c>
      <c r="E27" s="23"/>
      <c r="F27" s="1"/>
      <c r="G27" s="1"/>
      <c r="H27" s="1"/>
      <c r="I27" s="1"/>
      <c r="J27" s="1"/>
      <c r="K27" s="1"/>
    </row>
    <row r="28" spans="1:11" ht="15.75" customHeight="1">
      <c r="A28" s="1"/>
      <c r="B28" s="20"/>
      <c r="C28" s="21"/>
      <c r="D28" s="24"/>
      <c r="E28" s="23"/>
      <c r="F28" s="1"/>
      <c r="G28" s="1"/>
      <c r="H28" s="1"/>
      <c r="I28" s="1"/>
      <c r="J28" s="1"/>
      <c r="K28" s="1"/>
    </row>
    <row r="29" spans="1:11" ht="15.75" customHeight="1">
      <c r="A29" s="1"/>
      <c r="B29" s="20"/>
      <c r="C29" s="21" t="s">
        <v>50</v>
      </c>
      <c r="D29" s="41">
        <f>(D22*D26)-((D20*EXP(-D13*(D12/12))*D27))</f>
        <v>2069.5442388507145</v>
      </c>
      <c r="E29" s="23"/>
      <c r="F29" s="1"/>
      <c r="G29" s="1"/>
      <c r="H29" s="1"/>
      <c r="I29" s="1"/>
      <c r="J29" s="1"/>
      <c r="K29" s="1"/>
    </row>
    <row r="30" spans="1:11" ht="15.75" customHeight="1">
      <c r="A30" s="1"/>
      <c r="B30" s="20"/>
      <c r="C30" s="21"/>
      <c r="D30" s="41"/>
      <c r="E30" s="23"/>
      <c r="F30" s="1"/>
      <c r="G30" s="1"/>
      <c r="H30" s="1"/>
      <c r="I30" s="1"/>
      <c r="J30" s="1"/>
      <c r="K30" s="1"/>
    </row>
    <row r="31" spans="1:11" ht="15.75" customHeight="1">
      <c r="A31" s="1"/>
      <c r="B31" s="20"/>
      <c r="C31" s="21" t="s">
        <v>59</v>
      </c>
      <c r="D31" s="25">
        <f>D29-D22+(D20*EXP(-1*D13*(D12/12)))</f>
        <v>258609.04274081916</v>
      </c>
      <c r="E31" s="23"/>
      <c r="F31" s="1"/>
      <c r="G31" s="1"/>
      <c r="H31" s="1"/>
      <c r="I31" s="1"/>
      <c r="J31" s="1"/>
      <c r="K31" s="1"/>
    </row>
    <row r="32" spans="1:11" ht="15.75" customHeight="1" thickBot="1">
      <c r="A32" s="1"/>
      <c r="B32" s="26"/>
      <c r="C32" s="27"/>
      <c r="D32" s="27"/>
      <c r="E32" s="28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7"/>
  <dimension ref="A1:K56"/>
  <sheetViews>
    <sheetView workbookViewId="0"/>
  </sheetViews>
  <sheetFormatPr defaultRowHeight="12.75"/>
  <cols>
    <col min="2" max="2" width="3.140625" customWidth="1"/>
    <col min="3" max="3" width="27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2" t="s">
        <v>17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73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3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5"/>
      <c r="E6" s="6"/>
      <c r="F6" s="1"/>
      <c r="G6" s="1"/>
      <c r="H6" s="1"/>
      <c r="I6" s="1"/>
      <c r="J6" s="1"/>
      <c r="K6" s="1"/>
    </row>
    <row r="7" spans="1:11" ht="15.75" customHeight="1">
      <c r="A7" s="1"/>
      <c r="B7" s="7"/>
      <c r="C7" s="8" t="s">
        <v>76</v>
      </c>
      <c r="D7" s="43">
        <v>14300000</v>
      </c>
      <c r="E7" s="10"/>
      <c r="F7" s="1"/>
      <c r="G7" s="1"/>
      <c r="H7" s="1"/>
      <c r="I7" s="1"/>
      <c r="J7" s="1"/>
      <c r="K7" s="1"/>
    </row>
    <row r="8" spans="1:11" ht="15.75" customHeight="1">
      <c r="A8" s="1"/>
      <c r="B8" s="7"/>
      <c r="C8" s="8" t="s">
        <v>77</v>
      </c>
      <c r="D8" s="46">
        <v>8000000</v>
      </c>
      <c r="E8" s="10"/>
      <c r="F8" s="1"/>
      <c r="G8" s="1"/>
      <c r="H8" s="1"/>
      <c r="I8" s="1"/>
      <c r="J8" s="1"/>
      <c r="K8" s="1"/>
    </row>
    <row r="9" spans="1:11" ht="15.75" customHeight="1">
      <c r="A9" s="1"/>
      <c r="B9" s="7"/>
      <c r="C9" s="8" t="s">
        <v>75</v>
      </c>
      <c r="D9" s="43">
        <v>12900000</v>
      </c>
      <c r="E9" s="10"/>
      <c r="F9" s="1"/>
      <c r="G9" s="1"/>
      <c r="H9" s="1"/>
      <c r="I9" s="1"/>
      <c r="J9" s="1"/>
      <c r="K9" s="1"/>
    </row>
    <row r="10" spans="1:11" ht="15.75" customHeight="1">
      <c r="A10" s="1"/>
      <c r="B10" s="7"/>
      <c r="C10" s="8" t="s">
        <v>4</v>
      </c>
      <c r="D10" s="47">
        <v>0.06</v>
      </c>
      <c r="E10" s="10"/>
      <c r="F10" s="1"/>
      <c r="G10" s="1"/>
      <c r="H10" s="1"/>
      <c r="I10" s="1"/>
      <c r="J10" s="1"/>
      <c r="K10" s="1"/>
    </row>
    <row r="11" spans="1:11" ht="15.75" customHeight="1">
      <c r="A11" s="1"/>
      <c r="B11" s="7"/>
      <c r="C11" s="8" t="s">
        <v>74</v>
      </c>
      <c r="D11" s="9">
        <v>9400000</v>
      </c>
      <c r="E11" s="10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14"/>
      <c r="C12" s="15"/>
      <c r="D12" s="15"/>
      <c r="E12" s="16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3" t="s">
        <v>6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7"/>
      <c r="C16" s="18"/>
      <c r="D16" s="18"/>
      <c r="E16" s="19"/>
      <c r="F16" s="1"/>
      <c r="G16" s="1"/>
      <c r="H16" s="1"/>
      <c r="I16" s="1"/>
      <c r="J16" s="1"/>
      <c r="K16" s="1"/>
    </row>
    <row r="17" spans="1:11" ht="15.75" customHeight="1">
      <c r="A17" s="1"/>
      <c r="B17" s="20"/>
      <c r="C17" s="21" t="s">
        <v>30</v>
      </c>
      <c r="D17" s="45">
        <f>(D7-D9)/D9</f>
        <v>0.10852713178294573</v>
      </c>
      <c r="E17" s="23"/>
      <c r="F17" s="1"/>
      <c r="G17" s="1"/>
      <c r="H17" s="1"/>
      <c r="I17" s="1"/>
      <c r="J17" s="1"/>
      <c r="K17" s="1"/>
    </row>
    <row r="18" spans="1:11" ht="15.75" customHeight="1">
      <c r="A18" s="1"/>
      <c r="B18" s="20"/>
      <c r="C18" s="21" t="s">
        <v>31</v>
      </c>
      <c r="D18" s="45">
        <f>(D8-D9)/D9</f>
        <v>-0.37984496124031009</v>
      </c>
      <c r="E18" s="23"/>
      <c r="F18" s="1"/>
      <c r="G18" s="1"/>
      <c r="H18" s="1"/>
      <c r="I18" s="1"/>
      <c r="J18" s="1"/>
      <c r="K18" s="1"/>
    </row>
    <row r="19" spans="1:11" ht="15.75" customHeight="1">
      <c r="A19" s="1"/>
      <c r="B19" s="20"/>
      <c r="C19" s="21"/>
      <c r="D19" s="22"/>
      <c r="E19" s="23"/>
      <c r="F19" s="1"/>
      <c r="G19" s="1"/>
      <c r="H19" s="1"/>
      <c r="I19" s="1"/>
      <c r="J19" s="1"/>
      <c r="K19" s="1"/>
    </row>
    <row r="20" spans="1:11" ht="15.75" customHeight="1">
      <c r="A20" s="1"/>
      <c r="B20" s="20"/>
      <c r="C20" s="21" t="s">
        <v>28</v>
      </c>
      <c r="D20" s="22">
        <f>(D10-D18)/(D17-D18)</f>
        <v>0.90063492063492068</v>
      </c>
      <c r="E20" s="23"/>
      <c r="F20" s="1"/>
      <c r="G20" s="1"/>
      <c r="H20" s="1"/>
      <c r="I20" s="1"/>
      <c r="J20" s="1"/>
      <c r="K20" s="1"/>
    </row>
    <row r="21" spans="1:11" ht="15.75" customHeight="1">
      <c r="A21" s="1"/>
      <c r="B21" s="20"/>
      <c r="C21" s="21" t="s">
        <v>29</v>
      </c>
      <c r="D21" s="22">
        <f>1-D20</f>
        <v>9.9365079365079323E-2</v>
      </c>
      <c r="E21" s="23"/>
      <c r="F21" s="1"/>
      <c r="G21" s="1"/>
      <c r="H21" s="1"/>
      <c r="I21" s="1"/>
      <c r="J21" s="1"/>
      <c r="K21" s="1"/>
    </row>
    <row r="22" spans="1:11" ht="15.75" customHeight="1">
      <c r="A22" s="1"/>
      <c r="B22" s="20"/>
      <c r="C22" s="21"/>
      <c r="D22" s="22"/>
      <c r="E22" s="23"/>
      <c r="F22" s="1"/>
      <c r="G22" s="1"/>
      <c r="H22" s="1"/>
      <c r="I22" s="1"/>
      <c r="J22" s="1"/>
      <c r="K22" s="1"/>
    </row>
    <row r="23" spans="1:11" ht="15.75" customHeight="1">
      <c r="A23" s="1"/>
      <c r="B23" s="20"/>
      <c r="C23" s="21" t="s">
        <v>78</v>
      </c>
      <c r="D23" s="48">
        <f>MAX(D9-D7,0)</f>
        <v>0</v>
      </c>
      <c r="E23" s="23"/>
      <c r="F23" s="1"/>
      <c r="G23" s="1"/>
      <c r="H23" s="1"/>
      <c r="I23" s="1"/>
      <c r="J23" s="1"/>
      <c r="K23" s="1"/>
    </row>
    <row r="24" spans="1:11" ht="15.75" customHeight="1">
      <c r="A24" s="1"/>
      <c r="B24" s="20"/>
      <c r="C24" s="21" t="s">
        <v>79</v>
      </c>
      <c r="D24" s="48">
        <f>MAX(D11-D8,0)</f>
        <v>1400000</v>
      </c>
      <c r="E24" s="23"/>
      <c r="F24" s="1"/>
      <c r="G24" s="1"/>
      <c r="H24" s="1"/>
      <c r="I24" s="1"/>
      <c r="J24" s="1"/>
      <c r="K24" s="1"/>
    </row>
    <row r="25" spans="1:11" ht="15.75" customHeight="1">
      <c r="A25" s="1"/>
      <c r="B25" s="20"/>
      <c r="C25" s="21"/>
      <c r="D25" s="22"/>
      <c r="E25" s="23"/>
      <c r="F25" s="1"/>
      <c r="G25" s="1"/>
      <c r="H25" s="1"/>
      <c r="I25" s="1"/>
      <c r="J25" s="1"/>
      <c r="K25" s="1"/>
    </row>
    <row r="26" spans="1:11" ht="15.75" customHeight="1">
      <c r="A26" s="1"/>
      <c r="B26" s="20"/>
      <c r="C26" s="21" t="s">
        <v>32</v>
      </c>
      <c r="D26" s="93">
        <f>((D20*D23)+(D21*D24))/(1+D10)</f>
        <v>131236.89727463308</v>
      </c>
      <c r="E26" s="23"/>
      <c r="F26" s="1"/>
      <c r="G26" s="1"/>
      <c r="H26" s="1"/>
      <c r="I26" s="1"/>
      <c r="J26" s="1"/>
      <c r="K26" s="1"/>
    </row>
    <row r="27" spans="1:11" ht="15.75" customHeight="1" thickBot="1">
      <c r="A27" s="1"/>
      <c r="B27" s="26"/>
      <c r="C27" s="27"/>
      <c r="D27" s="27"/>
      <c r="E27" s="28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50"/>
  <sheetViews>
    <sheetView zoomScaleNormal="100" workbookViewId="0"/>
  </sheetViews>
  <sheetFormatPr defaultRowHeight="15"/>
  <cols>
    <col min="2" max="2" width="3.140625" customWidth="1"/>
    <col min="3" max="3" width="29.7109375" style="59" customWidth="1"/>
    <col min="4" max="7" width="12.5703125" style="59" customWidth="1"/>
    <col min="8" max="8" width="12.5703125" style="60" customWidth="1"/>
    <col min="9" max="9" width="15.85546875" bestFit="1" customWidth="1"/>
    <col min="10" max="10" width="6.5703125" style="57" bestFit="1" customWidth="1"/>
  </cols>
  <sheetData>
    <row r="1" spans="2:11" ht="18">
      <c r="C1" s="2" t="s">
        <v>17</v>
      </c>
      <c r="H1" s="59"/>
      <c r="I1" s="57"/>
      <c r="J1"/>
      <c r="K1" s="57"/>
    </row>
    <row r="2" spans="2:11">
      <c r="C2" s="1" t="s">
        <v>91</v>
      </c>
      <c r="H2" s="59"/>
      <c r="I2" s="57"/>
      <c r="J2"/>
      <c r="K2" s="57"/>
    </row>
    <row r="3" spans="2:11">
      <c r="H3" s="59"/>
      <c r="I3" s="57"/>
      <c r="J3"/>
      <c r="K3" s="57"/>
    </row>
    <row r="4" spans="2:11">
      <c r="C4" s="3" t="s">
        <v>0</v>
      </c>
      <c r="H4" s="59"/>
      <c r="I4" s="57"/>
      <c r="J4"/>
      <c r="K4" s="57"/>
    </row>
    <row r="5" spans="2:11" ht="15.75" thickBot="1">
      <c r="H5" s="59"/>
      <c r="I5" s="57"/>
      <c r="J5"/>
      <c r="K5" s="57"/>
    </row>
    <row r="6" spans="2:11">
      <c r="B6" s="61"/>
      <c r="C6" s="62"/>
      <c r="D6" s="62"/>
      <c r="E6" s="63"/>
      <c r="H6" s="59"/>
      <c r="I6" s="57"/>
      <c r="J6"/>
      <c r="K6" s="57"/>
    </row>
    <row r="7" spans="2:11">
      <c r="B7" s="64"/>
      <c r="C7" s="65" t="s">
        <v>60</v>
      </c>
      <c r="D7" s="71">
        <v>73</v>
      </c>
      <c r="E7" s="66"/>
      <c r="H7" s="59"/>
      <c r="I7" s="57"/>
      <c r="J7"/>
      <c r="K7" s="57"/>
    </row>
    <row r="8" spans="2:11">
      <c r="B8" s="64"/>
      <c r="C8" s="67" t="s">
        <v>5</v>
      </c>
      <c r="D8" s="72">
        <v>0.7</v>
      </c>
      <c r="E8" s="66"/>
      <c r="H8" s="59"/>
      <c r="I8" s="57"/>
      <c r="J8"/>
      <c r="K8" s="57"/>
    </row>
    <row r="9" spans="2:11">
      <c r="B9" s="64"/>
      <c r="C9" s="65" t="s">
        <v>42</v>
      </c>
      <c r="D9" s="71">
        <v>80</v>
      </c>
      <c r="E9" s="66"/>
      <c r="H9" s="59"/>
      <c r="I9" s="57"/>
      <c r="J9"/>
      <c r="K9" s="57"/>
    </row>
    <row r="10" spans="2:11">
      <c r="B10" s="64"/>
      <c r="C10" s="65" t="s">
        <v>4</v>
      </c>
      <c r="D10" s="72">
        <v>0.05</v>
      </c>
      <c r="E10" s="66"/>
      <c r="H10" s="59"/>
      <c r="I10" s="57"/>
      <c r="J10"/>
      <c r="K10" s="57"/>
    </row>
    <row r="11" spans="2:11" ht="15.75" thickBot="1">
      <c r="B11" s="68"/>
      <c r="C11" s="69"/>
      <c r="D11" s="69"/>
      <c r="E11" s="70"/>
      <c r="H11" s="59"/>
      <c r="I11" s="57"/>
      <c r="J11"/>
      <c r="K11" s="57"/>
    </row>
    <row r="12" spans="2:11">
      <c r="H12" s="59"/>
      <c r="I12" s="57"/>
      <c r="J12"/>
      <c r="K12" s="57"/>
    </row>
    <row r="13" spans="2:11">
      <c r="H13" s="59"/>
      <c r="I13" s="57"/>
      <c r="J13"/>
      <c r="K13" s="57"/>
    </row>
    <row r="14" spans="2:11" ht="15.75" thickBot="1">
      <c r="H14" s="59"/>
      <c r="I14" s="57"/>
      <c r="J14"/>
      <c r="K14" s="57"/>
    </row>
    <row r="15" spans="2:11">
      <c r="B15" s="73"/>
      <c r="C15" s="74"/>
      <c r="D15" s="74"/>
      <c r="E15" s="74"/>
      <c r="F15" s="74"/>
      <c r="G15" s="74"/>
      <c r="H15" s="74"/>
      <c r="I15" s="75"/>
      <c r="J15"/>
      <c r="K15" s="57"/>
    </row>
    <row r="16" spans="2:11">
      <c r="B16" s="76"/>
      <c r="C16" s="77" t="s">
        <v>66</v>
      </c>
      <c r="D16" s="78">
        <f>D10/12</f>
        <v>4.1666666666666666E-3</v>
      </c>
      <c r="E16" s="79"/>
      <c r="F16" s="79"/>
      <c r="G16" s="79"/>
      <c r="H16" s="79"/>
      <c r="I16" s="80"/>
      <c r="J16"/>
      <c r="K16" s="57"/>
    </row>
    <row r="17" spans="2:11">
      <c r="B17" s="76"/>
      <c r="C17" s="79"/>
      <c r="D17" s="78"/>
      <c r="E17" s="79"/>
      <c r="F17" s="79"/>
      <c r="G17" s="79"/>
      <c r="H17" s="79"/>
      <c r="I17" s="80"/>
      <c r="J17"/>
      <c r="K17" s="57"/>
    </row>
    <row r="18" spans="2:11">
      <c r="B18" s="76"/>
      <c r="C18" s="81" t="s">
        <v>44</v>
      </c>
      <c r="D18" s="78">
        <f>EXP(D8/SQRT(12))</f>
        <v>1.2239368556233305</v>
      </c>
      <c r="E18" s="79"/>
      <c r="F18" s="79"/>
      <c r="G18" s="79"/>
      <c r="H18" s="79"/>
      <c r="I18" s="80"/>
      <c r="J18"/>
      <c r="K18" s="57"/>
    </row>
    <row r="19" spans="2:11">
      <c r="B19" s="76"/>
      <c r="C19" s="81" t="s">
        <v>45</v>
      </c>
      <c r="D19" s="78">
        <f>EXP(-1*(D8*SQRT(1/12)))</f>
        <v>0.81703561372920408</v>
      </c>
      <c r="E19" s="79"/>
      <c r="F19" s="79"/>
      <c r="G19" s="79"/>
      <c r="H19" s="79"/>
      <c r="I19" s="80"/>
      <c r="J19"/>
      <c r="K19" s="57"/>
    </row>
    <row r="20" spans="2:11">
      <c r="B20" s="76"/>
      <c r="C20" s="82"/>
      <c r="D20" s="83"/>
      <c r="E20" s="79"/>
      <c r="F20" s="79"/>
      <c r="G20" s="79"/>
      <c r="H20" s="79"/>
      <c r="I20" s="80"/>
      <c r="J20"/>
      <c r="K20" s="57"/>
    </row>
    <row r="21" spans="2:11">
      <c r="B21" s="76"/>
      <c r="C21" s="77" t="s">
        <v>62</v>
      </c>
      <c r="D21" s="84">
        <f>D18-1</f>
        <v>0.22393685562333054</v>
      </c>
      <c r="E21" s="79"/>
      <c r="F21" s="79"/>
      <c r="G21" s="79"/>
      <c r="H21" s="79"/>
      <c r="I21" s="80"/>
      <c r="J21"/>
      <c r="K21" s="57"/>
    </row>
    <row r="22" spans="2:11">
      <c r="B22" s="76"/>
      <c r="C22" s="77" t="s">
        <v>63</v>
      </c>
      <c r="D22" s="84">
        <f>D19-1</f>
        <v>-0.18296438627079592</v>
      </c>
      <c r="E22" s="79"/>
      <c r="F22" s="79"/>
      <c r="G22" s="79"/>
      <c r="H22" s="79"/>
      <c r="I22" s="80"/>
      <c r="J22"/>
      <c r="K22" s="57"/>
    </row>
    <row r="23" spans="2:11">
      <c r="B23" s="76"/>
      <c r="C23" s="77"/>
      <c r="D23" s="84"/>
      <c r="E23" s="79"/>
      <c r="F23" s="79"/>
      <c r="G23" s="79"/>
      <c r="H23" s="79"/>
      <c r="I23" s="80"/>
      <c r="J23"/>
      <c r="K23" s="57"/>
    </row>
    <row r="24" spans="2:11">
      <c r="B24" s="76"/>
      <c r="C24" s="77" t="s">
        <v>64</v>
      </c>
      <c r="D24" s="78">
        <f>(D16-D22)/(D21-D22)</f>
        <v>0.45989304939539383</v>
      </c>
      <c r="E24" s="79"/>
      <c r="F24" s="79"/>
      <c r="G24" s="79"/>
      <c r="H24" s="79"/>
      <c r="I24" s="80"/>
      <c r="J24"/>
      <c r="K24" s="57"/>
    </row>
    <row r="25" spans="2:11">
      <c r="B25" s="76"/>
      <c r="C25" s="77" t="s">
        <v>65</v>
      </c>
      <c r="D25" s="78">
        <f>1-D24</f>
        <v>0.54010695060460612</v>
      </c>
      <c r="E25" s="79"/>
      <c r="F25" s="79"/>
      <c r="G25" s="79"/>
      <c r="H25" s="79"/>
      <c r="I25" s="80"/>
      <c r="J25"/>
      <c r="K25" s="57"/>
    </row>
    <row r="26" spans="2:11">
      <c r="B26" s="76"/>
      <c r="C26" s="79"/>
      <c r="D26" s="79"/>
      <c r="E26" s="79"/>
      <c r="F26" s="79"/>
      <c r="G26" s="79"/>
      <c r="H26" s="85"/>
      <c r="I26" s="86"/>
    </row>
    <row r="27" spans="2:11">
      <c r="B27" s="76"/>
      <c r="C27" s="79"/>
      <c r="D27" s="79"/>
      <c r="E27" s="79"/>
      <c r="F27" s="79"/>
      <c r="G27" s="79"/>
      <c r="H27" s="85"/>
      <c r="I27" s="86"/>
    </row>
    <row r="28" spans="2:11">
      <c r="B28" s="76"/>
      <c r="C28" s="79"/>
      <c r="D28" s="79"/>
      <c r="E28" s="79"/>
      <c r="F28" s="85"/>
      <c r="G28" s="82" t="s">
        <v>70</v>
      </c>
      <c r="H28" s="87">
        <f>F31*D18</f>
        <v>109.35556413837817</v>
      </c>
      <c r="I28" s="86"/>
      <c r="J28"/>
    </row>
    <row r="29" spans="2:11">
      <c r="B29" s="76"/>
      <c r="C29" s="79"/>
      <c r="D29" s="79"/>
      <c r="E29" s="79"/>
      <c r="F29" s="85"/>
      <c r="G29" s="82" t="s">
        <v>61</v>
      </c>
      <c r="H29" s="87">
        <f>MAX(D9-H28,0)</f>
        <v>0</v>
      </c>
      <c r="I29" s="86"/>
      <c r="J29"/>
    </row>
    <row r="30" spans="2:11">
      <c r="B30" s="76"/>
      <c r="C30" s="79"/>
      <c r="D30" s="79"/>
      <c r="E30" s="79"/>
      <c r="F30" s="85"/>
      <c r="G30" s="79"/>
      <c r="H30" s="87"/>
      <c r="I30" s="86"/>
      <c r="J30"/>
    </row>
    <row r="31" spans="2:11">
      <c r="B31" s="76"/>
      <c r="C31" s="79"/>
      <c r="D31" s="79"/>
      <c r="E31" s="82" t="s">
        <v>68</v>
      </c>
      <c r="F31" s="87">
        <f>D34*D18</f>
        <v>89.347390460503135</v>
      </c>
      <c r="G31" s="79"/>
      <c r="H31" s="87"/>
      <c r="I31" s="86"/>
      <c r="J31"/>
    </row>
    <row r="32" spans="2:11">
      <c r="B32" s="76"/>
      <c r="C32" s="79"/>
      <c r="D32" s="79"/>
      <c r="E32" s="82" t="s">
        <v>61</v>
      </c>
      <c r="F32" s="87">
        <f>((H29*D24)+(H35*D25))/(1+D16)</f>
        <v>3.765060900480234</v>
      </c>
      <c r="G32" s="79"/>
      <c r="H32" s="87"/>
      <c r="I32" s="86"/>
      <c r="J32"/>
    </row>
    <row r="33" spans="2:10">
      <c r="B33" s="76"/>
      <c r="C33" s="79"/>
      <c r="D33" s="79"/>
      <c r="E33" s="79"/>
      <c r="F33" s="87"/>
      <c r="G33" s="79"/>
      <c r="H33" s="87"/>
      <c r="I33" s="86"/>
      <c r="J33"/>
    </row>
    <row r="34" spans="2:10">
      <c r="B34" s="76"/>
      <c r="C34" s="82" t="s">
        <v>67</v>
      </c>
      <c r="D34" s="87">
        <f>D7</f>
        <v>73</v>
      </c>
      <c r="E34" s="79"/>
      <c r="F34" s="87"/>
      <c r="G34" s="82" t="s">
        <v>71</v>
      </c>
      <c r="H34" s="87">
        <f>F31*D19</f>
        <v>73.000000000000014</v>
      </c>
      <c r="I34" s="86"/>
      <c r="J34"/>
    </row>
    <row r="35" spans="2:10" ht="15.75">
      <c r="B35" s="76"/>
      <c r="C35" s="82" t="s">
        <v>61</v>
      </c>
      <c r="D35" s="88">
        <f>((F32*D24)+(F38*D25))/(1+D16)</f>
        <v>12.494808259395352</v>
      </c>
      <c r="E35" s="79"/>
      <c r="F35" s="87"/>
      <c r="G35" s="82" t="s">
        <v>61</v>
      </c>
      <c r="H35" s="87">
        <f>MAX(D9-H34,0)</f>
        <v>6.9999999999999858</v>
      </c>
      <c r="I35" s="86"/>
      <c r="J35"/>
    </row>
    <row r="36" spans="2:10">
      <c r="B36" s="76"/>
      <c r="C36" s="79"/>
      <c r="D36" s="79"/>
      <c r="E36" s="79"/>
      <c r="F36" s="87"/>
      <c r="G36" s="79"/>
      <c r="H36" s="87"/>
      <c r="I36" s="86"/>
      <c r="J36"/>
    </row>
    <row r="37" spans="2:10">
      <c r="B37" s="76"/>
      <c r="C37" s="79"/>
      <c r="D37" s="79"/>
      <c r="E37" s="82" t="s">
        <v>69</v>
      </c>
      <c r="F37" s="87">
        <f>D34*D19</f>
        <v>59.643599802231897</v>
      </c>
      <c r="G37" s="79"/>
      <c r="H37" s="87"/>
      <c r="I37" s="86"/>
      <c r="J37"/>
    </row>
    <row r="38" spans="2:10">
      <c r="B38" s="76"/>
      <c r="C38" s="79"/>
      <c r="D38" s="79"/>
      <c r="E38" s="82" t="s">
        <v>61</v>
      </c>
      <c r="F38" s="87">
        <f>((H35*D24)+(H41*D25))/(1+D16)</f>
        <v>20.024449990299217</v>
      </c>
      <c r="G38" s="79"/>
      <c r="H38" s="87"/>
      <c r="I38" s="86"/>
      <c r="J38"/>
    </row>
    <row r="39" spans="2:10">
      <c r="B39" s="76"/>
      <c r="C39" s="79"/>
      <c r="D39" s="79"/>
      <c r="E39" s="79"/>
      <c r="F39" s="85"/>
      <c r="G39" s="79"/>
      <c r="H39" s="87"/>
      <c r="I39" s="86"/>
      <c r="J39"/>
    </row>
    <row r="40" spans="2:10">
      <c r="B40" s="76"/>
      <c r="C40" s="79"/>
      <c r="D40" s="79"/>
      <c r="E40" s="79"/>
      <c r="F40" s="85"/>
      <c r="G40" s="82" t="s">
        <v>72</v>
      </c>
      <c r="H40" s="87">
        <f>F37*D19</f>
        <v>48.730945169435572</v>
      </c>
      <c r="I40" s="86"/>
      <c r="J40"/>
    </row>
    <row r="41" spans="2:10">
      <c r="B41" s="76"/>
      <c r="C41" s="79"/>
      <c r="D41" s="79"/>
      <c r="E41" s="79"/>
      <c r="F41" s="85"/>
      <c r="G41" s="82" t="s">
        <v>61</v>
      </c>
      <c r="H41" s="87">
        <f>MAX(D9-H40,0)</f>
        <v>31.269054830564428</v>
      </c>
      <c r="I41" s="86"/>
      <c r="J41"/>
    </row>
    <row r="42" spans="2:10" ht="15.75" thickBot="1">
      <c r="B42" s="89"/>
      <c r="C42" s="90"/>
      <c r="D42" s="90"/>
      <c r="E42" s="90"/>
      <c r="F42" s="91"/>
      <c r="G42" s="90"/>
      <c r="H42" s="91"/>
      <c r="I42" s="92"/>
      <c r="J42"/>
    </row>
    <row r="43" spans="2:10">
      <c r="J43" s="58"/>
    </row>
    <row r="44" spans="2:10">
      <c r="J44" s="58"/>
    </row>
    <row r="45" spans="2:10">
      <c r="J45" s="58"/>
    </row>
    <row r="46" spans="2:10">
      <c r="J46" s="58"/>
    </row>
    <row r="47" spans="2:10">
      <c r="J47" s="58"/>
    </row>
    <row r="48" spans="2:10">
      <c r="J48" s="58"/>
    </row>
    <row r="49" spans="10:10">
      <c r="J49" s="58"/>
    </row>
    <row r="50" spans="10:10">
      <c r="J50" s="58"/>
    </row>
  </sheetData>
  <phoneticPr fontId="24" type="noConversion"/>
  <pageMargins left="0.75" right="0.75" top="1" bottom="1" header="0.5" footer="0.5"/>
  <pageSetup scale="6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Chapter 23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Belmont University</dc:creator>
  <cp:lastModifiedBy>Faiyaz Ahmed</cp:lastModifiedBy>
  <dcterms:created xsi:type="dcterms:W3CDTF">2006-03-22T18:46:07Z</dcterms:created>
  <dcterms:modified xsi:type="dcterms:W3CDTF">2012-11-06T10:58:17Z</dcterms:modified>
</cp:coreProperties>
</file>