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60" windowWidth="11295" windowHeight="7260"/>
  </bookViews>
  <sheets>
    <sheet name="Chapter 21" sheetId="14" r:id="rId1"/>
    <sheet name="#1-5" sheetId="1" r:id="rId2"/>
    <sheet name="#6" sheetId="27" r:id="rId3"/>
    <sheet name="#7" sheetId="31" r:id="rId4"/>
    <sheet name="#8" sheetId="32" r:id="rId5"/>
    <sheet name="#9" sheetId="13" r:id="rId6"/>
    <sheet name="#10" sheetId="28" r:id="rId7"/>
    <sheet name="#11" sheetId="29" r:id="rId8"/>
    <sheet name="#12" sheetId="33" r:id="rId9"/>
    <sheet name="#13" sheetId="34" r:id="rId10"/>
    <sheet name="#14" sheetId="36" r:id="rId11"/>
    <sheet name="#15" sheetId="38" r:id="rId12"/>
    <sheet name="#16" sheetId="37" r:id="rId13"/>
    <sheet name="#17" sheetId="30" r:id="rId14"/>
    <sheet name="#18" sheetId="35" r:id="rId15"/>
  </sheets>
  <calcPr calcId="114210"/>
</workbook>
</file>

<file path=xl/calcChain.xml><?xml version="1.0" encoding="utf-8"?>
<calcChain xmlns="http://schemas.openxmlformats.org/spreadsheetml/2006/main">
  <c r="D10" i="36"/>
  <c r="D10" i="30"/>
  <c r="D8"/>
  <c r="D7"/>
  <c r="D17"/>
  <c r="D22"/>
  <c r="D11"/>
  <c r="D29"/>
  <c r="D17" i="33"/>
  <c r="D19"/>
  <c r="D16"/>
  <c r="D21" i="1"/>
  <c r="D7" i="27"/>
  <c r="D10"/>
  <c r="D11"/>
  <c r="D22"/>
  <c r="D9"/>
  <c r="D21"/>
  <c r="D24"/>
  <c r="D25"/>
  <c r="D26"/>
  <c r="D27"/>
  <c r="D29"/>
  <c r="D47" i="1"/>
  <c r="D23" i="38"/>
  <c r="D17"/>
  <c r="D16"/>
  <c r="D18"/>
  <c r="D19"/>
  <c r="D21"/>
  <c r="D30" i="1"/>
  <c r="D31"/>
  <c r="D33"/>
  <c r="D45"/>
  <c r="D21" i="37"/>
  <c r="D22"/>
  <c r="D19"/>
  <c r="E24" i="36"/>
  <c r="F24"/>
  <c r="G24"/>
  <c r="H24"/>
  <c r="H26"/>
  <c r="D18"/>
  <c r="D22"/>
  <c r="E22"/>
  <c r="D25"/>
  <c r="E35" i="35"/>
  <c r="E33"/>
  <c r="D28"/>
  <c r="E28"/>
  <c r="E27"/>
  <c r="F27"/>
  <c r="G27"/>
  <c r="H27"/>
  <c r="I27"/>
  <c r="I30"/>
  <c r="F35"/>
  <c r="G35"/>
  <c r="H35"/>
  <c r="I35"/>
  <c r="F33"/>
  <c r="G33"/>
  <c r="H33"/>
  <c r="I33"/>
  <c r="D23"/>
  <c r="D34"/>
  <c r="D36"/>
  <c r="D23" i="34"/>
  <c r="D16"/>
  <c r="D17"/>
  <c r="D18"/>
  <c r="D19"/>
  <c r="D21"/>
  <c r="D18" i="32"/>
  <c r="D19"/>
  <c r="D16"/>
  <c r="D18" i="31"/>
  <c r="D17"/>
  <c r="D19"/>
  <c r="D26" i="13"/>
  <c r="D25"/>
  <c r="D24"/>
  <c r="D28"/>
  <c r="C29"/>
  <c r="G37" i="30"/>
  <c r="D19"/>
  <c r="D17" i="1"/>
  <c r="D19"/>
  <c r="D20"/>
  <c r="D18" i="30"/>
  <c r="D9"/>
  <c r="D8" i="29"/>
  <c r="D11"/>
  <c r="D10"/>
  <c r="D9"/>
  <c r="D12"/>
  <c r="D21"/>
  <c r="D7"/>
  <c r="D8" i="28"/>
  <c r="D9"/>
  <c r="D10"/>
  <c r="D29"/>
  <c r="D11"/>
  <c r="D30"/>
  <c r="D32"/>
  <c r="D33"/>
  <c r="D34"/>
  <c r="D12"/>
  <c r="D7"/>
  <c r="D31" i="13"/>
  <c r="D32"/>
  <c r="D33"/>
  <c r="D8" i="27"/>
  <c r="D18" i="1"/>
  <c r="D40"/>
  <c r="H36" i="35"/>
  <c r="F36"/>
  <c r="E36"/>
  <c r="I36"/>
  <c r="G36"/>
  <c r="D19" i="29"/>
  <c r="D20" i="32"/>
  <c r="D21"/>
  <c r="D23"/>
  <c r="D29" i="35"/>
  <c r="I39"/>
  <c r="F28"/>
  <c r="D23" i="37"/>
  <c r="D23" i="36"/>
  <c r="D20" i="31"/>
  <c r="D21"/>
  <c r="C22"/>
  <c r="G22" i="30"/>
  <c r="D20" i="29"/>
  <c r="D23"/>
  <c r="C24"/>
  <c r="D24" i="37"/>
  <c r="D25"/>
  <c r="F22" i="36"/>
  <c r="D30"/>
  <c r="D32"/>
  <c r="D34"/>
  <c r="F23" i="30"/>
  <c r="F29"/>
  <c r="E29" i="35"/>
  <c r="D30"/>
  <c r="D39"/>
  <c r="G28"/>
  <c r="E23" i="36"/>
  <c r="D26"/>
  <c r="F22" i="30"/>
  <c r="H22"/>
  <c r="I22"/>
  <c r="D23"/>
  <c r="D30"/>
  <c r="F30"/>
  <c r="F25"/>
  <c r="C22" i="1"/>
  <c r="D26"/>
  <c r="F24" i="30"/>
  <c r="C30" i="27"/>
  <c r="G22" i="36"/>
  <c r="G23" i="30"/>
  <c r="H23"/>
  <c r="I23"/>
  <c r="D24"/>
  <c r="F29" i="35"/>
  <c r="E30"/>
  <c r="E39"/>
  <c r="H28"/>
  <c r="F23" i="36"/>
  <c r="E26"/>
  <c r="G24" i="30"/>
  <c r="H24"/>
  <c r="I24"/>
  <c r="D25"/>
  <c r="D31"/>
  <c r="F31"/>
  <c r="G29" i="35"/>
  <c r="F30"/>
  <c r="F39"/>
  <c r="G23" i="36"/>
  <c r="G26"/>
  <c r="F26"/>
  <c r="G25" i="30"/>
  <c r="H25"/>
  <c r="I25"/>
  <c r="D32"/>
  <c r="F32"/>
  <c r="D34"/>
  <c r="D28" i="36"/>
  <c r="H29" i="35"/>
  <c r="H30"/>
  <c r="H39"/>
  <c r="G30"/>
  <c r="G39"/>
  <c r="D41"/>
  <c r="D43"/>
</calcChain>
</file>

<file path=xl/sharedStrings.xml><?xml version="1.0" encoding="utf-8"?>
<sst xmlns="http://schemas.openxmlformats.org/spreadsheetml/2006/main" count="295" uniqueCount="138">
  <si>
    <t>Input Area:</t>
  </si>
  <si>
    <t>Output Area:</t>
  </si>
  <si>
    <t>Question 6</t>
  </si>
  <si>
    <t>Question 7</t>
  </si>
  <si>
    <t>Input boxes in tan</t>
  </si>
  <si>
    <t>Output boxes in yellow</t>
  </si>
  <si>
    <t>Given data in blue</t>
  </si>
  <si>
    <t>Calculations in red</t>
  </si>
  <si>
    <t>Answers in green</t>
  </si>
  <si>
    <t>Question 8</t>
  </si>
  <si>
    <t>Cost</t>
  </si>
  <si>
    <t>Life of machine</t>
  </si>
  <si>
    <t>Lease price</t>
  </si>
  <si>
    <t>Borrowing rate</t>
  </si>
  <si>
    <t>Tax rate</t>
  </si>
  <si>
    <t>Depreciation tax shield</t>
  </si>
  <si>
    <t>Aftertax cost of debt</t>
  </si>
  <si>
    <t>NAL</t>
  </si>
  <si>
    <t>Aftertax lease payment</t>
  </si>
  <si>
    <t>Breakeven lease payment</t>
  </si>
  <si>
    <t>1)</t>
  </si>
  <si>
    <t>2)</t>
  </si>
  <si>
    <t>3)</t>
  </si>
  <si>
    <t>4)</t>
  </si>
  <si>
    <t>If the tax rate is zero, there is no depreciation tax shield foregone; the aftertax lease payment</t>
  </si>
  <si>
    <t xml:space="preserve">is the same as the pretax payment, and the aftertax cost of debt is the same as the </t>
  </si>
  <si>
    <t>pretax cost.</t>
  </si>
  <si>
    <t xml:space="preserve">5) </t>
  </si>
  <si>
    <t xml:space="preserve">From #3, the lessor breaks even with a </t>
  </si>
  <si>
    <t xml:space="preserve">payment of </t>
  </si>
  <si>
    <t>Lessee breakeven</t>
  </si>
  <si>
    <t>Question 1-5</t>
  </si>
  <si>
    <t>MACRS schedule</t>
  </si>
  <si>
    <t>Year</t>
  </si>
  <si>
    <t>Year 1</t>
  </si>
  <si>
    <t>Leasing CF</t>
  </si>
  <si>
    <t>Aftertax borrowing rate</t>
  </si>
  <si>
    <t>System cost</t>
  </si>
  <si>
    <t>Useful life</t>
  </si>
  <si>
    <t>Lease payments</t>
  </si>
  <si>
    <t>The pretax cost savings are not relevant</t>
  </si>
  <si>
    <t>in the lease versus buy decision, since the firm</t>
  </si>
  <si>
    <t>choice made.</t>
  </si>
  <si>
    <t>Dep. tax shield lost</t>
  </si>
  <si>
    <t>NAL w/o lease payment</t>
  </si>
  <si>
    <t>Pretax lease payment</t>
  </si>
  <si>
    <t xml:space="preserve">the savings regardless of the financing </t>
  </si>
  <si>
    <t>will definitely use the equipment and realize</t>
  </si>
  <si>
    <t>Aftertax residual value</t>
  </si>
  <si>
    <t>The aftertax residual value of the asset is a</t>
  </si>
  <si>
    <t>cost to the leasing decision, occurring at the</t>
  </si>
  <si>
    <t xml:space="preserve">end of the project life (Year 5). Also, the </t>
  </si>
  <si>
    <t>flow, since there is uncertainty associated</t>
  </si>
  <si>
    <t>with it at year 0. Nevertheless, although a higher</t>
  </si>
  <si>
    <t xml:space="preserve">discount rate may be appropriate, we'll use the </t>
  </si>
  <si>
    <t>aftertax cost of debt to discount the residual</t>
  </si>
  <si>
    <t>value as is common in practice.</t>
  </si>
  <si>
    <t>Security deposit</t>
  </si>
  <si>
    <t>Question 9</t>
  </si>
  <si>
    <t>Pretax cost savings</t>
  </si>
  <si>
    <t>residual value is not really a debt-like cash</t>
  </si>
  <si>
    <t>Question 10</t>
  </si>
  <si>
    <t>Loan payment</t>
  </si>
  <si>
    <t>Beginning balance</t>
  </si>
  <si>
    <t>Total payment</t>
  </si>
  <si>
    <t>Interest payment</t>
  </si>
  <si>
    <t>Ending balance</t>
  </si>
  <si>
    <t>Principal payment</t>
  </si>
  <si>
    <t>Aftertax payment = Loan payment - interest tax shield</t>
  </si>
  <si>
    <t>Total cash flow</t>
  </si>
  <si>
    <t>Total payments (from #1)</t>
  </si>
  <si>
    <t xml:space="preserve">The NAL is the same because the present value of the aftertax loan payments, discounted at the </t>
  </si>
  <si>
    <t xml:space="preserve">aftertax cost of capital (which is the aftertax cost of debt) equals </t>
  </si>
  <si>
    <t>Chapter 21</t>
  </si>
  <si>
    <t>Lessor tax rate</t>
  </si>
  <si>
    <t>Maximum lessee payment</t>
  </si>
  <si>
    <t>PV of depreciation tax shield</t>
  </si>
  <si>
    <t>Minimum lessor payment</t>
  </si>
  <si>
    <t>a.</t>
  </si>
  <si>
    <t>b.</t>
  </si>
  <si>
    <t>Pretax lessor payment</t>
  </si>
  <si>
    <t>Question 11</t>
  </si>
  <si>
    <t>Question 12</t>
  </si>
  <si>
    <t>Question 13</t>
  </si>
  <si>
    <t>Pretax payment</t>
  </si>
  <si>
    <t>Lease payment</t>
  </si>
  <si>
    <t>Maximum lessor payment</t>
  </si>
  <si>
    <t>Question 14</t>
  </si>
  <si>
    <t>Question 15</t>
  </si>
  <si>
    <t>Lease machine:</t>
  </si>
  <si>
    <t>Saved costs</t>
  </si>
  <si>
    <t>Buy machine:</t>
  </si>
  <si>
    <t>Target debt-to-assets</t>
  </si>
  <si>
    <t>Lease:</t>
  </si>
  <si>
    <t>Year 0</t>
  </si>
  <si>
    <t>Year 2</t>
  </si>
  <si>
    <t>Year 3</t>
  </si>
  <si>
    <t>Year 4</t>
  </si>
  <si>
    <t>Year 5</t>
  </si>
  <si>
    <t>Aftertax savings</t>
  </si>
  <si>
    <t>Tax savings on lease</t>
  </si>
  <si>
    <t>Net cash flows</t>
  </si>
  <si>
    <t>Buy:</t>
  </si>
  <si>
    <t>Purchase</t>
  </si>
  <si>
    <t>Incremental cash flows</t>
  </si>
  <si>
    <t xml:space="preserve"> from leasing</t>
  </si>
  <si>
    <t>c.</t>
  </si>
  <si>
    <t>Displaced debt</t>
  </si>
  <si>
    <t>Question 16</t>
  </si>
  <si>
    <t>Equipment cost</t>
  </si>
  <si>
    <t>Lost depreciation tax shield</t>
  </si>
  <si>
    <t>Maximum pretax lease payment</t>
  </si>
  <si>
    <t>Maximum aftertax lease payment</t>
  </si>
  <si>
    <t>Question 17</t>
  </si>
  <si>
    <t>Base capitalized cost</t>
  </si>
  <si>
    <t>Other costs</t>
  </si>
  <si>
    <t xml:space="preserve">Down payment </t>
  </si>
  <si>
    <t>Residual value</t>
  </si>
  <si>
    <t>Lease factor</t>
  </si>
  <si>
    <t>Term of lease (months)</t>
  </si>
  <si>
    <t>APR</t>
  </si>
  <si>
    <t>Net capitalization cost</t>
  </si>
  <si>
    <t>Depreciation payment</t>
  </si>
  <si>
    <t>Finance fee</t>
  </si>
  <si>
    <t>Taxes</t>
  </si>
  <si>
    <t>Total monthly lease payment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</si>
  <si>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</si>
  <si>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</si>
  <si>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</si>
  <si>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</si>
  <si>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Breakeven OCF</t>
  </si>
  <si>
    <t>Question 18</t>
  </si>
  <si>
    <t>Lessee borrowing rate</t>
  </si>
  <si>
    <t>Problems 1-18</t>
  </si>
  <si>
    <t>Interest rate</t>
  </si>
  <si>
    <t>Reduction in debt capacity</t>
  </si>
  <si>
    <t>Years</t>
  </si>
  <si>
    <t>Principal payments</t>
  </si>
</sst>
</file>

<file path=xl/styles.xml><?xml version="1.0" encoding="utf-8"?>
<styleSheet xmlns="http://schemas.openxmlformats.org/spreadsheetml/2006/main">
  <numFmts count="9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.0000_);_(* \(#,##0.0000\);_(* &quot;-&quot;????_);_(@_)"/>
    <numFmt numFmtId="166" formatCode="_(* #,##0.00000_);_(* \(#,##0.00000\);_(* &quot;-&quot;_);_(@_)"/>
    <numFmt numFmtId="167" formatCode="_(&quot;$&quot;* #,##0.00000_);_(&quot;$&quot;* \(#,##0.00000\);_(&quot;$&quot;* &quot;-&quot;??_);_(@_)"/>
  </numFmts>
  <fonts count="25">
    <font>
      <sz val="10"/>
      <name val="Arial"/>
    </font>
    <font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sz val="12"/>
      <color indexed="57"/>
      <name val="Arial"/>
      <family val="2"/>
    </font>
    <font>
      <b/>
      <sz val="12"/>
      <color indexed="57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b/>
      <sz val="14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u val="singleAccounting"/>
      <sz val="12"/>
      <name val="Arial"/>
      <family val="2"/>
    </font>
    <font>
      <i/>
      <u/>
      <sz val="12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34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4" fillId="2" borderId="2" xfId="0" applyFont="1" applyFill="1" applyBorder="1"/>
    <xf numFmtId="0" fontId="4" fillId="2" borderId="7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5" fillId="3" borderId="2" xfId="0" applyFont="1" applyFill="1" applyBorder="1"/>
    <xf numFmtId="0" fontId="5" fillId="3" borderId="7" xfId="0" applyFont="1" applyFill="1" applyBorder="1"/>
    <xf numFmtId="164" fontId="4" fillId="2" borderId="0" xfId="1" applyNumberFormat="1" applyFont="1" applyFill="1" applyBorder="1"/>
    <xf numFmtId="9" fontId="4" fillId="2" borderId="0" xfId="3" applyFont="1" applyFill="1" applyBorder="1"/>
    <xf numFmtId="0" fontId="6" fillId="3" borderId="0" xfId="0" applyFont="1" applyFill="1" applyBorder="1"/>
    <xf numFmtId="0" fontId="8" fillId="4" borderId="0" xfId="0" applyFont="1" applyFill="1" applyBorder="1"/>
    <xf numFmtId="0" fontId="0" fillId="4" borderId="0" xfId="0" applyFill="1"/>
    <xf numFmtId="2" fontId="9" fillId="4" borderId="0" xfId="0" applyNumberFormat="1" applyFont="1" applyFill="1" applyBorder="1" applyAlignment="1"/>
    <xf numFmtId="0" fontId="10" fillId="4" borderId="0" xfId="0" applyFont="1" applyFill="1" applyBorder="1"/>
    <xf numFmtId="0" fontId="11" fillId="4" borderId="0" xfId="0" applyFont="1" applyFill="1" applyBorder="1" applyAlignment="1">
      <alignment horizontal="center"/>
    </xf>
    <xf numFmtId="0" fontId="7" fillId="4" borderId="0" xfId="0" applyFont="1" applyFill="1" applyBorder="1"/>
    <xf numFmtId="0" fontId="12" fillId="4" borderId="0" xfId="0" applyFont="1" applyFill="1" applyBorder="1"/>
    <xf numFmtId="0" fontId="13" fillId="4" borderId="0" xfId="0" applyFont="1" applyFill="1" applyBorder="1"/>
    <xf numFmtId="0" fontId="14" fillId="4" borderId="0" xfId="0" applyFont="1" applyFill="1" applyBorder="1"/>
    <xf numFmtId="0" fontId="15" fillId="4" borderId="0" xfId="0" applyFont="1" applyFill="1" applyBorder="1"/>
    <xf numFmtId="0" fontId="6" fillId="4" borderId="0" xfId="0" applyFont="1" applyFill="1" applyBorder="1"/>
    <xf numFmtId="0" fontId="16" fillId="0" borderId="0" xfId="0" applyFont="1"/>
    <xf numFmtId="164" fontId="17" fillId="3" borderId="0" xfId="1" applyNumberFormat="1" applyFont="1" applyFill="1" applyBorder="1"/>
    <xf numFmtId="164" fontId="17" fillId="3" borderId="0" xfId="0" applyNumberFormat="1" applyFont="1" applyFill="1" applyBorder="1"/>
    <xf numFmtId="0" fontId="3" fillId="3" borderId="4" xfId="0" applyFont="1" applyFill="1" applyBorder="1"/>
    <xf numFmtId="41" fontId="4" fillId="2" borderId="0" xfId="1" applyNumberFormat="1" applyFont="1" applyFill="1" applyBorder="1"/>
    <xf numFmtId="44" fontId="17" fillId="3" borderId="0" xfId="1" applyFont="1" applyFill="1" applyBorder="1"/>
    <xf numFmtId="44" fontId="6" fillId="3" borderId="9" xfId="1" applyFont="1" applyFill="1" applyBorder="1"/>
    <xf numFmtId="0" fontId="17" fillId="3" borderId="0" xfId="0" applyFont="1" applyFill="1" applyBorder="1"/>
    <xf numFmtId="44" fontId="17" fillId="3" borderId="0" xfId="0" applyNumberFormat="1" applyFont="1" applyFill="1" applyBorder="1"/>
    <xf numFmtId="44" fontId="17" fillId="3" borderId="0" xfId="1" applyNumberFormat="1" applyFont="1" applyFill="1" applyBorder="1"/>
    <xf numFmtId="10" fontId="17" fillId="3" borderId="0" xfId="3" applyNumberFormat="1" applyFont="1" applyFill="1" applyBorder="1"/>
    <xf numFmtId="44" fontId="6" fillId="3" borderId="0" xfId="0" applyNumberFormat="1" applyFont="1" applyFill="1" applyBorder="1"/>
    <xf numFmtId="44" fontId="6" fillId="3" borderId="9" xfId="0" applyNumberFormat="1" applyFont="1" applyFill="1" applyBorder="1"/>
    <xf numFmtId="0" fontId="18" fillId="3" borderId="0" xfId="0" applyFont="1" applyFill="1" applyBorder="1"/>
    <xf numFmtId="0" fontId="2" fillId="3" borderId="4" xfId="0" applyNumberFormat="1" applyFont="1" applyFill="1" applyBorder="1" applyAlignment="1">
      <alignment horizontal="left"/>
    </xf>
    <xf numFmtId="0" fontId="2" fillId="3" borderId="4" xfId="0" applyNumberFormat="1" applyFont="1" applyFill="1" applyBorder="1"/>
    <xf numFmtId="0" fontId="2" fillId="3" borderId="6" xfId="0" applyNumberFormat="1" applyFont="1" applyFill="1" applyBorder="1"/>
    <xf numFmtId="0" fontId="2" fillId="0" borderId="0" xfId="0" applyNumberFormat="1" applyFont="1"/>
    <xf numFmtId="0" fontId="2" fillId="3" borderId="1" xfId="0" applyNumberFormat="1" applyFont="1" applyFill="1" applyBorder="1"/>
    <xf numFmtId="165" fontId="4" fillId="2" borderId="0" xfId="3" applyNumberFormat="1" applyFont="1" applyFill="1" applyBorder="1"/>
    <xf numFmtId="0" fontId="2" fillId="3" borderId="0" xfId="0" applyFont="1" applyFill="1" applyBorder="1" applyAlignment="1">
      <alignment horizontal="center"/>
    </xf>
    <xf numFmtId="164" fontId="17" fillId="2" borderId="0" xfId="1" applyNumberFormat="1" applyFont="1" applyFill="1" applyBorder="1"/>
    <xf numFmtId="41" fontId="17" fillId="2" borderId="0" xfId="1" applyNumberFormat="1" applyFont="1" applyFill="1" applyBorder="1"/>
    <xf numFmtId="9" fontId="17" fillId="2" borderId="0" xfId="3" applyFont="1" applyFill="1" applyBorder="1"/>
    <xf numFmtId="164" fontId="2" fillId="3" borderId="0" xfId="1" applyNumberFormat="1" applyFont="1" applyFill="1" applyBorder="1"/>
    <xf numFmtId="0" fontId="19" fillId="3" borderId="0" xfId="0" applyFont="1" applyFill="1" applyBorder="1" applyAlignment="1">
      <alignment horizontal="center"/>
    </xf>
    <xf numFmtId="164" fontId="19" fillId="3" borderId="0" xfId="1" applyNumberFormat="1" applyFont="1" applyFill="1" applyBorder="1" applyAlignment="1">
      <alignment horizontal="center"/>
    </xf>
    <xf numFmtId="0" fontId="15" fillId="3" borderId="7" xfId="0" applyFont="1" applyFill="1" applyBorder="1"/>
    <xf numFmtId="164" fontId="20" fillId="3" borderId="0" xfId="1" applyNumberFormat="1" applyFont="1" applyFill="1" applyBorder="1" applyAlignment="1">
      <alignment horizontal="center"/>
    </xf>
    <xf numFmtId="0" fontId="20" fillId="3" borderId="0" xfId="0" applyFont="1" applyFill="1" applyBorder="1" applyAlignment="1">
      <alignment horizontal="center"/>
    </xf>
    <xf numFmtId="44" fontId="2" fillId="3" borderId="0" xfId="0" applyNumberFormat="1" applyFont="1" applyFill="1" applyBorder="1"/>
    <xf numFmtId="44" fontId="20" fillId="3" borderId="0" xfId="0" applyNumberFormat="1" applyFont="1" applyFill="1" applyBorder="1" applyAlignment="1">
      <alignment horizontal="center"/>
    </xf>
    <xf numFmtId="8" fontId="6" fillId="3" borderId="9" xfId="0" applyNumberFormat="1" applyFont="1" applyFill="1" applyBorder="1"/>
    <xf numFmtId="0" fontId="7" fillId="3" borderId="0" xfId="0" applyFont="1" applyFill="1" applyBorder="1"/>
    <xf numFmtId="0" fontId="3" fillId="3" borderId="0" xfId="0" applyFont="1" applyFill="1" applyBorder="1"/>
    <xf numFmtId="44" fontId="17" fillId="3" borderId="0" xfId="3" applyNumberFormat="1" applyFont="1" applyFill="1" applyBorder="1"/>
    <xf numFmtId="0" fontId="3" fillId="3" borderId="4" xfId="0" applyNumberFormat="1" applyFont="1" applyFill="1" applyBorder="1" applyAlignment="1">
      <alignment horizontal="left"/>
    </xf>
    <xf numFmtId="0" fontId="3" fillId="3" borderId="4" xfId="0" applyNumberFormat="1" applyFont="1" applyFill="1" applyBorder="1"/>
    <xf numFmtId="0" fontId="5" fillId="3" borderId="0" xfId="0" applyFont="1" applyFill="1" applyBorder="1"/>
    <xf numFmtId="42" fontId="4" fillId="2" borderId="0" xfId="1" applyNumberFormat="1" applyFont="1" applyFill="1" applyBorder="1"/>
    <xf numFmtId="0" fontId="3" fillId="2" borderId="0" xfId="0" applyFont="1" applyFill="1" applyBorder="1"/>
    <xf numFmtId="43" fontId="4" fillId="2" borderId="0" xfId="1" applyNumberFormat="1" applyFont="1" applyFill="1" applyBorder="1"/>
    <xf numFmtId="42" fontId="4" fillId="2" borderId="0" xfId="3" applyNumberFormat="1" applyFont="1" applyFill="1" applyBorder="1"/>
    <xf numFmtId="44" fontId="6" fillId="3" borderId="0" xfId="1" applyFont="1" applyFill="1" applyBorder="1"/>
    <xf numFmtId="0" fontId="21" fillId="3" borderId="0" xfId="0" applyFont="1" applyFill="1" applyBorder="1" applyAlignment="1">
      <alignment horizontal="right"/>
    </xf>
    <xf numFmtId="164" fontId="21" fillId="3" borderId="0" xfId="0" applyNumberFormat="1" applyFont="1" applyFill="1" applyBorder="1" applyAlignment="1">
      <alignment horizontal="right"/>
    </xf>
    <xf numFmtId="164" fontId="17" fillId="3" borderId="10" xfId="0" applyNumberFormat="1" applyFont="1" applyFill="1" applyBorder="1"/>
    <xf numFmtId="41" fontId="4" fillId="2" borderId="0" xfId="3" applyNumberFormat="1" applyFont="1" applyFill="1" applyBorder="1"/>
    <xf numFmtId="166" fontId="4" fillId="2" borderId="0" xfId="3" applyNumberFormat="1" applyFont="1" applyFill="1" applyBorder="1"/>
    <xf numFmtId="44" fontId="2" fillId="0" borderId="0" xfId="0" applyNumberFormat="1" applyFont="1"/>
    <xf numFmtId="44" fontId="17" fillId="3" borderId="0" xfId="0" applyNumberFormat="1" applyFont="1" applyFill="1" applyBorder="1" applyAlignment="1">
      <alignment horizontal="right"/>
    </xf>
    <xf numFmtId="10" fontId="6" fillId="3" borderId="9" xfId="3" applyNumberFormat="1" applyFont="1" applyFill="1" applyBorder="1"/>
    <xf numFmtId="0" fontId="22" fillId="4" borderId="0" xfId="0" applyFont="1" applyFill="1" applyBorder="1"/>
    <xf numFmtId="44" fontId="23" fillId="3" borderId="0" xfId="0" applyNumberFormat="1" applyFont="1" applyFill="1" applyBorder="1"/>
    <xf numFmtId="0" fontId="2" fillId="0" borderId="0" xfId="2" applyFont="1"/>
    <xf numFmtId="0" fontId="16" fillId="0" borderId="0" xfId="2" applyFont="1"/>
    <xf numFmtId="0" fontId="1" fillId="0" borderId="0" xfId="2"/>
    <xf numFmtId="0" fontId="3" fillId="0" borderId="0" xfId="2" applyFont="1"/>
    <xf numFmtId="0" fontId="2" fillId="2" borderId="1" xfId="2" applyFont="1" applyFill="1" applyBorder="1"/>
    <xf numFmtId="0" fontId="2" fillId="2" borderId="2" xfId="2" applyFont="1" applyFill="1" applyBorder="1"/>
    <xf numFmtId="0" fontId="4" fillId="2" borderId="2" xfId="2" applyFont="1" applyFill="1" applyBorder="1"/>
    <xf numFmtId="0" fontId="2" fillId="2" borderId="3" xfId="2" applyFont="1" applyFill="1" applyBorder="1"/>
    <xf numFmtId="0" fontId="2" fillId="2" borderId="4" xfId="2" applyFont="1" applyFill="1" applyBorder="1"/>
    <xf numFmtId="0" fontId="2" fillId="2" borderId="0" xfId="2" applyFont="1" applyFill="1" applyBorder="1"/>
    <xf numFmtId="0" fontId="2" fillId="2" borderId="5" xfId="2" applyFont="1" applyFill="1" applyBorder="1"/>
    <xf numFmtId="0" fontId="2" fillId="2" borderId="6" xfId="2" applyFont="1" applyFill="1" applyBorder="1"/>
    <xf numFmtId="0" fontId="2" fillId="2" borderId="7" xfId="2" applyFont="1" applyFill="1" applyBorder="1"/>
    <xf numFmtId="0" fontId="4" fillId="2" borderId="7" xfId="2" applyFont="1" applyFill="1" applyBorder="1"/>
    <xf numFmtId="0" fontId="2" fillId="2" borderId="8" xfId="2" applyFont="1" applyFill="1" applyBorder="1"/>
    <xf numFmtId="0" fontId="2" fillId="3" borderId="1" xfId="2" applyFont="1" applyFill="1" applyBorder="1"/>
    <xf numFmtId="0" fontId="2" fillId="3" borderId="2" xfId="2" applyFont="1" applyFill="1" applyBorder="1"/>
    <xf numFmtId="0" fontId="5" fillId="3" borderId="2" xfId="2" applyFont="1" applyFill="1" applyBorder="1"/>
    <xf numFmtId="0" fontId="2" fillId="3" borderId="3" xfId="2" applyFont="1" applyFill="1" applyBorder="1"/>
    <xf numFmtId="0" fontId="3" fillId="3" borderId="4" xfId="2" applyFont="1" applyFill="1" applyBorder="1"/>
    <xf numFmtId="0" fontId="2" fillId="3" borderId="0" xfId="2" applyFont="1" applyFill="1" applyBorder="1"/>
    <xf numFmtId="0" fontId="2" fillId="3" borderId="5" xfId="2" applyFont="1" applyFill="1" applyBorder="1"/>
    <xf numFmtId="44" fontId="17" fillId="3" borderId="0" xfId="2" applyNumberFormat="1" applyFont="1" applyFill="1" applyBorder="1"/>
    <xf numFmtId="0" fontId="5" fillId="3" borderId="0" xfId="2" applyFont="1" applyFill="1" applyBorder="1"/>
    <xf numFmtId="0" fontId="3" fillId="3" borderId="4" xfId="2" applyNumberFormat="1" applyFont="1" applyFill="1" applyBorder="1" applyAlignment="1">
      <alignment horizontal="left"/>
    </xf>
    <xf numFmtId="44" fontId="6" fillId="3" borderId="9" xfId="2" applyNumberFormat="1" applyFont="1" applyFill="1" applyBorder="1"/>
    <xf numFmtId="0" fontId="3" fillId="3" borderId="4" xfId="2" applyNumberFormat="1" applyFont="1" applyFill="1" applyBorder="1"/>
    <xf numFmtId="0" fontId="2" fillId="3" borderId="6" xfId="2" applyNumberFormat="1" applyFont="1" applyFill="1" applyBorder="1"/>
    <xf numFmtId="0" fontId="2" fillId="3" borderId="7" xfId="2" applyFont="1" applyFill="1" applyBorder="1"/>
    <xf numFmtId="0" fontId="5" fillId="3" borderId="7" xfId="2" applyFont="1" applyFill="1" applyBorder="1"/>
    <xf numFmtId="0" fontId="2" fillId="3" borderId="8" xfId="2" applyFont="1" applyFill="1" applyBorder="1"/>
    <xf numFmtId="0" fontId="2" fillId="0" borderId="0" xfId="2" applyNumberFormat="1" applyFont="1"/>
    <xf numFmtId="41" fontId="17" fillId="3" borderId="0" xfId="0" applyNumberFormat="1" applyFont="1" applyFill="1" applyBorder="1"/>
    <xf numFmtId="41" fontId="17" fillId="3" borderId="10" xfId="0" applyNumberFormat="1" applyFont="1" applyFill="1" applyBorder="1"/>
    <xf numFmtId="164" fontId="2" fillId="3" borderId="0" xfId="0" applyNumberFormat="1" applyFont="1" applyFill="1" applyBorder="1"/>
    <xf numFmtId="164" fontId="17" fillId="3" borderId="0" xfId="3" applyNumberFormat="1" applyFont="1" applyFill="1" applyBorder="1"/>
    <xf numFmtId="167" fontId="4" fillId="2" borderId="7" xfId="0" applyNumberFormat="1" applyFont="1" applyFill="1" applyBorder="1"/>
    <xf numFmtId="43" fontId="17" fillId="3" borderId="0" xfId="0" applyNumberFormat="1" applyFont="1" applyFill="1" applyBorder="1"/>
    <xf numFmtId="43" fontId="2" fillId="3" borderId="0" xfId="0" applyNumberFormat="1" applyFont="1" applyFill="1" applyBorder="1"/>
    <xf numFmtId="42" fontId="23" fillId="2" borderId="0" xfId="0" applyNumberFormat="1" applyFont="1" applyFill="1" applyBorder="1"/>
    <xf numFmtId="41" fontId="4" fillId="2" borderId="0" xfId="0" applyNumberFormat="1" applyFont="1" applyFill="1" applyBorder="1"/>
  </cellXfs>
  <cellStyles count="4">
    <cellStyle name="Currency" xfId="1" builtinId="4"/>
    <cellStyle name="Normal" xfId="0" builtinId="0"/>
    <cellStyle name="Normal 2" xfId="2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27"/>
  <sheetViews>
    <sheetView tabSelected="1" workbookViewId="0"/>
  </sheetViews>
  <sheetFormatPr defaultRowHeight="12.75"/>
  <cols>
    <col min="1" max="3" width="9.140625" style="29"/>
    <col min="4" max="4" width="42.5703125" style="29" customWidth="1"/>
    <col min="5" max="16384" width="9.140625" style="29"/>
  </cols>
  <sheetData>
    <row r="1" spans="1:6">
      <c r="A1" s="28"/>
      <c r="B1" s="28"/>
      <c r="C1" s="28"/>
      <c r="D1" s="28"/>
      <c r="E1" s="28"/>
      <c r="F1" s="28"/>
    </row>
    <row r="2" spans="1:6">
      <c r="A2" s="28"/>
      <c r="B2" s="28"/>
      <c r="C2" s="28"/>
      <c r="D2" s="28"/>
      <c r="E2" s="28"/>
      <c r="F2" s="28"/>
    </row>
    <row r="3" spans="1:6">
      <c r="A3" s="28"/>
      <c r="B3" s="28"/>
      <c r="C3" s="28"/>
      <c r="D3" s="28"/>
      <c r="E3" s="28"/>
      <c r="F3" s="28"/>
    </row>
    <row r="4" spans="1:6">
      <c r="A4" s="28"/>
      <c r="B4" s="28"/>
      <c r="C4" s="28"/>
      <c r="D4" s="28"/>
      <c r="E4" s="28"/>
      <c r="F4" s="28"/>
    </row>
    <row r="5" spans="1:6">
      <c r="A5" s="28"/>
      <c r="B5" s="28"/>
      <c r="C5" s="28"/>
      <c r="D5" s="28"/>
      <c r="E5" s="28"/>
      <c r="F5" s="28"/>
    </row>
    <row r="6" spans="1:6">
      <c r="A6" s="28"/>
      <c r="B6" s="28"/>
      <c r="C6" s="28"/>
      <c r="D6" s="28"/>
      <c r="E6" s="28"/>
      <c r="F6" s="28"/>
    </row>
    <row r="7" spans="1:6">
      <c r="A7" s="28"/>
      <c r="B7" s="28"/>
      <c r="C7" s="28"/>
      <c r="D7" s="28"/>
      <c r="E7" s="28"/>
      <c r="F7" s="28"/>
    </row>
    <row r="8" spans="1:6">
      <c r="A8" s="28"/>
      <c r="B8" s="28"/>
      <c r="C8" s="28"/>
      <c r="D8" s="28"/>
      <c r="E8" s="28"/>
      <c r="F8" s="28"/>
    </row>
    <row r="9" spans="1:6">
      <c r="A9" s="28"/>
      <c r="B9" s="28"/>
      <c r="C9" s="28"/>
      <c r="D9" s="28"/>
      <c r="E9" s="28"/>
      <c r="F9" s="28"/>
    </row>
    <row r="10" spans="1:6">
      <c r="A10" s="28"/>
      <c r="B10" s="28"/>
      <c r="C10" s="28"/>
      <c r="D10" s="28"/>
      <c r="E10" s="28"/>
      <c r="F10" s="28"/>
    </row>
    <row r="11" spans="1:6">
      <c r="A11" s="28"/>
      <c r="B11" s="28"/>
      <c r="C11" s="28"/>
      <c r="D11" s="28"/>
      <c r="E11" s="28"/>
      <c r="F11" s="28"/>
    </row>
    <row r="12" spans="1:6" ht="59.25">
      <c r="A12" s="28"/>
      <c r="B12" s="28"/>
      <c r="C12" s="28"/>
      <c r="D12" s="30" t="s">
        <v>73</v>
      </c>
      <c r="E12" s="28"/>
      <c r="F12" s="31"/>
    </row>
    <row r="13" spans="1:6">
      <c r="A13" s="28"/>
      <c r="B13" s="28"/>
      <c r="C13" s="28"/>
      <c r="D13" s="28"/>
      <c r="E13" s="28"/>
      <c r="F13" s="28"/>
    </row>
    <row r="14" spans="1:6" ht="23.25">
      <c r="A14" s="28"/>
      <c r="B14" s="28"/>
      <c r="C14" s="28"/>
      <c r="D14" s="32" t="s">
        <v>133</v>
      </c>
      <c r="E14" s="28"/>
      <c r="F14" s="28"/>
    </row>
    <row r="15" spans="1:6">
      <c r="A15" s="28"/>
      <c r="B15" s="28"/>
      <c r="C15" s="28"/>
      <c r="D15" s="28"/>
      <c r="E15" s="28"/>
      <c r="F15" s="28"/>
    </row>
    <row r="16" spans="1:6">
      <c r="A16" s="28"/>
      <c r="B16" s="28"/>
      <c r="C16" s="28"/>
      <c r="D16" s="28"/>
      <c r="E16" s="28"/>
      <c r="F16" s="28"/>
    </row>
    <row r="17" spans="1:6" ht="15">
      <c r="A17" s="28"/>
      <c r="B17" s="28"/>
      <c r="C17" s="28"/>
      <c r="D17" s="33"/>
      <c r="E17" s="28"/>
      <c r="F17" s="28"/>
    </row>
    <row r="18" spans="1:6" ht="15.75">
      <c r="A18" s="28"/>
      <c r="B18" s="28"/>
      <c r="C18" s="28"/>
      <c r="D18" s="34" t="s">
        <v>4</v>
      </c>
      <c r="E18" s="28"/>
      <c r="F18" s="28"/>
    </row>
    <row r="19" spans="1:6" ht="15.75">
      <c r="A19" s="28"/>
      <c r="B19" s="28"/>
      <c r="C19" s="28"/>
      <c r="D19" s="35" t="s">
        <v>5</v>
      </c>
      <c r="E19" s="28"/>
      <c r="F19" s="28"/>
    </row>
    <row r="20" spans="1:6" ht="15.75">
      <c r="A20" s="28"/>
      <c r="B20" s="28"/>
      <c r="C20" s="28"/>
      <c r="D20" s="36" t="s">
        <v>6</v>
      </c>
      <c r="E20" s="28"/>
      <c r="F20" s="28"/>
    </row>
    <row r="21" spans="1:6" ht="15.75">
      <c r="A21" s="28"/>
      <c r="B21" s="28"/>
      <c r="C21" s="28"/>
      <c r="D21" s="37" t="s">
        <v>7</v>
      </c>
      <c r="E21" s="28"/>
      <c r="F21" s="28"/>
    </row>
    <row r="22" spans="1:6" ht="15.75">
      <c r="A22" s="28"/>
      <c r="B22" s="28"/>
      <c r="C22" s="28"/>
      <c r="D22" s="38" t="s">
        <v>8</v>
      </c>
      <c r="E22" s="28"/>
      <c r="F22" s="28"/>
    </row>
    <row r="23" spans="1:6" ht="15">
      <c r="A23" s="28"/>
      <c r="B23" s="28"/>
      <c r="C23" s="28"/>
      <c r="D23" s="33"/>
      <c r="E23" s="28"/>
      <c r="F23" s="28"/>
    </row>
    <row r="24" spans="1:6">
      <c r="A24" s="28"/>
      <c r="B24" s="28"/>
      <c r="C24" s="28"/>
      <c r="D24" s="91" t="s">
        <v>126</v>
      </c>
      <c r="E24" s="28"/>
      <c r="F24" s="28"/>
    </row>
    <row r="25" spans="1:6">
      <c r="A25" s="28"/>
      <c r="B25" s="28"/>
      <c r="C25" s="28"/>
      <c r="D25" s="91" t="s">
        <v>127</v>
      </c>
      <c r="E25" s="28"/>
      <c r="F25" s="28"/>
    </row>
    <row r="26" spans="1:6">
      <c r="D26" s="91" t="s">
        <v>128</v>
      </c>
    </row>
    <row r="27" spans="1:6">
      <c r="D27" s="91" t="s">
        <v>129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1"/>
  <dimension ref="A1:K63"/>
  <sheetViews>
    <sheetView zoomScaleNormal="100" workbookViewId="0"/>
  </sheetViews>
  <sheetFormatPr defaultRowHeight="12.75"/>
  <cols>
    <col min="2" max="2" width="3.140625" customWidth="1"/>
    <col min="3" max="3" width="30.5703125" bestFit="1" customWidth="1"/>
    <col min="4" max="4" width="18.140625" customWidth="1"/>
    <col min="5" max="5" width="3.140625" customWidth="1"/>
    <col min="6" max="6" width="20.5703125" customWidth="1"/>
    <col min="7" max="7" width="22.7109375" customWidth="1"/>
    <col min="8" max="8" width="4.140625" customWidth="1"/>
  </cols>
  <sheetData>
    <row r="1" spans="1:11" ht="18">
      <c r="A1" s="1"/>
      <c r="B1" s="1"/>
      <c r="C1" s="39" t="s">
        <v>73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83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2" t="s">
        <v>0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3"/>
      <c r="C6" s="4"/>
      <c r="D6" s="12"/>
      <c r="E6" s="5"/>
      <c r="F6" s="1"/>
      <c r="G6" s="1"/>
      <c r="H6" s="1"/>
      <c r="I6" s="1"/>
      <c r="J6" s="1"/>
      <c r="K6" s="1"/>
    </row>
    <row r="7" spans="1:11" ht="15.75" customHeight="1">
      <c r="A7" s="1"/>
      <c r="B7" s="6"/>
      <c r="C7" s="7" t="s">
        <v>10</v>
      </c>
      <c r="D7" s="25">
        <v>550000</v>
      </c>
      <c r="E7" s="8"/>
      <c r="F7" s="1"/>
      <c r="G7" s="1"/>
      <c r="H7" s="1"/>
      <c r="I7" s="1"/>
      <c r="J7" s="1"/>
      <c r="K7" s="1"/>
    </row>
    <row r="8" spans="1:11" ht="15.75" customHeight="1">
      <c r="A8" s="1"/>
      <c r="B8" s="6"/>
      <c r="C8" s="7" t="s">
        <v>11</v>
      </c>
      <c r="D8" s="43">
        <v>3</v>
      </c>
      <c r="E8" s="8"/>
      <c r="F8" s="1"/>
      <c r="G8" s="1"/>
      <c r="H8" s="1"/>
      <c r="I8" s="1"/>
      <c r="J8" s="1"/>
      <c r="K8" s="1"/>
    </row>
    <row r="9" spans="1:11" ht="15.75" customHeight="1">
      <c r="A9" s="1"/>
      <c r="B9" s="6"/>
      <c r="C9" s="7" t="s">
        <v>14</v>
      </c>
      <c r="D9" s="26">
        <v>0.34</v>
      </c>
      <c r="E9" s="8"/>
      <c r="F9" s="1"/>
      <c r="G9" s="1"/>
      <c r="H9" s="1"/>
      <c r="I9" s="1"/>
      <c r="J9" s="1"/>
      <c r="K9" s="1"/>
    </row>
    <row r="10" spans="1:11" ht="15.75" customHeight="1">
      <c r="A10" s="1"/>
      <c r="B10" s="6"/>
      <c r="C10" s="7" t="s">
        <v>13</v>
      </c>
      <c r="D10" s="26">
        <v>0.1</v>
      </c>
      <c r="E10" s="8"/>
      <c r="F10" s="1"/>
      <c r="G10" s="1"/>
      <c r="H10" s="1"/>
      <c r="I10" s="1"/>
      <c r="J10" s="1"/>
      <c r="K10" s="1"/>
    </row>
    <row r="11" spans="1:11" ht="15.75" customHeight="1" thickBot="1">
      <c r="A11" s="1"/>
      <c r="B11" s="9"/>
      <c r="C11" s="10"/>
      <c r="D11" s="13"/>
      <c r="E11" s="11"/>
      <c r="F11" s="1"/>
      <c r="G11" s="1"/>
      <c r="H11" s="1"/>
      <c r="I11" s="1"/>
      <c r="J11" s="1"/>
      <c r="K11" s="1"/>
    </row>
    <row r="12" spans="1:11" ht="15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ht="15.75" customHeight="1">
      <c r="A13" s="1"/>
      <c r="B13" s="1"/>
      <c r="C13" s="2" t="s">
        <v>1</v>
      </c>
      <c r="D13" s="1"/>
      <c r="E13" s="1"/>
      <c r="F13" s="1"/>
      <c r="G13" s="1"/>
      <c r="H13" s="1"/>
      <c r="I13" s="1"/>
      <c r="J13" s="1"/>
      <c r="K13" s="1"/>
    </row>
    <row r="14" spans="1:11" ht="15.75" customHeight="1" thickBo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5.75" customHeight="1">
      <c r="A15" s="1"/>
      <c r="B15" s="14"/>
      <c r="C15" s="15"/>
      <c r="D15" s="23"/>
      <c r="E15" s="16"/>
      <c r="F15" s="1"/>
      <c r="G15" s="1"/>
      <c r="H15" s="1"/>
      <c r="I15" s="1"/>
      <c r="J15" s="1"/>
      <c r="K15" s="1"/>
    </row>
    <row r="16" spans="1:11" ht="15.75" customHeight="1">
      <c r="A16" s="1"/>
      <c r="B16" s="42" t="s">
        <v>78</v>
      </c>
      <c r="C16" s="18" t="s">
        <v>16</v>
      </c>
      <c r="D16" s="49">
        <f>D10*(1-D9)</f>
        <v>6.5999999999999989E-2</v>
      </c>
      <c r="E16" s="19"/>
      <c r="F16" s="1"/>
      <c r="G16" s="1"/>
      <c r="H16" s="1"/>
      <c r="I16" s="1"/>
      <c r="J16" s="1"/>
      <c r="K16" s="1"/>
    </row>
    <row r="17" spans="1:11" ht="15.75" customHeight="1">
      <c r="A17" s="1"/>
      <c r="B17" s="42"/>
      <c r="C17" s="18" t="s">
        <v>15</v>
      </c>
      <c r="D17" s="47">
        <f>(D7/D8)*D9</f>
        <v>62333.333333333343</v>
      </c>
      <c r="E17" s="19"/>
      <c r="F17" s="1"/>
      <c r="G17" s="1"/>
      <c r="H17" s="1"/>
      <c r="I17" s="1"/>
      <c r="J17" s="1"/>
      <c r="K17" s="1"/>
    </row>
    <row r="18" spans="1:11" ht="15.75" customHeight="1">
      <c r="A18" s="1"/>
      <c r="B18" s="42"/>
      <c r="C18" s="18" t="s">
        <v>76</v>
      </c>
      <c r="D18" s="47">
        <f>PV(D16,D8,-D17)</f>
        <v>164785.25474903214</v>
      </c>
      <c r="E18" s="19"/>
      <c r="F18" s="1"/>
      <c r="G18" s="1"/>
      <c r="H18" s="1"/>
      <c r="I18" s="1"/>
      <c r="J18" s="1"/>
      <c r="K18" s="1"/>
    </row>
    <row r="19" spans="1:11" ht="15.75" customHeight="1">
      <c r="A19" s="1"/>
      <c r="B19" s="42"/>
      <c r="C19" s="18" t="s">
        <v>84</v>
      </c>
      <c r="D19" s="47">
        <f>-PMT(D16,D8,D7-D18)</f>
        <v>145715.21679663332</v>
      </c>
      <c r="E19" s="19"/>
      <c r="F19" s="1"/>
      <c r="G19" s="1"/>
      <c r="H19" s="1"/>
      <c r="I19" s="1"/>
      <c r="J19" s="1"/>
      <c r="K19" s="1"/>
    </row>
    <row r="20" spans="1:11" ht="15.75" customHeight="1">
      <c r="A20" s="1"/>
      <c r="B20" s="42"/>
      <c r="C20" s="18"/>
      <c r="D20" s="77"/>
      <c r="E20" s="19"/>
      <c r="F20" s="1"/>
      <c r="G20" s="1"/>
      <c r="H20" s="1"/>
      <c r="I20" s="1"/>
      <c r="J20" s="1"/>
      <c r="K20" s="1"/>
    </row>
    <row r="21" spans="1:11" ht="15.75" customHeight="1">
      <c r="A21" s="1"/>
      <c r="B21" s="75"/>
      <c r="C21" s="18" t="s">
        <v>85</v>
      </c>
      <c r="D21" s="51">
        <f>D19/(1-D9)</f>
        <v>220780.6315100505</v>
      </c>
      <c r="E21" s="19"/>
      <c r="F21" s="1"/>
      <c r="G21" s="1"/>
      <c r="H21" s="1"/>
      <c r="I21" s="1"/>
      <c r="J21" s="1"/>
      <c r="K21" s="1"/>
    </row>
    <row r="22" spans="1:11" ht="15.75" customHeight="1">
      <c r="A22" s="1"/>
      <c r="B22" s="76"/>
      <c r="C22" s="18"/>
      <c r="D22" s="40"/>
      <c r="E22" s="19"/>
      <c r="F22" s="1"/>
      <c r="G22" s="1"/>
      <c r="H22" s="1"/>
      <c r="I22" s="1"/>
      <c r="J22" s="1"/>
      <c r="K22" s="1"/>
    </row>
    <row r="23" spans="1:11" ht="15.75" customHeight="1">
      <c r="A23" s="1"/>
      <c r="B23" s="76" t="s">
        <v>106</v>
      </c>
      <c r="C23" s="18" t="s">
        <v>86</v>
      </c>
      <c r="D23" s="51">
        <f>PMT(D10,D8,-D7)</f>
        <v>221163.14199395751</v>
      </c>
      <c r="E23" s="19"/>
      <c r="F23" s="1"/>
      <c r="G23" s="1"/>
      <c r="H23" s="1"/>
      <c r="I23" s="1"/>
      <c r="J23" s="1"/>
      <c r="K23" s="1"/>
    </row>
    <row r="24" spans="1:11" ht="15.75" customHeight="1" thickBot="1">
      <c r="A24" s="1"/>
      <c r="B24" s="55"/>
      <c r="C24" s="21"/>
      <c r="D24" s="24"/>
      <c r="E24" s="22"/>
      <c r="F24" s="1"/>
      <c r="G24" s="1"/>
      <c r="H24" s="1"/>
      <c r="I24" s="1"/>
      <c r="J24" s="1"/>
      <c r="K24" s="1"/>
    </row>
    <row r="25" spans="1:11" ht="15.75" customHeight="1">
      <c r="A25" s="1"/>
      <c r="B25" s="56"/>
      <c r="C25" s="1"/>
      <c r="D25" s="1"/>
      <c r="E25" s="1"/>
      <c r="F25" s="1"/>
      <c r="G25" s="1"/>
      <c r="H25" s="1"/>
      <c r="I25" s="1"/>
      <c r="J25" s="1"/>
      <c r="K25" s="1"/>
    </row>
    <row r="26" spans="1:11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.75" customHeight="1"/>
    <row r="60" spans="1:11" ht="15.75" customHeight="1"/>
    <row r="61" spans="1:11" ht="15.75" customHeight="1"/>
    <row r="62" spans="1:11" ht="15.75" customHeight="1"/>
    <row r="63" spans="1:11" ht="15.75" customHeight="1"/>
  </sheetData>
  <phoneticPr fontId="0" type="noConversion"/>
  <pageMargins left="0.75" right="0.75" top="1" bottom="1" header="0.5" footer="0.5"/>
  <pageSetup scale="87" orientation="portrait" horizontalDpi="360" verticalDpi="360" r:id="rId1"/>
  <headerFooter alignWithMargins="0"/>
  <colBreaks count="1" manualBreakCount="1">
    <brk id="7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3"/>
  <dimension ref="A1:O90"/>
  <sheetViews>
    <sheetView workbookViewId="0"/>
  </sheetViews>
  <sheetFormatPr defaultRowHeight="12.75"/>
  <cols>
    <col min="2" max="2" width="3.140625" customWidth="1"/>
    <col min="3" max="3" width="34.5703125" bestFit="1" customWidth="1"/>
    <col min="4" max="8" width="17.5703125" customWidth="1"/>
    <col min="9" max="9" width="3.140625" customWidth="1"/>
  </cols>
  <sheetData>
    <row r="1" spans="1:12" ht="18">
      <c r="A1" s="1"/>
      <c r="B1" s="1"/>
      <c r="C1" s="39" t="s">
        <v>73</v>
      </c>
      <c r="D1" s="1"/>
      <c r="E1" s="1"/>
      <c r="F1" s="1"/>
      <c r="G1" s="1"/>
      <c r="H1" s="1"/>
      <c r="I1" s="1"/>
      <c r="J1" s="1"/>
      <c r="K1" s="1"/>
      <c r="L1" s="1"/>
    </row>
    <row r="2" spans="1:12" ht="15.75" customHeight="1">
      <c r="A2" s="1"/>
      <c r="B2" s="1"/>
      <c r="C2" s="1" t="s">
        <v>87</v>
      </c>
      <c r="D2" s="1"/>
      <c r="E2" s="1"/>
      <c r="F2" s="1"/>
      <c r="G2" s="1"/>
      <c r="H2" s="1"/>
      <c r="I2" s="1"/>
      <c r="J2" s="1"/>
      <c r="K2" s="1"/>
      <c r="L2" s="1"/>
    </row>
    <row r="3" spans="1:12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customHeight="1">
      <c r="A4" s="1"/>
      <c r="B4" s="1"/>
      <c r="C4" s="2" t="s">
        <v>0</v>
      </c>
      <c r="D4" s="1"/>
      <c r="E4" s="1"/>
      <c r="F4" s="1"/>
      <c r="G4" s="1"/>
      <c r="H4" s="1"/>
      <c r="I4" s="1"/>
      <c r="J4" s="1"/>
      <c r="K4" s="1"/>
      <c r="L4" s="1"/>
    </row>
    <row r="5" spans="1:12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5.75" customHeight="1">
      <c r="A6" s="1"/>
      <c r="B6" s="3"/>
      <c r="C6" s="4"/>
      <c r="D6" s="12"/>
      <c r="E6" s="5"/>
      <c r="F6" s="1"/>
      <c r="G6" s="1"/>
      <c r="H6" s="1"/>
      <c r="I6" s="1"/>
      <c r="J6" s="1"/>
      <c r="K6" s="1"/>
      <c r="L6" s="1"/>
    </row>
    <row r="7" spans="1:12" ht="15.75" customHeight="1">
      <c r="A7" s="1"/>
      <c r="B7" s="6"/>
      <c r="C7" s="7" t="s">
        <v>10</v>
      </c>
      <c r="D7" s="78">
        <v>3200000</v>
      </c>
      <c r="E7" s="8"/>
      <c r="F7" s="1"/>
      <c r="G7" s="1"/>
      <c r="H7" s="1"/>
      <c r="I7" s="1"/>
      <c r="J7" s="1"/>
      <c r="K7" s="1"/>
      <c r="L7" s="1"/>
    </row>
    <row r="8" spans="1:12" ht="15.75" customHeight="1">
      <c r="A8" s="1"/>
      <c r="B8" s="6"/>
      <c r="C8" s="7" t="s">
        <v>14</v>
      </c>
      <c r="D8" s="26">
        <v>0.35</v>
      </c>
      <c r="E8" s="8"/>
      <c r="F8" s="1"/>
      <c r="G8" s="1"/>
      <c r="H8" s="1"/>
      <c r="I8" s="1"/>
      <c r="J8" s="1"/>
      <c r="K8" s="1"/>
      <c r="L8" s="1"/>
    </row>
    <row r="9" spans="1:12" ht="15.75" customHeight="1">
      <c r="A9" s="1"/>
      <c r="B9" s="6"/>
      <c r="C9" s="7" t="s">
        <v>136</v>
      </c>
      <c r="D9" s="133">
        <v>4</v>
      </c>
      <c r="E9" s="8"/>
      <c r="F9" s="1"/>
      <c r="G9" s="1"/>
      <c r="H9" s="1"/>
      <c r="I9" s="1"/>
      <c r="J9" s="1"/>
      <c r="K9" s="1"/>
      <c r="L9" s="1"/>
    </row>
    <row r="10" spans="1:12" ht="15.75" customHeight="1">
      <c r="A10" s="1"/>
      <c r="B10" s="6"/>
      <c r="C10" s="7" t="s">
        <v>137</v>
      </c>
      <c r="D10" s="132">
        <f>D7/D9</f>
        <v>800000</v>
      </c>
      <c r="E10" s="8"/>
      <c r="F10" s="1"/>
      <c r="G10" s="1"/>
      <c r="H10" s="1"/>
      <c r="I10" s="1"/>
      <c r="J10" s="1"/>
      <c r="K10" s="1"/>
      <c r="L10" s="1"/>
    </row>
    <row r="11" spans="1:12" ht="15.75" customHeight="1">
      <c r="A11" s="1"/>
      <c r="B11" s="6"/>
      <c r="C11" s="7" t="s">
        <v>13</v>
      </c>
      <c r="D11" s="26">
        <v>0.09</v>
      </c>
      <c r="E11" s="8"/>
      <c r="F11" s="1"/>
      <c r="G11" s="1"/>
      <c r="H11" s="1"/>
      <c r="I11" s="1"/>
      <c r="J11" s="1"/>
      <c r="K11" s="1"/>
      <c r="L11" s="1"/>
    </row>
    <row r="12" spans="1:12" ht="15.75" customHeight="1">
      <c r="A12" s="1"/>
      <c r="B12" s="6"/>
      <c r="C12" s="7" t="s">
        <v>39</v>
      </c>
      <c r="D12" s="25">
        <v>950000</v>
      </c>
      <c r="E12" s="8"/>
      <c r="F12" s="1"/>
      <c r="G12" s="1"/>
      <c r="H12" s="1"/>
      <c r="I12" s="1"/>
      <c r="J12" s="1"/>
      <c r="K12" s="1"/>
      <c r="L12" s="1"/>
    </row>
    <row r="13" spans="1:12" ht="15.75" customHeight="1" thickBot="1">
      <c r="A13" s="1"/>
      <c r="B13" s="9"/>
      <c r="C13" s="10"/>
      <c r="D13" s="13"/>
      <c r="E13" s="11"/>
      <c r="F13" s="1"/>
      <c r="G13" s="1"/>
      <c r="H13" s="1"/>
      <c r="I13" s="1"/>
      <c r="J13" s="1"/>
      <c r="K13" s="1"/>
      <c r="L13" s="1"/>
    </row>
    <row r="14" spans="1:12" ht="15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ht="15.75" customHeight="1">
      <c r="A15" s="1"/>
      <c r="B15" s="1"/>
      <c r="C15" s="2" t="s">
        <v>1</v>
      </c>
      <c r="D15" s="1"/>
      <c r="E15" s="1"/>
      <c r="F15" s="1"/>
      <c r="G15" s="1"/>
      <c r="H15" s="1"/>
      <c r="I15" s="1"/>
      <c r="J15" s="1"/>
      <c r="K15" s="1"/>
      <c r="L15" s="1"/>
    </row>
    <row r="16" spans="1:12" ht="15.75" customHeight="1" thickBo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5" ht="15.75" customHeight="1">
      <c r="A17" s="1"/>
      <c r="B17" s="14"/>
      <c r="C17" s="15"/>
      <c r="D17" s="15"/>
      <c r="E17" s="15"/>
      <c r="F17" s="15"/>
      <c r="G17" s="23"/>
      <c r="H17" s="23"/>
      <c r="I17" s="16"/>
      <c r="J17" s="1"/>
      <c r="K17" s="1"/>
      <c r="L17" s="1"/>
      <c r="M17" s="1"/>
      <c r="N17" s="1"/>
      <c r="O17" s="1"/>
    </row>
    <row r="18" spans="1:15" ht="15.75" customHeight="1">
      <c r="A18" s="1"/>
      <c r="B18" s="42" t="s">
        <v>78</v>
      </c>
      <c r="C18" s="18" t="s">
        <v>16</v>
      </c>
      <c r="D18" s="49">
        <f>D11*(1-D8)</f>
        <v>5.8499999999999996E-2</v>
      </c>
      <c r="E18" s="18"/>
      <c r="F18" s="18"/>
      <c r="G18" s="77"/>
      <c r="H18" s="77"/>
      <c r="I18" s="19"/>
      <c r="J18" s="1"/>
      <c r="K18" s="1"/>
      <c r="L18" s="1"/>
      <c r="M18" s="1"/>
      <c r="N18" s="1"/>
      <c r="O18" s="1"/>
    </row>
    <row r="19" spans="1:15" ht="15.75" customHeight="1">
      <c r="A19" s="1"/>
      <c r="B19" s="17"/>
      <c r="C19" s="18"/>
      <c r="D19" s="18"/>
      <c r="E19" s="18"/>
      <c r="F19" s="18"/>
      <c r="G19" s="77"/>
      <c r="H19" s="77"/>
      <c r="I19" s="19"/>
      <c r="J19" s="1"/>
      <c r="K19" s="1"/>
      <c r="L19" s="1"/>
      <c r="M19" s="1"/>
      <c r="N19" s="1"/>
      <c r="O19" s="1"/>
    </row>
    <row r="20" spans="1:15" ht="15.75" customHeight="1">
      <c r="A20" s="1"/>
      <c r="B20" s="42"/>
      <c r="C20" s="18"/>
      <c r="D20" s="83" t="s">
        <v>94</v>
      </c>
      <c r="E20" s="83" t="s">
        <v>34</v>
      </c>
      <c r="F20" s="83" t="s">
        <v>95</v>
      </c>
      <c r="G20" s="84" t="s">
        <v>96</v>
      </c>
      <c r="H20" s="84" t="s">
        <v>97</v>
      </c>
      <c r="I20" s="19"/>
      <c r="J20" s="1"/>
      <c r="K20" s="1"/>
      <c r="L20" s="1"/>
      <c r="M20" s="1"/>
      <c r="N20" s="1"/>
      <c r="O20" s="1"/>
    </row>
    <row r="21" spans="1:15" ht="15.75" customHeight="1">
      <c r="A21" s="1"/>
      <c r="B21" s="42"/>
      <c r="C21" s="73" t="s">
        <v>93</v>
      </c>
      <c r="D21" s="83"/>
      <c r="E21" s="83"/>
      <c r="F21" s="83"/>
      <c r="G21" s="84"/>
      <c r="H21" s="84"/>
      <c r="I21" s="19"/>
      <c r="J21" s="1"/>
      <c r="K21" s="1"/>
      <c r="L21" s="1"/>
      <c r="M21" s="1"/>
      <c r="N21" s="1"/>
      <c r="O21" s="1"/>
    </row>
    <row r="22" spans="1:15" ht="15.75" customHeight="1">
      <c r="A22" s="1"/>
      <c r="B22" s="42"/>
      <c r="C22" s="18" t="s">
        <v>85</v>
      </c>
      <c r="D22" s="41">
        <f>-D12</f>
        <v>-950000</v>
      </c>
      <c r="E22" s="41">
        <f t="shared" ref="E22:G23" si="0">D22</f>
        <v>-950000</v>
      </c>
      <c r="F22" s="41">
        <f t="shared" si="0"/>
        <v>-950000</v>
      </c>
      <c r="G22" s="41">
        <f t="shared" si="0"/>
        <v>-950000</v>
      </c>
      <c r="H22" s="41"/>
      <c r="I22" s="19"/>
      <c r="J22" s="1"/>
      <c r="K22" s="1"/>
      <c r="L22" s="1"/>
      <c r="M22" s="1"/>
      <c r="N22" s="1"/>
      <c r="O22" s="1"/>
    </row>
    <row r="23" spans="1:15" ht="15.75" customHeight="1">
      <c r="A23" s="1"/>
      <c r="B23" s="42"/>
      <c r="C23" s="18" t="s">
        <v>100</v>
      </c>
      <c r="D23" s="125">
        <f>D22*-D8</f>
        <v>332500</v>
      </c>
      <c r="E23" s="125">
        <f t="shared" si="0"/>
        <v>332500</v>
      </c>
      <c r="F23" s="125">
        <f t="shared" si="0"/>
        <v>332500</v>
      </c>
      <c r="G23" s="125">
        <f t="shared" si="0"/>
        <v>332500</v>
      </c>
      <c r="H23" s="125"/>
      <c r="I23" s="19"/>
      <c r="J23" s="1"/>
      <c r="K23" s="1"/>
      <c r="L23" s="1"/>
      <c r="M23" s="1"/>
      <c r="N23" s="1"/>
      <c r="O23" s="1"/>
    </row>
    <row r="24" spans="1:15" ht="15.75" customHeight="1">
      <c r="A24" s="1"/>
      <c r="B24" s="42"/>
      <c r="C24" s="18" t="s">
        <v>110</v>
      </c>
      <c r="D24" s="125"/>
      <c r="E24" s="125">
        <f>-D7/4*D8</f>
        <v>-280000</v>
      </c>
      <c r="F24" s="125">
        <f>E24</f>
        <v>-280000</v>
      </c>
      <c r="G24" s="125">
        <f>F24</f>
        <v>-280000</v>
      </c>
      <c r="H24" s="125">
        <f>G24</f>
        <v>-280000</v>
      </c>
      <c r="I24" s="19"/>
      <c r="J24" s="1"/>
      <c r="K24" s="1"/>
      <c r="L24" s="1"/>
      <c r="M24" s="1"/>
      <c r="N24" s="1"/>
      <c r="O24" s="1"/>
    </row>
    <row r="25" spans="1:15" ht="15.75" customHeight="1">
      <c r="A25" s="1"/>
      <c r="B25" s="42"/>
      <c r="C25" s="18" t="s">
        <v>109</v>
      </c>
      <c r="D25" s="126">
        <f>D7</f>
        <v>3200000</v>
      </c>
      <c r="E25" s="126"/>
      <c r="F25" s="126"/>
      <c r="G25" s="126"/>
      <c r="H25" s="126"/>
      <c r="I25" s="19"/>
      <c r="J25" s="1"/>
      <c r="K25" s="1"/>
      <c r="L25" s="1"/>
      <c r="M25" s="1"/>
      <c r="N25" s="1"/>
      <c r="O25" s="1"/>
    </row>
    <row r="26" spans="1:15" ht="15.75" customHeight="1">
      <c r="A26" s="1"/>
      <c r="B26" s="42"/>
      <c r="C26" s="18"/>
      <c r="D26" s="41">
        <f>D22+D23+D24+D25</f>
        <v>2582500</v>
      </c>
      <c r="E26" s="41">
        <f>E22+E23+E24+E25</f>
        <v>-897500</v>
      </c>
      <c r="F26" s="41">
        <f>F22+F23+F24+F25</f>
        <v>-897500</v>
      </c>
      <c r="G26" s="41">
        <f>G22+G23+G24+G25</f>
        <v>-897500</v>
      </c>
      <c r="H26" s="41">
        <f>H22+H23+H24+H25</f>
        <v>-280000</v>
      </c>
      <c r="I26" s="19"/>
      <c r="J26" s="1"/>
      <c r="K26" s="1"/>
      <c r="L26" s="1"/>
      <c r="M26" s="1"/>
      <c r="N26" s="1"/>
      <c r="O26" s="1"/>
    </row>
    <row r="27" spans="1:15" ht="15.75" customHeight="1">
      <c r="A27" s="1"/>
      <c r="B27" s="42"/>
      <c r="C27" s="18"/>
      <c r="D27" s="47"/>
      <c r="E27" s="47"/>
      <c r="F27" s="47"/>
      <c r="G27" s="47"/>
      <c r="H27" s="47"/>
      <c r="I27" s="19"/>
      <c r="J27" s="1"/>
      <c r="K27" s="1"/>
      <c r="L27" s="1"/>
      <c r="M27" s="1"/>
      <c r="N27" s="1"/>
      <c r="O27" s="1"/>
    </row>
    <row r="28" spans="1:15" ht="15.75" customHeight="1">
      <c r="A28" s="1"/>
      <c r="B28" s="42"/>
      <c r="C28" s="18" t="s">
        <v>17</v>
      </c>
      <c r="D28" s="51">
        <f>NPV(D18,E26:H26)+D26</f>
        <v>-46247.779787670355</v>
      </c>
      <c r="E28" s="47"/>
      <c r="F28" s="47"/>
      <c r="G28" s="47"/>
      <c r="H28" s="47"/>
      <c r="I28" s="19"/>
      <c r="J28" s="1"/>
      <c r="K28" s="1"/>
      <c r="L28" s="1"/>
      <c r="M28" s="1"/>
      <c r="N28" s="1"/>
      <c r="O28" s="1"/>
    </row>
    <row r="29" spans="1:15" ht="15.75" customHeight="1">
      <c r="A29" s="1"/>
      <c r="B29" s="42"/>
      <c r="C29" s="18"/>
      <c r="D29" s="50"/>
      <c r="E29" s="47"/>
      <c r="F29" s="47"/>
      <c r="G29" s="47"/>
      <c r="H29" s="47"/>
      <c r="I29" s="19"/>
      <c r="J29" s="1"/>
      <c r="K29" s="1"/>
      <c r="L29" s="1"/>
      <c r="M29" s="1"/>
      <c r="N29" s="1"/>
      <c r="O29" s="1"/>
    </row>
    <row r="30" spans="1:15" ht="15.75" customHeight="1">
      <c r="A30" s="1"/>
      <c r="B30" s="42" t="s">
        <v>106</v>
      </c>
      <c r="C30" s="18" t="s">
        <v>76</v>
      </c>
      <c r="D30" s="47">
        <f>-NPV(D18,E24:H24)</f>
        <v>973571.39676507539</v>
      </c>
      <c r="E30" s="47"/>
      <c r="F30" s="47"/>
      <c r="G30" s="47"/>
      <c r="H30" s="47"/>
      <c r="I30" s="19"/>
      <c r="J30" s="1"/>
      <c r="K30" s="1"/>
      <c r="L30" s="1"/>
      <c r="M30" s="1"/>
      <c r="N30" s="1"/>
      <c r="O30" s="1"/>
    </row>
    <row r="31" spans="1:15" ht="15.75" customHeight="1">
      <c r="A31" s="1"/>
      <c r="B31" s="42"/>
      <c r="C31" s="18"/>
      <c r="D31" s="50"/>
      <c r="E31" s="47"/>
      <c r="F31" s="47"/>
      <c r="G31" s="47"/>
      <c r="H31" s="47"/>
      <c r="I31" s="19"/>
      <c r="J31" s="1"/>
      <c r="K31" s="1"/>
      <c r="L31" s="1"/>
      <c r="M31" s="1"/>
      <c r="N31" s="1"/>
      <c r="O31" s="1"/>
    </row>
    <row r="32" spans="1:15" ht="15.75" customHeight="1">
      <c r="A32" s="1"/>
      <c r="B32" s="42"/>
      <c r="C32" s="18" t="s">
        <v>112</v>
      </c>
      <c r="D32" s="47">
        <f>-PMT(D18,4,D25-D30,,1)</f>
        <v>604934.19686488505</v>
      </c>
      <c r="E32" s="47"/>
      <c r="F32" s="47"/>
      <c r="G32" s="47"/>
      <c r="H32" s="47"/>
      <c r="I32" s="19"/>
      <c r="J32" s="1"/>
      <c r="K32" s="1"/>
      <c r="L32" s="1"/>
      <c r="M32" s="1"/>
      <c r="N32" s="1"/>
      <c r="O32" s="1"/>
    </row>
    <row r="33" spans="1:15" ht="15.75" customHeight="1">
      <c r="A33" s="1"/>
      <c r="B33" s="42"/>
      <c r="C33" s="18"/>
      <c r="D33" s="50"/>
      <c r="E33" s="47"/>
      <c r="F33" s="47"/>
      <c r="G33" s="47"/>
      <c r="H33" s="47"/>
      <c r="I33" s="19"/>
      <c r="J33" s="1"/>
      <c r="K33" s="1"/>
      <c r="L33" s="1"/>
      <c r="M33" s="1"/>
      <c r="N33" s="1"/>
      <c r="O33" s="1"/>
    </row>
    <row r="34" spans="1:15" ht="15.75" customHeight="1">
      <c r="A34" s="1"/>
      <c r="B34" s="42"/>
      <c r="C34" s="18" t="s">
        <v>111</v>
      </c>
      <c r="D34" s="51">
        <f>D32/(1-D8)</f>
        <v>930667.99517674616</v>
      </c>
      <c r="E34" s="18"/>
      <c r="F34" s="18"/>
      <c r="G34" s="82"/>
      <c r="H34" s="82"/>
      <c r="I34" s="19"/>
      <c r="J34" s="1"/>
      <c r="K34" s="1"/>
      <c r="L34" s="1"/>
      <c r="M34" s="1"/>
      <c r="N34" s="1"/>
      <c r="O34" s="1"/>
    </row>
    <row r="35" spans="1:15" ht="15.75" customHeight="1" thickBot="1">
      <c r="A35" s="1"/>
      <c r="B35" s="20"/>
      <c r="C35" s="21"/>
      <c r="D35" s="21"/>
      <c r="E35" s="21"/>
      <c r="F35" s="21"/>
      <c r="G35" s="24"/>
      <c r="H35" s="24"/>
      <c r="I35" s="22"/>
      <c r="J35" s="1"/>
      <c r="K35" s="1"/>
      <c r="L35" s="1"/>
      <c r="M35" s="1"/>
      <c r="N35" s="1"/>
      <c r="O35" s="1"/>
    </row>
    <row r="36" spans="1:1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ht="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63"/>
  <sheetViews>
    <sheetView zoomScaleNormal="100" workbookViewId="0"/>
  </sheetViews>
  <sheetFormatPr defaultRowHeight="12.75"/>
  <cols>
    <col min="1" max="1" width="9.140625" style="95"/>
    <col min="2" max="2" width="3.140625" style="95" customWidth="1"/>
    <col min="3" max="3" width="30.5703125" style="95" bestFit="1" customWidth="1"/>
    <col min="4" max="4" width="18.140625" style="95" customWidth="1"/>
    <col min="5" max="5" width="3.140625" style="95" customWidth="1"/>
    <col min="6" max="6" width="20.5703125" style="95" customWidth="1"/>
    <col min="7" max="7" width="22.7109375" style="95" customWidth="1"/>
    <col min="8" max="8" width="4.140625" style="95" customWidth="1"/>
    <col min="9" max="16384" width="9.140625" style="95"/>
  </cols>
  <sheetData>
    <row r="1" spans="1:11" ht="18">
      <c r="A1" s="93"/>
      <c r="B1" s="93"/>
      <c r="C1" s="94" t="s">
        <v>73</v>
      </c>
      <c r="D1" s="93"/>
      <c r="E1" s="93"/>
      <c r="F1" s="93"/>
      <c r="G1" s="93"/>
      <c r="H1" s="93"/>
      <c r="I1" s="93"/>
      <c r="J1" s="93"/>
      <c r="K1" s="93"/>
    </row>
    <row r="2" spans="1:11" ht="15.75" customHeight="1">
      <c r="A2" s="93"/>
      <c r="B2" s="93"/>
      <c r="C2" s="93" t="s">
        <v>88</v>
      </c>
      <c r="D2" s="93"/>
      <c r="E2" s="93"/>
      <c r="F2" s="93"/>
      <c r="G2" s="93"/>
      <c r="H2" s="93"/>
      <c r="I2" s="93"/>
      <c r="J2" s="93"/>
      <c r="K2" s="93"/>
    </row>
    <row r="3" spans="1:11" ht="15.75" customHeight="1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1" ht="15.75" customHeight="1">
      <c r="A4" s="93"/>
      <c r="B4" s="93"/>
      <c r="C4" s="96" t="s">
        <v>0</v>
      </c>
      <c r="D4" s="93"/>
      <c r="E4" s="93"/>
      <c r="F4" s="93"/>
      <c r="G4" s="93"/>
      <c r="H4" s="93"/>
      <c r="I4" s="93"/>
      <c r="J4" s="93"/>
      <c r="K4" s="93"/>
    </row>
    <row r="5" spans="1:11" ht="15.75" customHeight="1" thickBot="1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</row>
    <row r="6" spans="1:11" ht="15.75" customHeight="1">
      <c r="A6" s="93"/>
      <c r="B6" s="97"/>
      <c r="C6" s="98"/>
      <c r="D6" s="99"/>
      <c r="E6" s="100"/>
      <c r="F6" s="93"/>
      <c r="G6" s="93"/>
      <c r="H6" s="93"/>
      <c r="I6" s="93"/>
      <c r="J6" s="93"/>
      <c r="K6" s="93"/>
    </row>
    <row r="7" spans="1:11" ht="15.75" customHeight="1">
      <c r="A7" s="93"/>
      <c r="B7" s="101"/>
      <c r="C7" s="102" t="s">
        <v>10</v>
      </c>
      <c r="D7" s="25">
        <v>620000</v>
      </c>
      <c r="E7" s="103"/>
      <c r="F7" s="93"/>
      <c r="G7" s="93"/>
      <c r="H7" s="93"/>
      <c r="I7" s="93"/>
      <c r="J7" s="93"/>
      <c r="K7" s="93"/>
    </row>
    <row r="8" spans="1:11" ht="15.75" customHeight="1">
      <c r="A8" s="93"/>
      <c r="B8" s="101"/>
      <c r="C8" s="102" t="s">
        <v>11</v>
      </c>
      <c r="D8" s="43">
        <v>3</v>
      </c>
      <c r="E8" s="103"/>
      <c r="F8" s="93"/>
      <c r="G8" s="93"/>
      <c r="H8" s="93"/>
      <c r="I8" s="93"/>
      <c r="J8" s="93"/>
      <c r="K8" s="93"/>
    </row>
    <row r="9" spans="1:11" ht="15.75" customHeight="1">
      <c r="A9" s="93"/>
      <c r="B9" s="101"/>
      <c r="C9" s="102" t="s">
        <v>14</v>
      </c>
      <c r="D9" s="26">
        <v>0.34</v>
      </c>
      <c r="E9" s="103"/>
      <c r="F9" s="93"/>
      <c r="G9" s="93"/>
      <c r="H9" s="93"/>
      <c r="I9" s="93"/>
      <c r="J9" s="93"/>
      <c r="K9" s="93"/>
    </row>
    <row r="10" spans="1:11" ht="15.75" customHeight="1">
      <c r="A10" s="93"/>
      <c r="B10" s="101"/>
      <c r="C10" s="102" t="s">
        <v>132</v>
      </c>
      <c r="D10" s="26">
        <v>0.09</v>
      </c>
      <c r="E10" s="103"/>
      <c r="F10" s="93"/>
      <c r="G10" s="93"/>
      <c r="H10" s="93"/>
      <c r="I10" s="93"/>
      <c r="J10" s="93"/>
      <c r="K10" s="93"/>
    </row>
    <row r="11" spans="1:11" ht="15.75" customHeight="1" thickBot="1">
      <c r="A11" s="93"/>
      <c r="B11" s="104"/>
      <c r="C11" s="105"/>
      <c r="D11" s="106"/>
      <c r="E11" s="107"/>
      <c r="F11" s="93"/>
      <c r="G11" s="93"/>
      <c r="H11" s="93"/>
      <c r="I11" s="93"/>
      <c r="J11" s="93"/>
      <c r="K11" s="93"/>
    </row>
    <row r="12" spans="1:11" ht="15.75" customHeight="1">
      <c r="A12" s="93"/>
      <c r="B12" s="93"/>
      <c r="C12" s="93"/>
      <c r="D12" s="93"/>
      <c r="E12" s="93"/>
      <c r="F12" s="93"/>
      <c r="G12" s="93"/>
      <c r="H12" s="93"/>
      <c r="I12" s="93"/>
      <c r="J12" s="93"/>
      <c r="K12" s="93"/>
    </row>
    <row r="13" spans="1:11" ht="15.75" customHeight="1">
      <c r="A13" s="93"/>
      <c r="B13" s="93"/>
      <c r="C13" s="96" t="s">
        <v>1</v>
      </c>
      <c r="D13" s="93"/>
      <c r="E13" s="93"/>
      <c r="F13" s="93"/>
      <c r="G13" s="93"/>
      <c r="H13" s="93"/>
      <c r="I13" s="93"/>
      <c r="J13" s="93"/>
      <c r="K13" s="93"/>
    </row>
    <row r="14" spans="1:11" ht="15.75" customHeight="1" thickBot="1">
      <c r="A14" s="93"/>
      <c r="B14" s="93"/>
      <c r="C14" s="93"/>
      <c r="D14" s="93"/>
      <c r="E14" s="93"/>
      <c r="F14" s="93"/>
      <c r="G14" s="93"/>
      <c r="H14" s="93"/>
      <c r="I14" s="93"/>
      <c r="J14" s="93"/>
      <c r="K14" s="93"/>
    </row>
    <row r="15" spans="1:11" ht="15.75" customHeight="1">
      <c r="A15" s="93"/>
      <c r="B15" s="108"/>
      <c r="C15" s="109"/>
      <c r="D15" s="110"/>
      <c r="E15" s="111"/>
      <c r="F15" s="93"/>
      <c r="G15" s="93"/>
      <c r="H15" s="93"/>
      <c r="I15" s="93"/>
      <c r="J15" s="93"/>
      <c r="K15" s="93"/>
    </row>
    <row r="16" spans="1:11" ht="15.75" customHeight="1">
      <c r="A16" s="93"/>
      <c r="B16" s="112" t="s">
        <v>79</v>
      </c>
      <c r="C16" s="113" t="s">
        <v>16</v>
      </c>
      <c r="D16" s="49">
        <f>D10*(1-D9)</f>
        <v>5.9399999999999988E-2</v>
      </c>
      <c r="E16" s="114"/>
      <c r="F16" s="93"/>
      <c r="G16" s="93"/>
      <c r="H16" s="93"/>
      <c r="I16" s="93"/>
      <c r="J16" s="93"/>
      <c r="K16" s="93"/>
    </row>
    <row r="17" spans="1:11" ht="15.75" customHeight="1">
      <c r="A17" s="93"/>
      <c r="B17" s="112"/>
      <c r="C17" s="113" t="s">
        <v>15</v>
      </c>
      <c r="D17" s="115">
        <f>(D7/D8)*D9</f>
        <v>70266.666666666672</v>
      </c>
      <c r="E17" s="114"/>
      <c r="F17" s="93"/>
      <c r="G17" s="93"/>
      <c r="H17" s="93"/>
      <c r="I17" s="93"/>
      <c r="J17" s="93"/>
      <c r="K17" s="93"/>
    </row>
    <row r="18" spans="1:11" ht="15.75" customHeight="1">
      <c r="A18" s="93"/>
      <c r="B18" s="112"/>
      <c r="C18" s="113" t="s">
        <v>76</v>
      </c>
      <c r="D18" s="115">
        <f>PV(D16,D8,-D17)</f>
        <v>188032.33753300417</v>
      </c>
      <c r="E18" s="114"/>
      <c r="F18" s="93"/>
      <c r="G18" s="93"/>
      <c r="H18" s="93"/>
      <c r="I18" s="93"/>
      <c r="J18" s="93"/>
      <c r="K18" s="93"/>
    </row>
    <row r="19" spans="1:11" ht="15.75" customHeight="1">
      <c r="A19" s="93"/>
      <c r="B19" s="112"/>
      <c r="C19" s="113" t="s">
        <v>84</v>
      </c>
      <c r="D19" s="115">
        <f>-PMT(D16,D8,D7-D18)</f>
        <v>161423.97710723514</v>
      </c>
      <c r="E19" s="114"/>
      <c r="F19" s="93"/>
      <c r="G19" s="93"/>
      <c r="H19" s="93"/>
      <c r="I19" s="93"/>
      <c r="J19" s="93"/>
      <c r="K19" s="93"/>
    </row>
    <row r="20" spans="1:11" ht="15.75" customHeight="1">
      <c r="A20" s="93"/>
      <c r="B20" s="112"/>
      <c r="C20" s="113"/>
      <c r="D20" s="116"/>
      <c r="E20" s="114"/>
      <c r="F20" s="93"/>
      <c r="G20" s="93"/>
      <c r="H20" s="93"/>
      <c r="I20" s="93"/>
      <c r="J20" s="93"/>
      <c r="K20" s="93"/>
    </row>
    <row r="21" spans="1:11" ht="15.75" customHeight="1">
      <c r="A21" s="93"/>
      <c r="B21" s="117"/>
      <c r="C21" s="113" t="s">
        <v>85</v>
      </c>
      <c r="D21" s="118">
        <f>D19/(1-D9)</f>
        <v>244581.78349581084</v>
      </c>
      <c r="E21" s="114"/>
      <c r="F21" s="93"/>
      <c r="G21" s="93"/>
      <c r="H21" s="93"/>
      <c r="I21" s="93"/>
      <c r="J21" s="93"/>
      <c r="K21" s="93"/>
    </row>
    <row r="22" spans="1:11" ht="15.75" customHeight="1">
      <c r="A22" s="93"/>
      <c r="B22" s="119"/>
      <c r="C22" s="113"/>
      <c r="D22" s="40"/>
      <c r="E22" s="114"/>
      <c r="F22" s="93"/>
      <c r="G22" s="93"/>
      <c r="H22" s="93"/>
      <c r="I22" s="93"/>
      <c r="J22" s="93"/>
      <c r="K22" s="93"/>
    </row>
    <row r="23" spans="1:11" ht="15.75" customHeight="1">
      <c r="A23" s="93"/>
      <c r="B23" s="119" t="s">
        <v>106</v>
      </c>
      <c r="C23" s="113" t="s">
        <v>86</v>
      </c>
      <c r="D23" s="118">
        <f>PMT(D10,D8,-D7)</f>
        <v>244933.94954394299</v>
      </c>
      <c r="E23" s="114"/>
      <c r="F23" s="93"/>
      <c r="G23" s="93"/>
      <c r="H23" s="93"/>
      <c r="I23" s="93"/>
      <c r="J23" s="93"/>
      <c r="K23" s="93"/>
    </row>
    <row r="24" spans="1:11" ht="15.75" customHeight="1" thickBot="1">
      <c r="A24" s="93"/>
      <c r="B24" s="120"/>
      <c r="C24" s="121"/>
      <c r="D24" s="122"/>
      <c r="E24" s="123"/>
      <c r="F24" s="93"/>
      <c r="G24" s="93"/>
      <c r="H24" s="93"/>
      <c r="I24" s="93"/>
      <c r="J24" s="93"/>
      <c r="K24" s="93"/>
    </row>
    <row r="25" spans="1:11" ht="15.75" customHeight="1">
      <c r="A25" s="93"/>
      <c r="B25" s="124"/>
      <c r="C25" s="93"/>
      <c r="D25" s="93"/>
      <c r="E25" s="93"/>
      <c r="F25" s="93"/>
      <c r="G25" s="93"/>
      <c r="H25" s="93"/>
      <c r="I25" s="93"/>
      <c r="J25" s="93"/>
      <c r="K25" s="93"/>
    </row>
    <row r="26" spans="1:11" ht="15.75" customHeight="1">
      <c r="A26" s="93"/>
      <c r="B26" s="93"/>
      <c r="C26" s="93"/>
      <c r="D26" s="93"/>
      <c r="E26" s="93"/>
      <c r="F26" s="93"/>
      <c r="G26" s="93"/>
      <c r="H26" s="93"/>
      <c r="I26" s="93"/>
      <c r="J26" s="93"/>
      <c r="K26" s="93"/>
    </row>
    <row r="27" spans="1:11" ht="15.75" customHeight="1">
      <c r="A27" s="93"/>
      <c r="B27" s="93"/>
      <c r="C27" s="93"/>
      <c r="D27" s="93"/>
      <c r="E27" s="93"/>
      <c r="F27" s="93"/>
      <c r="G27" s="93"/>
      <c r="H27" s="93"/>
      <c r="I27" s="93"/>
      <c r="J27" s="93"/>
      <c r="K27" s="93"/>
    </row>
    <row r="28" spans="1:11" ht="15.75" customHeight="1">
      <c r="A28" s="93"/>
      <c r="B28" s="93"/>
      <c r="C28" s="93"/>
      <c r="D28" s="93"/>
      <c r="E28" s="93"/>
      <c r="F28" s="93"/>
      <c r="G28" s="93"/>
      <c r="H28" s="93"/>
      <c r="I28" s="93"/>
      <c r="J28" s="93"/>
      <c r="K28" s="93"/>
    </row>
    <row r="29" spans="1:11" ht="15.75" customHeight="1">
      <c r="A29" s="93"/>
      <c r="B29" s="93"/>
      <c r="C29" s="93"/>
      <c r="D29" s="93"/>
      <c r="E29" s="93"/>
      <c r="F29" s="93"/>
      <c r="G29" s="93"/>
      <c r="H29" s="93"/>
      <c r="I29" s="93"/>
      <c r="J29" s="93"/>
      <c r="K29" s="93"/>
    </row>
    <row r="30" spans="1:11" ht="15.75" customHeight="1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</row>
    <row r="31" spans="1:11" ht="15.75" customHeight="1">
      <c r="A31" s="93"/>
      <c r="B31" s="93"/>
      <c r="C31" s="93"/>
      <c r="D31" s="93"/>
      <c r="E31" s="93"/>
      <c r="F31" s="93"/>
      <c r="G31" s="93"/>
      <c r="H31" s="93"/>
      <c r="I31" s="93"/>
      <c r="J31" s="93"/>
      <c r="K31" s="93"/>
    </row>
    <row r="32" spans="1:11" ht="15.75" customHeight="1">
      <c r="A32" s="93"/>
      <c r="B32" s="93"/>
      <c r="C32" s="93"/>
      <c r="D32" s="93"/>
      <c r="E32" s="93"/>
      <c r="F32" s="93"/>
      <c r="G32" s="93"/>
      <c r="H32" s="93"/>
      <c r="I32" s="93"/>
      <c r="J32" s="93"/>
      <c r="K32" s="93"/>
    </row>
    <row r="33" spans="1:11" ht="15.75" customHeight="1">
      <c r="A33" s="93"/>
      <c r="B33" s="93"/>
      <c r="C33" s="93"/>
      <c r="D33" s="93"/>
      <c r="E33" s="93"/>
      <c r="F33" s="93"/>
      <c r="G33" s="93"/>
      <c r="H33" s="93"/>
      <c r="I33" s="93"/>
      <c r="J33" s="93"/>
      <c r="K33" s="93"/>
    </row>
    <row r="34" spans="1:11" ht="15.75" customHeight="1">
      <c r="A34" s="93"/>
      <c r="B34" s="93"/>
      <c r="C34" s="93"/>
      <c r="D34" s="93"/>
      <c r="E34" s="93"/>
      <c r="F34" s="93"/>
      <c r="G34" s="93"/>
      <c r="H34" s="93"/>
      <c r="I34" s="93"/>
      <c r="J34" s="93"/>
      <c r="K34" s="93"/>
    </row>
    <row r="35" spans="1:11" ht="15.75" customHeight="1">
      <c r="A35" s="93"/>
      <c r="B35" s="93"/>
      <c r="C35" s="93"/>
      <c r="D35" s="93"/>
      <c r="E35" s="93"/>
      <c r="F35" s="93"/>
      <c r="G35" s="93"/>
      <c r="H35" s="93"/>
      <c r="I35" s="93"/>
      <c r="J35" s="93"/>
      <c r="K35" s="93"/>
    </row>
    <row r="36" spans="1:11" ht="15.75" customHeight="1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93"/>
    </row>
    <row r="37" spans="1:11" ht="15.75" customHeight="1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</row>
    <row r="38" spans="1:11" ht="15.75" customHeight="1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</row>
    <row r="39" spans="1:11" ht="15.75" customHeight="1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</row>
    <row r="40" spans="1:11" ht="15.75" customHeight="1">
      <c r="A40" s="93"/>
      <c r="B40" s="93"/>
      <c r="C40" s="93"/>
      <c r="D40" s="93"/>
      <c r="E40" s="93"/>
      <c r="F40" s="93"/>
      <c r="G40" s="93"/>
      <c r="H40" s="93"/>
      <c r="I40" s="93"/>
      <c r="J40" s="93"/>
      <c r="K40" s="93"/>
    </row>
    <row r="41" spans="1:11" ht="15.75" customHeight="1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</row>
    <row r="42" spans="1:11" ht="15.75" customHeight="1">
      <c r="A42" s="93"/>
      <c r="B42" s="93"/>
      <c r="C42" s="93"/>
      <c r="D42" s="93"/>
      <c r="E42" s="93"/>
      <c r="F42" s="93"/>
      <c r="G42" s="93"/>
      <c r="H42" s="93"/>
      <c r="I42" s="93"/>
      <c r="J42" s="93"/>
      <c r="K42" s="93"/>
    </row>
    <row r="43" spans="1:11" ht="15.75" customHeight="1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</row>
    <row r="44" spans="1:11" ht="15.75" customHeight="1">
      <c r="A44" s="93"/>
      <c r="B44" s="93"/>
      <c r="C44" s="93"/>
      <c r="D44" s="93"/>
      <c r="E44" s="93"/>
      <c r="F44" s="93"/>
      <c r="G44" s="93"/>
      <c r="H44" s="93"/>
      <c r="I44" s="93"/>
      <c r="J44" s="93"/>
      <c r="K44" s="93"/>
    </row>
    <row r="45" spans="1:11" ht="15.75" customHeight="1">
      <c r="A45" s="93"/>
      <c r="B45" s="93"/>
      <c r="C45" s="93"/>
      <c r="D45" s="93"/>
      <c r="E45" s="93"/>
      <c r="F45" s="93"/>
      <c r="G45" s="93"/>
      <c r="H45" s="93"/>
      <c r="I45" s="93"/>
      <c r="J45" s="93"/>
      <c r="K45" s="93"/>
    </row>
    <row r="46" spans="1:11" ht="15.75" customHeight="1">
      <c r="A46" s="93"/>
      <c r="B46" s="93"/>
      <c r="C46" s="93"/>
      <c r="D46" s="93"/>
      <c r="E46" s="93"/>
      <c r="F46" s="93"/>
      <c r="G46" s="93"/>
      <c r="H46" s="93"/>
      <c r="I46" s="93"/>
      <c r="J46" s="93"/>
      <c r="K46" s="93"/>
    </row>
    <row r="47" spans="1:11" ht="15.75" customHeight="1">
      <c r="A47" s="93"/>
      <c r="B47" s="93"/>
      <c r="C47" s="93"/>
      <c r="D47" s="93"/>
      <c r="E47" s="93"/>
      <c r="F47" s="93"/>
      <c r="G47" s="93"/>
      <c r="H47" s="93"/>
      <c r="I47" s="93"/>
      <c r="J47" s="93"/>
      <c r="K47" s="93"/>
    </row>
    <row r="48" spans="1:11" ht="15.75" customHeight="1">
      <c r="A48" s="93"/>
      <c r="B48" s="93"/>
      <c r="C48" s="93"/>
      <c r="D48" s="93"/>
      <c r="E48" s="93"/>
      <c r="F48" s="93"/>
      <c r="G48" s="93"/>
      <c r="H48" s="93"/>
      <c r="I48" s="93"/>
      <c r="J48" s="93"/>
      <c r="K48" s="93"/>
    </row>
    <row r="49" spans="1:11" ht="15.75" customHeight="1">
      <c r="A49" s="93"/>
      <c r="B49" s="93"/>
      <c r="C49" s="93"/>
      <c r="D49" s="93"/>
      <c r="E49" s="93"/>
      <c r="F49" s="93"/>
      <c r="G49" s="93"/>
      <c r="H49" s="93"/>
      <c r="I49" s="93"/>
      <c r="J49" s="93"/>
      <c r="K49" s="93"/>
    </row>
    <row r="50" spans="1:11" ht="15.75" customHeight="1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</row>
    <row r="51" spans="1:11" ht="15.75" customHeight="1">
      <c r="A51" s="93"/>
      <c r="B51" s="93"/>
      <c r="C51" s="93"/>
      <c r="D51" s="93"/>
      <c r="E51" s="93"/>
      <c r="F51" s="93"/>
      <c r="G51" s="93"/>
      <c r="H51" s="93"/>
      <c r="I51" s="93"/>
      <c r="J51" s="93"/>
      <c r="K51" s="93"/>
    </row>
    <row r="52" spans="1:11" ht="15.75" customHeight="1">
      <c r="A52" s="93"/>
      <c r="B52" s="93"/>
      <c r="C52" s="93"/>
      <c r="D52" s="93"/>
      <c r="E52" s="93"/>
      <c r="F52" s="93"/>
      <c r="G52" s="93"/>
      <c r="H52" s="93"/>
      <c r="I52" s="93"/>
      <c r="J52" s="93"/>
      <c r="K52" s="93"/>
    </row>
    <row r="53" spans="1:11" ht="15.75" customHeight="1">
      <c r="A53" s="93"/>
      <c r="B53" s="93"/>
      <c r="C53" s="93"/>
      <c r="D53" s="93"/>
      <c r="E53" s="93"/>
      <c r="F53" s="93"/>
      <c r="G53" s="93"/>
      <c r="H53" s="93"/>
      <c r="I53" s="93"/>
      <c r="J53" s="93"/>
      <c r="K53" s="93"/>
    </row>
    <row r="54" spans="1:11" ht="15.75" customHeight="1">
      <c r="A54" s="93"/>
      <c r="B54" s="93"/>
      <c r="C54" s="93"/>
      <c r="D54" s="93"/>
      <c r="E54" s="93"/>
      <c r="F54" s="93"/>
      <c r="G54" s="93"/>
      <c r="H54" s="93"/>
      <c r="I54" s="93"/>
      <c r="J54" s="93"/>
      <c r="K54" s="93"/>
    </row>
    <row r="55" spans="1:11" ht="15.75" customHeight="1">
      <c r="A55" s="93"/>
      <c r="B55" s="93"/>
      <c r="C55" s="93"/>
      <c r="D55" s="93"/>
      <c r="E55" s="93"/>
      <c r="F55" s="93"/>
      <c r="G55" s="93"/>
      <c r="H55" s="93"/>
      <c r="I55" s="93"/>
      <c r="J55" s="93"/>
      <c r="K55" s="93"/>
    </row>
    <row r="56" spans="1:11" ht="15.75" customHeight="1">
      <c r="A56" s="93"/>
      <c r="B56" s="93"/>
      <c r="C56" s="93"/>
      <c r="D56" s="93"/>
      <c r="E56" s="93"/>
      <c r="F56" s="93"/>
      <c r="G56" s="93"/>
      <c r="H56" s="93"/>
      <c r="I56" s="93"/>
      <c r="J56" s="93"/>
      <c r="K56" s="93"/>
    </row>
    <row r="57" spans="1:11" ht="15.75" customHeight="1">
      <c r="A57" s="93"/>
      <c r="B57" s="93"/>
      <c r="C57" s="93"/>
      <c r="D57" s="93"/>
      <c r="E57" s="93"/>
      <c r="F57" s="93"/>
      <c r="G57" s="93"/>
      <c r="H57" s="93"/>
      <c r="I57" s="93"/>
      <c r="J57" s="93"/>
      <c r="K57" s="93"/>
    </row>
    <row r="58" spans="1:11" ht="15.75" customHeight="1">
      <c r="A58" s="93"/>
      <c r="B58" s="93"/>
      <c r="C58" s="93"/>
      <c r="D58" s="93"/>
      <c r="E58" s="93"/>
      <c r="F58" s="93"/>
      <c r="G58" s="93"/>
      <c r="H58" s="93"/>
      <c r="I58" s="93"/>
      <c r="J58" s="93"/>
      <c r="K58" s="93"/>
    </row>
    <row r="59" spans="1:11" ht="15.75" customHeight="1"/>
    <row r="60" spans="1:11" ht="15.75" customHeight="1"/>
    <row r="61" spans="1:11" ht="15.75" customHeight="1"/>
    <row r="62" spans="1:11" ht="15.75" customHeight="1"/>
    <row r="63" spans="1:11" ht="15.75" customHeight="1"/>
  </sheetData>
  <phoneticPr fontId="24" type="noConversion"/>
  <pageMargins left="0.75" right="0.75" top="1" bottom="1" header="0.5" footer="0.5"/>
  <pageSetup scale="87" orientation="portrait" horizontalDpi="360" verticalDpi="360" r:id="rId1"/>
  <headerFooter alignWithMargins="0"/>
  <colBreaks count="1" manualBreakCount="1">
    <brk id="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4"/>
  <dimension ref="A1:L81"/>
  <sheetViews>
    <sheetView workbookViewId="0"/>
  </sheetViews>
  <sheetFormatPr defaultRowHeight="12.75"/>
  <cols>
    <col min="2" max="2" width="3.140625" customWidth="1"/>
    <col min="3" max="3" width="34.5703125" bestFit="1" customWidth="1"/>
    <col min="4" max="4" width="17.5703125" customWidth="1"/>
    <col min="5" max="5" width="3.140625" customWidth="1"/>
    <col min="6" max="8" width="17.5703125" customWidth="1"/>
    <col min="9" max="9" width="3.140625" customWidth="1"/>
  </cols>
  <sheetData>
    <row r="1" spans="1:12" ht="18">
      <c r="A1" s="1"/>
      <c r="B1" s="1"/>
      <c r="C1" s="39" t="s">
        <v>73</v>
      </c>
      <c r="D1" s="1"/>
      <c r="E1" s="1"/>
      <c r="F1" s="1"/>
      <c r="G1" s="1"/>
      <c r="H1" s="1"/>
      <c r="I1" s="1"/>
      <c r="J1" s="1"/>
      <c r="K1" s="1"/>
      <c r="L1" s="1"/>
    </row>
    <row r="2" spans="1:12" ht="15.75" customHeight="1">
      <c r="A2" s="1"/>
      <c r="B2" s="1"/>
      <c r="C2" s="1" t="s">
        <v>108</v>
      </c>
      <c r="D2" s="1"/>
      <c r="E2" s="1"/>
      <c r="F2" s="1"/>
      <c r="G2" s="1"/>
      <c r="H2" s="1"/>
      <c r="I2" s="1"/>
      <c r="J2" s="1"/>
      <c r="K2" s="1"/>
      <c r="L2" s="1"/>
    </row>
    <row r="3" spans="1:12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customHeight="1">
      <c r="A4" s="1"/>
      <c r="B4" s="1"/>
      <c r="C4" s="2" t="s">
        <v>0</v>
      </c>
      <c r="D4" s="1"/>
      <c r="E4" s="1"/>
      <c r="F4" s="1"/>
      <c r="G4" s="1"/>
      <c r="H4" s="1"/>
      <c r="I4" s="1"/>
      <c r="J4" s="1"/>
      <c r="K4" s="1"/>
      <c r="L4" s="1"/>
    </row>
    <row r="5" spans="1:12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5.75" customHeight="1">
      <c r="A6" s="1"/>
      <c r="B6" s="3"/>
      <c r="C6" s="4"/>
      <c r="D6" s="12"/>
      <c r="E6" s="5"/>
      <c r="F6" s="1"/>
      <c r="G6" s="1"/>
      <c r="H6" s="1"/>
      <c r="I6" s="1"/>
      <c r="J6" s="1"/>
      <c r="K6" s="1"/>
      <c r="L6" s="1"/>
    </row>
    <row r="7" spans="1:12" ht="15.75" customHeight="1">
      <c r="A7" s="1"/>
      <c r="B7" s="6"/>
      <c r="C7" s="7" t="s">
        <v>114</v>
      </c>
      <c r="D7" s="25">
        <v>36000</v>
      </c>
      <c r="E7" s="8"/>
      <c r="F7" s="1"/>
      <c r="G7" s="1"/>
      <c r="H7" s="1"/>
      <c r="I7" s="1"/>
      <c r="J7" s="1"/>
      <c r="K7" s="1"/>
      <c r="L7" s="1"/>
    </row>
    <row r="8" spans="1:12" ht="15.75" customHeight="1">
      <c r="A8" s="1"/>
      <c r="B8" s="6"/>
      <c r="C8" s="7" t="s">
        <v>115</v>
      </c>
      <c r="D8" s="78">
        <v>450</v>
      </c>
      <c r="E8" s="8"/>
      <c r="F8" s="1"/>
      <c r="G8" s="1"/>
      <c r="H8" s="1"/>
      <c r="I8" s="1"/>
      <c r="J8" s="1"/>
      <c r="K8" s="1"/>
      <c r="L8" s="1"/>
    </row>
    <row r="9" spans="1:12" ht="15.75" customHeight="1">
      <c r="A9" s="1"/>
      <c r="B9" s="6"/>
      <c r="C9" s="7" t="s">
        <v>116</v>
      </c>
      <c r="D9" s="81">
        <v>2000</v>
      </c>
      <c r="E9" s="8"/>
      <c r="F9" s="1"/>
      <c r="G9" s="1"/>
      <c r="H9" s="1"/>
      <c r="I9" s="1"/>
      <c r="J9" s="1"/>
      <c r="K9" s="1"/>
      <c r="L9" s="1"/>
    </row>
    <row r="10" spans="1:12" ht="15.75" customHeight="1">
      <c r="A10" s="1"/>
      <c r="B10" s="6"/>
      <c r="C10" s="7" t="s">
        <v>117</v>
      </c>
      <c r="D10" s="81">
        <v>21000</v>
      </c>
      <c r="E10" s="8"/>
      <c r="F10" s="1"/>
      <c r="G10" s="1"/>
      <c r="H10" s="1"/>
      <c r="I10" s="1"/>
      <c r="J10" s="1"/>
      <c r="K10" s="1"/>
      <c r="L10" s="1"/>
    </row>
    <row r="11" spans="1:12" ht="15.75" customHeight="1">
      <c r="A11" s="1"/>
      <c r="B11" s="6"/>
      <c r="C11" s="7" t="s">
        <v>118</v>
      </c>
      <c r="D11" s="87">
        <v>2.8500000000000001E-3</v>
      </c>
      <c r="E11" s="8"/>
      <c r="F11" s="1"/>
      <c r="G11" s="1"/>
      <c r="H11" s="1"/>
      <c r="I11" s="1"/>
      <c r="J11" s="1"/>
      <c r="K11" s="1"/>
      <c r="L11" s="1"/>
    </row>
    <row r="12" spans="1:12" ht="15.75" customHeight="1">
      <c r="A12" s="1"/>
      <c r="B12" s="6"/>
      <c r="C12" s="7" t="s">
        <v>119</v>
      </c>
      <c r="D12" s="86">
        <v>36</v>
      </c>
      <c r="E12" s="8"/>
      <c r="F12" s="1"/>
      <c r="G12" s="1"/>
      <c r="H12" s="1"/>
      <c r="I12" s="1"/>
      <c r="J12" s="1"/>
      <c r="K12" s="1"/>
      <c r="L12" s="1"/>
    </row>
    <row r="13" spans="1:12" ht="15.75" customHeight="1">
      <c r="A13" s="1"/>
      <c r="B13" s="6"/>
      <c r="C13" s="7" t="s">
        <v>14</v>
      </c>
      <c r="D13" s="26">
        <v>7.0000000000000007E-2</v>
      </c>
      <c r="E13" s="8"/>
      <c r="F13" s="1"/>
      <c r="G13" s="1"/>
      <c r="H13" s="1"/>
      <c r="I13" s="1"/>
      <c r="J13" s="1"/>
      <c r="K13" s="1"/>
      <c r="L13" s="1"/>
    </row>
    <row r="14" spans="1:12" ht="15.75" customHeight="1" thickBot="1">
      <c r="A14" s="1"/>
      <c r="B14" s="9"/>
      <c r="C14" s="10"/>
      <c r="D14" s="13"/>
      <c r="E14" s="11"/>
      <c r="F14" s="1"/>
      <c r="G14" s="1"/>
      <c r="H14" s="1"/>
      <c r="I14" s="1"/>
      <c r="J14" s="1"/>
      <c r="K14" s="1"/>
      <c r="L14" s="1"/>
    </row>
    <row r="15" spans="1:12" ht="15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ht="15.75" customHeight="1">
      <c r="A16" s="1"/>
      <c r="B16" s="1"/>
      <c r="C16" s="2" t="s">
        <v>1</v>
      </c>
      <c r="D16" s="1"/>
      <c r="E16" s="1"/>
      <c r="F16" s="1"/>
      <c r="G16" s="1"/>
      <c r="H16" s="1"/>
      <c r="I16" s="1"/>
      <c r="J16" s="1"/>
      <c r="K16" s="1"/>
      <c r="L16" s="1"/>
    </row>
    <row r="17" spans="1:12" ht="15.75" customHeight="1" thickBo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ht="15.75" customHeight="1">
      <c r="A18" s="1"/>
      <c r="B18" s="14"/>
      <c r="C18" s="15"/>
      <c r="D18" s="15"/>
      <c r="E18" s="16"/>
      <c r="F18" s="1"/>
      <c r="G18" s="1"/>
      <c r="H18" s="1"/>
      <c r="I18" s="1"/>
      <c r="J18" s="1"/>
      <c r="K18" s="1"/>
    </row>
    <row r="19" spans="1:12" ht="15.75" customHeight="1">
      <c r="A19" s="1"/>
      <c r="B19" s="17"/>
      <c r="C19" s="18" t="s">
        <v>120</v>
      </c>
      <c r="D19" s="90">
        <f>D11*24</f>
        <v>6.8400000000000002E-2</v>
      </c>
      <c r="E19" s="19"/>
      <c r="F19" s="1"/>
      <c r="G19" s="1"/>
      <c r="H19" s="1"/>
      <c r="I19" s="1"/>
      <c r="J19" s="1"/>
      <c r="K19" s="1"/>
    </row>
    <row r="20" spans="1:12" ht="15.75" customHeight="1">
      <c r="A20" s="1"/>
      <c r="B20" s="17"/>
      <c r="C20" s="18"/>
      <c r="D20" s="18"/>
      <c r="E20" s="19"/>
      <c r="F20" s="1"/>
      <c r="G20" s="1"/>
      <c r="H20" s="1"/>
      <c r="I20" s="1"/>
      <c r="J20" s="1"/>
      <c r="K20" s="1"/>
    </row>
    <row r="21" spans="1:12" ht="15.75" customHeight="1">
      <c r="A21" s="1"/>
      <c r="B21" s="17"/>
      <c r="C21" s="18" t="s">
        <v>121</v>
      </c>
      <c r="D21" s="89">
        <f>D7-D9+D8</f>
        <v>34450</v>
      </c>
      <c r="E21" s="19"/>
      <c r="F21" s="1"/>
      <c r="G21" s="1"/>
      <c r="H21" s="1"/>
      <c r="I21" s="1"/>
      <c r="J21" s="1"/>
      <c r="K21" s="1"/>
    </row>
    <row r="22" spans="1:12" ht="15.75" customHeight="1">
      <c r="A22" s="1"/>
      <c r="B22" s="17"/>
      <c r="C22" s="18" t="s">
        <v>122</v>
      </c>
      <c r="D22" s="47">
        <f>(D21-D10)/D12</f>
        <v>373.61111111111109</v>
      </c>
      <c r="E22" s="19"/>
      <c r="F22" s="1"/>
      <c r="G22" s="1"/>
      <c r="H22" s="1"/>
      <c r="I22" s="1"/>
      <c r="J22" s="1"/>
      <c r="K22" s="1"/>
    </row>
    <row r="23" spans="1:12" ht="15.75" customHeight="1">
      <c r="A23" s="1"/>
      <c r="B23" s="17"/>
      <c r="C23" s="18" t="s">
        <v>123</v>
      </c>
      <c r="D23" s="47">
        <f>(D21+D10)*D11</f>
        <v>158.0325</v>
      </c>
      <c r="E23" s="19"/>
      <c r="F23" s="1"/>
      <c r="G23" s="88"/>
      <c r="H23" s="1"/>
      <c r="I23" s="1"/>
      <c r="J23" s="1"/>
      <c r="K23" s="1"/>
    </row>
    <row r="24" spans="1:12" ht="15.75" customHeight="1">
      <c r="A24" s="1"/>
      <c r="B24" s="17"/>
      <c r="C24" s="18" t="s">
        <v>124</v>
      </c>
      <c r="D24" s="47">
        <f>(D22+D23)*D13</f>
        <v>37.215052777777778</v>
      </c>
      <c r="E24" s="19"/>
      <c r="F24" s="1"/>
      <c r="G24" s="1"/>
      <c r="H24" s="1"/>
      <c r="I24" s="1"/>
      <c r="J24" s="1"/>
      <c r="K24" s="1"/>
    </row>
    <row r="25" spans="1:12" ht="15.75" customHeight="1">
      <c r="A25" s="1"/>
      <c r="B25" s="17"/>
      <c r="C25" s="18" t="s">
        <v>125</v>
      </c>
      <c r="D25" s="51">
        <f>D22+D23+D24</f>
        <v>568.85866388888894</v>
      </c>
      <c r="E25" s="19"/>
      <c r="F25" s="1"/>
      <c r="G25" s="1"/>
      <c r="H25" s="1"/>
      <c r="I25" s="1"/>
      <c r="J25" s="1"/>
      <c r="K25" s="1"/>
    </row>
    <row r="26" spans="1:12" ht="15.75" customHeight="1" thickBot="1">
      <c r="A26" s="1"/>
      <c r="B26" s="20"/>
      <c r="C26" s="21"/>
      <c r="D26" s="21"/>
      <c r="E26" s="22"/>
      <c r="F26" s="1"/>
      <c r="G26" s="1"/>
      <c r="H26" s="1"/>
      <c r="I26" s="1"/>
      <c r="J26" s="1"/>
      <c r="K26" s="1"/>
    </row>
    <row r="27" spans="1:12" ht="15.75" customHeight="1">
      <c r="A27" s="1"/>
      <c r="B27" s="1"/>
      <c r="C27" s="1"/>
      <c r="D27" s="1"/>
      <c r="E27" s="1"/>
      <c r="F27" s="1"/>
      <c r="G27" s="1"/>
      <c r="H27" s="1"/>
    </row>
    <row r="28" spans="1:12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4"/>
  <dimension ref="A1:K76"/>
  <sheetViews>
    <sheetView zoomScaleNormal="100" workbookViewId="0"/>
  </sheetViews>
  <sheetFormatPr defaultRowHeight="12.75"/>
  <cols>
    <col min="2" max="2" width="3.140625" customWidth="1"/>
    <col min="3" max="3" width="27.42578125" customWidth="1"/>
    <col min="4" max="4" width="18.140625" customWidth="1"/>
    <col min="5" max="5" width="3.140625" customWidth="1"/>
    <col min="6" max="9" width="20.7109375" customWidth="1"/>
    <col min="10" max="10" width="4.42578125" customWidth="1"/>
  </cols>
  <sheetData>
    <row r="1" spans="1:11" ht="18">
      <c r="A1" s="1"/>
      <c r="B1" s="1"/>
      <c r="C1" s="39" t="s">
        <v>73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113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2" t="s">
        <v>0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3"/>
      <c r="C6" s="4"/>
      <c r="D6" s="12"/>
      <c r="E6" s="5"/>
      <c r="F6" s="1"/>
      <c r="G6" s="1"/>
      <c r="H6" s="1"/>
      <c r="I6" s="1"/>
      <c r="J6" s="1"/>
      <c r="K6" s="1"/>
    </row>
    <row r="7" spans="1:11" ht="15.75" customHeight="1">
      <c r="A7" s="1"/>
      <c r="B7" s="6"/>
      <c r="C7" s="7" t="s">
        <v>10</v>
      </c>
      <c r="D7" s="60">
        <f ca="1">'#1-5'!D7</f>
        <v>5200000</v>
      </c>
      <c r="E7" s="8"/>
      <c r="F7" s="1"/>
      <c r="G7" s="1"/>
      <c r="H7" s="1"/>
      <c r="I7" s="1"/>
      <c r="J7" s="1"/>
      <c r="K7" s="1"/>
    </row>
    <row r="8" spans="1:11" ht="15.75" customHeight="1">
      <c r="A8" s="1"/>
      <c r="B8" s="6"/>
      <c r="C8" s="7" t="s">
        <v>11</v>
      </c>
      <c r="D8" s="61">
        <f ca="1">'#1-5'!D8</f>
        <v>4</v>
      </c>
      <c r="E8" s="8"/>
      <c r="F8" s="1"/>
      <c r="G8" s="1"/>
      <c r="H8" s="1"/>
      <c r="I8" s="1"/>
      <c r="J8" s="1"/>
      <c r="K8" s="1"/>
    </row>
    <row r="9" spans="1:11" ht="15.75" customHeight="1">
      <c r="A9" s="1"/>
      <c r="B9" s="6"/>
      <c r="C9" s="7" t="s">
        <v>12</v>
      </c>
      <c r="D9" s="60">
        <f ca="1">'#1-5'!D9</f>
        <v>1525000</v>
      </c>
      <c r="E9" s="8"/>
      <c r="F9" s="1"/>
      <c r="G9" s="1"/>
      <c r="H9" s="1"/>
      <c r="I9" s="1"/>
      <c r="J9" s="1"/>
      <c r="K9" s="1"/>
    </row>
    <row r="10" spans="1:11" ht="15.75" customHeight="1">
      <c r="A10" s="1"/>
      <c r="B10" s="6"/>
      <c r="C10" s="7" t="s">
        <v>13</v>
      </c>
      <c r="D10" s="62">
        <f ca="1">'#1-5'!D10</f>
        <v>0.08</v>
      </c>
      <c r="E10" s="8"/>
      <c r="F10" s="1"/>
      <c r="G10" s="1"/>
      <c r="H10" s="1"/>
      <c r="I10" s="1"/>
      <c r="J10" s="1"/>
      <c r="K10" s="1"/>
    </row>
    <row r="11" spans="1:11" ht="15.75" customHeight="1">
      <c r="A11" s="1"/>
      <c r="B11" s="6"/>
      <c r="C11" s="7" t="s">
        <v>14</v>
      </c>
      <c r="D11" s="62">
        <f ca="1">'#1-5'!D11</f>
        <v>0.35</v>
      </c>
      <c r="E11" s="8"/>
      <c r="F11" s="1"/>
      <c r="G11" s="1"/>
      <c r="H11" s="1"/>
      <c r="I11" s="1"/>
      <c r="J11" s="1"/>
      <c r="K11" s="1"/>
    </row>
    <row r="12" spans="1:11" ht="15.75" customHeight="1" thickBot="1">
      <c r="A12" s="1"/>
      <c r="B12" s="9"/>
      <c r="C12" s="10"/>
      <c r="D12" s="13"/>
      <c r="E12" s="11"/>
      <c r="F12" s="1"/>
      <c r="G12" s="1"/>
      <c r="H12" s="1"/>
      <c r="I12" s="1"/>
      <c r="J12" s="1"/>
      <c r="K12" s="1"/>
    </row>
    <row r="13" spans="1:11" ht="15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.75" customHeight="1">
      <c r="A14" s="1"/>
      <c r="B14" s="1"/>
      <c r="C14" s="2" t="s">
        <v>1</v>
      </c>
      <c r="D14" s="1"/>
      <c r="E14" s="1"/>
      <c r="F14" s="1"/>
      <c r="G14" s="1"/>
      <c r="H14" s="1"/>
      <c r="I14" s="1"/>
      <c r="J14" s="1"/>
      <c r="K14" s="1"/>
    </row>
    <row r="15" spans="1:11" ht="15.75" customHeight="1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.75" customHeight="1">
      <c r="A16" s="1"/>
      <c r="B16" s="14"/>
      <c r="C16" s="15"/>
      <c r="D16" s="23"/>
      <c r="E16" s="15"/>
      <c r="F16" s="15"/>
      <c r="G16" s="15"/>
      <c r="H16" s="15"/>
      <c r="I16" s="15"/>
      <c r="J16" s="16"/>
      <c r="K16" s="1"/>
    </row>
    <row r="17" spans="1:11" ht="15.75" customHeight="1">
      <c r="A17" s="1"/>
      <c r="B17" s="53"/>
      <c r="C17" s="18" t="s">
        <v>62</v>
      </c>
      <c r="D17" s="47">
        <f>-PMT(D10,D8,D7)</f>
        <v>1569988.1831610035</v>
      </c>
      <c r="E17" s="18"/>
      <c r="F17" s="18"/>
      <c r="G17" s="18"/>
      <c r="H17" s="18"/>
      <c r="I17" s="18"/>
      <c r="J17" s="19"/>
      <c r="K17" s="1"/>
    </row>
    <row r="18" spans="1:11" ht="15.75" customHeight="1">
      <c r="A18" s="1"/>
      <c r="B18" s="53"/>
      <c r="C18" s="18" t="s">
        <v>70</v>
      </c>
      <c r="D18" s="47">
        <f ca="1">'#1-5'!D20</f>
        <v>1446250</v>
      </c>
      <c r="E18" s="18"/>
      <c r="F18" s="18"/>
      <c r="G18" s="18"/>
      <c r="H18" s="18"/>
      <c r="I18" s="18"/>
      <c r="J18" s="19"/>
      <c r="K18" s="1"/>
    </row>
    <row r="19" spans="1:11" ht="15.75" customHeight="1">
      <c r="A19" s="1"/>
      <c r="B19" s="53"/>
      <c r="C19" s="18" t="s">
        <v>16</v>
      </c>
      <c r="D19" s="49">
        <f>D10*(1-D11)</f>
        <v>5.2000000000000005E-2</v>
      </c>
      <c r="E19" s="18"/>
      <c r="F19" s="18"/>
      <c r="G19" s="18"/>
      <c r="H19" s="18"/>
      <c r="I19" s="18"/>
      <c r="J19" s="19"/>
      <c r="K19" s="1"/>
    </row>
    <row r="20" spans="1:11" ht="15.75" customHeight="1">
      <c r="A20" s="1"/>
      <c r="B20" s="54"/>
      <c r="C20" s="18"/>
      <c r="D20" s="49"/>
      <c r="E20" s="18"/>
      <c r="F20" s="18"/>
      <c r="G20" s="18"/>
      <c r="H20" s="18"/>
      <c r="I20" s="18"/>
      <c r="J20" s="19"/>
      <c r="K20" s="1"/>
    </row>
    <row r="21" spans="1:11" ht="15.75" customHeight="1">
      <c r="A21" s="1"/>
      <c r="B21" s="54"/>
      <c r="C21" s="64" t="s">
        <v>33</v>
      </c>
      <c r="D21" s="67" t="s">
        <v>63</v>
      </c>
      <c r="E21" s="68"/>
      <c r="F21" s="64" t="s">
        <v>64</v>
      </c>
      <c r="G21" s="64" t="s">
        <v>65</v>
      </c>
      <c r="H21" s="64" t="s">
        <v>67</v>
      </c>
      <c r="I21" s="64" t="s">
        <v>66</v>
      </c>
      <c r="J21" s="19"/>
      <c r="K21" s="1"/>
    </row>
    <row r="22" spans="1:11" ht="15.75" customHeight="1">
      <c r="A22" s="1"/>
      <c r="B22" s="54"/>
      <c r="C22" s="59">
        <v>1</v>
      </c>
      <c r="D22" s="48">
        <f>D7</f>
        <v>5200000</v>
      </c>
      <c r="E22" s="69"/>
      <c r="F22" s="47">
        <f>D17</f>
        <v>1569988.1831610035</v>
      </c>
      <c r="G22" s="47">
        <f>D22*$D$10</f>
        <v>416000</v>
      </c>
      <c r="H22" s="47">
        <f>F22-G22</f>
        <v>1153988.1831610035</v>
      </c>
      <c r="I22" s="47">
        <f>D22-H22</f>
        <v>4046011.8168389965</v>
      </c>
      <c r="J22" s="19"/>
      <c r="K22" s="1"/>
    </row>
    <row r="23" spans="1:11" ht="15.75" customHeight="1">
      <c r="A23" s="1"/>
      <c r="B23" s="54"/>
      <c r="C23" s="59">
        <v>2</v>
      </c>
      <c r="D23" s="130">
        <f>I22</f>
        <v>4046011.8168389965</v>
      </c>
      <c r="E23" s="131"/>
      <c r="F23" s="130">
        <f>D17</f>
        <v>1569988.1831610035</v>
      </c>
      <c r="G23" s="130">
        <f>D23*$D$10</f>
        <v>323680.9453471197</v>
      </c>
      <c r="H23" s="130">
        <f>F23-G23</f>
        <v>1246307.2378138839</v>
      </c>
      <c r="I23" s="130">
        <f>D23-H23</f>
        <v>2799704.5790251126</v>
      </c>
      <c r="J23" s="19"/>
      <c r="K23" s="1"/>
    </row>
    <row r="24" spans="1:11" ht="15.75" customHeight="1">
      <c r="A24" s="1"/>
      <c r="B24" s="54"/>
      <c r="C24" s="59">
        <v>3</v>
      </c>
      <c r="D24" s="130">
        <f>I23</f>
        <v>2799704.5790251126</v>
      </c>
      <c r="E24" s="131"/>
      <c r="F24" s="130">
        <f>D17</f>
        <v>1569988.1831610035</v>
      </c>
      <c r="G24" s="130">
        <f>D24*$D$10</f>
        <v>223976.36632200901</v>
      </c>
      <c r="H24" s="130">
        <f>F24-G24</f>
        <v>1346011.8168389946</v>
      </c>
      <c r="I24" s="130">
        <f>D24-H24</f>
        <v>1453692.7621861179</v>
      </c>
      <c r="J24" s="19"/>
      <c r="K24" s="1"/>
    </row>
    <row r="25" spans="1:11" ht="15.75" customHeight="1">
      <c r="A25" s="1"/>
      <c r="B25" s="54"/>
      <c r="C25" s="59">
        <v>4</v>
      </c>
      <c r="D25" s="130">
        <f>I24</f>
        <v>1453692.7621861179</v>
      </c>
      <c r="E25" s="131"/>
      <c r="F25" s="130">
        <f>D17</f>
        <v>1569988.1831610035</v>
      </c>
      <c r="G25" s="130">
        <f>D25*$D$10</f>
        <v>116295.42097488944</v>
      </c>
      <c r="H25" s="130">
        <f>F25-G25</f>
        <v>1453692.762186114</v>
      </c>
      <c r="I25" s="130">
        <f>D25-H25</f>
        <v>3.9581209421157837E-9</v>
      </c>
      <c r="J25" s="19"/>
      <c r="K25" s="1"/>
    </row>
    <row r="26" spans="1:11" ht="15.75" customHeight="1">
      <c r="A26" s="1"/>
      <c r="B26" s="54"/>
      <c r="C26" s="18"/>
      <c r="D26" s="69"/>
      <c r="E26" s="18"/>
      <c r="F26" s="18"/>
      <c r="G26" s="18"/>
      <c r="H26" s="18"/>
      <c r="I26" s="18"/>
      <c r="J26" s="19"/>
      <c r="K26" s="1"/>
    </row>
    <row r="27" spans="1:11" ht="15.75" customHeight="1">
      <c r="A27" s="1"/>
      <c r="B27" s="54"/>
      <c r="C27" s="18" t="s">
        <v>68</v>
      </c>
      <c r="D27" s="69"/>
      <c r="E27" s="18"/>
      <c r="F27" s="18"/>
      <c r="G27" s="18"/>
      <c r="H27" s="18"/>
      <c r="I27" s="18"/>
      <c r="J27" s="19"/>
      <c r="K27" s="1"/>
    </row>
    <row r="28" spans="1:11" ht="15.75" customHeight="1">
      <c r="A28" s="1"/>
      <c r="B28" s="54"/>
      <c r="C28" s="64" t="s">
        <v>33</v>
      </c>
      <c r="D28" s="70"/>
      <c r="E28" s="18"/>
      <c r="F28" s="64" t="s">
        <v>69</v>
      </c>
      <c r="G28" s="18"/>
      <c r="H28" s="18"/>
      <c r="I28" s="18"/>
      <c r="J28" s="19"/>
      <c r="K28" s="1"/>
    </row>
    <row r="29" spans="1:11" ht="15.75" customHeight="1">
      <c r="A29" s="1"/>
      <c r="B29" s="54"/>
      <c r="C29" s="59">
        <v>1</v>
      </c>
      <c r="D29" s="47">
        <f>D17-(D22*D10*D11)</f>
        <v>1424388.1831610035</v>
      </c>
      <c r="E29" s="18"/>
      <c r="F29" s="47">
        <f>D29-$D$18</f>
        <v>-21861.816838996485</v>
      </c>
      <c r="G29" s="18"/>
      <c r="H29" s="18"/>
      <c r="I29" s="18"/>
      <c r="J29" s="19"/>
      <c r="K29" s="1"/>
    </row>
    <row r="30" spans="1:11" ht="15.75" customHeight="1">
      <c r="A30" s="1"/>
      <c r="B30" s="54"/>
      <c r="C30" s="59">
        <v>2</v>
      </c>
      <c r="D30" s="47">
        <f>D17-(D23*D10*D11)</f>
        <v>1456699.8522895116</v>
      </c>
      <c r="E30" s="18"/>
      <c r="F30" s="47">
        <f>D30-$D$18</f>
        <v>10449.852289511589</v>
      </c>
      <c r="G30" s="18"/>
      <c r="H30" s="18"/>
      <c r="I30" s="18"/>
      <c r="J30" s="19"/>
      <c r="K30" s="1"/>
    </row>
    <row r="31" spans="1:11" ht="15.75" customHeight="1">
      <c r="A31" s="1"/>
      <c r="B31" s="54"/>
      <c r="C31" s="59">
        <v>3</v>
      </c>
      <c r="D31" s="47">
        <f>D17-(D24*D10*D11)</f>
        <v>1491596.4549483003</v>
      </c>
      <c r="E31" s="18"/>
      <c r="F31" s="47">
        <f>D31-$D$18</f>
        <v>45346.454948300263</v>
      </c>
      <c r="G31" s="18"/>
      <c r="H31" s="18"/>
      <c r="I31" s="18"/>
      <c r="J31" s="19"/>
      <c r="K31" s="1"/>
    </row>
    <row r="32" spans="1:11" ht="15.75" customHeight="1">
      <c r="A32" s="1"/>
      <c r="B32" s="54"/>
      <c r="C32" s="59">
        <v>4</v>
      </c>
      <c r="D32" s="47">
        <f>D17-(D25*D10*D11)</f>
        <v>1529284.7858197922</v>
      </c>
      <c r="E32" s="18"/>
      <c r="F32" s="47">
        <f>D32-$D$18</f>
        <v>83034.785819792189</v>
      </c>
      <c r="G32" s="18"/>
      <c r="H32" s="18"/>
      <c r="I32" s="18"/>
      <c r="J32" s="19"/>
      <c r="K32" s="1"/>
    </row>
    <row r="33" spans="1:11" ht="15.75" customHeight="1">
      <c r="A33" s="1"/>
      <c r="B33" s="54"/>
      <c r="C33" s="27"/>
      <c r="D33" s="47"/>
      <c r="E33" s="18"/>
      <c r="F33" s="18"/>
      <c r="G33" s="18"/>
      <c r="H33" s="18"/>
      <c r="I33" s="18"/>
      <c r="J33" s="19"/>
      <c r="K33" s="1"/>
    </row>
    <row r="34" spans="1:11" ht="15.75" customHeight="1">
      <c r="A34" s="1"/>
      <c r="B34" s="54"/>
      <c r="C34" s="18" t="s">
        <v>17</v>
      </c>
      <c r="D34" s="71">
        <f>NPV(D19,F29:F32)</f>
        <v>95405.020716558472</v>
      </c>
      <c r="E34" s="18"/>
      <c r="F34" s="18"/>
      <c r="G34" s="18"/>
      <c r="H34" s="18"/>
      <c r="I34" s="18"/>
      <c r="J34" s="19"/>
      <c r="K34" s="1"/>
    </row>
    <row r="35" spans="1:11" ht="15.75" customHeight="1">
      <c r="A35" s="1"/>
      <c r="B35" s="54"/>
      <c r="C35" s="27"/>
      <c r="D35" s="47"/>
      <c r="E35" s="18"/>
      <c r="F35" s="18"/>
      <c r="G35" s="18"/>
      <c r="H35" s="18"/>
      <c r="I35" s="18"/>
      <c r="J35" s="19"/>
      <c r="K35" s="1"/>
    </row>
    <row r="36" spans="1:11" ht="15.75" customHeight="1">
      <c r="A36" s="1"/>
      <c r="B36" s="54"/>
      <c r="C36" s="72" t="s">
        <v>71</v>
      </c>
      <c r="D36" s="47"/>
      <c r="E36" s="18"/>
      <c r="F36" s="18"/>
      <c r="G36" s="18"/>
      <c r="H36" s="18"/>
      <c r="I36" s="18"/>
      <c r="J36" s="19"/>
      <c r="K36" s="1"/>
    </row>
    <row r="37" spans="1:11" ht="15.75" customHeight="1">
      <c r="A37" s="1"/>
      <c r="B37" s="54"/>
      <c r="C37" s="72" t="s">
        <v>72</v>
      </c>
      <c r="D37" s="47"/>
      <c r="E37" s="18"/>
      <c r="F37" s="18"/>
      <c r="G37" s="41">
        <f>D7</f>
        <v>5200000</v>
      </c>
      <c r="H37" s="18"/>
      <c r="I37" s="18"/>
      <c r="J37" s="19"/>
      <c r="K37" s="1"/>
    </row>
    <row r="38" spans="1:11" ht="15.75" customHeight="1" thickBot="1">
      <c r="A38" s="1"/>
      <c r="B38" s="55"/>
      <c r="C38" s="21"/>
      <c r="D38" s="66"/>
      <c r="E38" s="21"/>
      <c r="F38" s="21"/>
      <c r="G38" s="21"/>
      <c r="H38" s="21"/>
      <c r="I38" s="21"/>
      <c r="J38" s="22"/>
      <c r="K38" s="1"/>
    </row>
    <row r="39" spans="1:11" ht="15.75" customHeight="1">
      <c r="A39" s="1"/>
      <c r="B39" s="56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.75" customHeight="1"/>
    <row r="73" spans="1:11" ht="15.75" customHeight="1"/>
    <row r="74" spans="1:11" ht="15.75" customHeight="1"/>
    <row r="75" spans="1:11" ht="15.75" customHeight="1"/>
    <row r="76" spans="1:11" ht="15.75" customHeight="1"/>
  </sheetData>
  <phoneticPr fontId="0" type="noConversion"/>
  <pageMargins left="0.75" right="0.75" top="1" bottom="1" header="0.5" footer="0.5"/>
  <pageSetup scale="80" orientation="landscape" horizontalDpi="360" verticalDpi="36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2"/>
  <dimension ref="A1:P99"/>
  <sheetViews>
    <sheetView workbookViewId="0"/>
  </sheetViews>
  <sheetFormatPr defaultRowHeight="12.75"/>
  <cols>
    <col min="2" max="2" width="3.140625" customWidth="1"/>
    <col min="3" max="3" width="26.42578125" bestFit="1" customWidth="1"/>
    <col min="4" max="4" width="16.28515625" bestFit="1" customWidth="1"/>
    <col min="5" max="9" width="15.7109375" customWidth="1"/>
    <col min="10" max="10" width="3.140625" customWidth="1"/>
  </cols>
  <sheetData>
    <row r="1" spans="1:13" ht="18">
      <c r="A1" s="1"/>
      <c r="B1" s="1"/>
      <c r="C1" s="39" t="s">
        <v>73</v>
      </c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>
      <c r="A2" s="1"/>
      <c r="B2" s="1"/>
      <c r="C2" s="1" t="s">
        <v>131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.75" customHeight="1">
      <c r="A4" s="1"/>
      <c r="B4" s="1"/>
      <c r="C4" s="2" t="s">
        <v>0</v>
      </c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15.75" customHeight="1">
      <c r="A6" s="1"/>
      <c r="B6" s="3"/>
      <c r="C6" s="4"/>
      <c r="D6" s="12"/>
      <c r="E6" s="5"/>
      <c r="F6" s="1"/>
      <c r="G6" s="1"/>
      <c r="H6" s="1"/>
      <c r="I6" s="1"/>
      <c r="J6" s="1"/>
      <c r="K6" s="1"/>
      <c r="L6" s="1"/>
      <c r="M6" s="1"/>
    </row>
    <row r="7" spans="1:13" ht="15.75" customHeight="1">
      <c r="A7" s="1"/>
      <c r="B7" s="6"/>
      <c r="C7" s="79" t="s">
        <v>89</v>
      </c>
      <c r="D7" s="25"/>
      <c r="E7" s="8"/>
      <c r="F7" s="1"/>
      <c r="G7" s="1"/>
      <c r="H7" s="1"/>
      <c r="I7" s="1"/>
      <c r="J7" s="1"/>
      <c r="K7" s="1"/>
      <c r="L7" s="1"/>
      <c r="M7" s="1"/>
    </row>
    <row r="8" spans="1:13" ht="15.75" customHeight="1">
      <c r="A8" s="1"/>
      <c r="B8" s="6"/>
      <c r="C8" s="7" t="s">
        <v>39</v>
      </c>
      <c r="D8" s="25">
        <v>65000</v>
      </c>
      <c r="E8" s="8"/>
      <c r="F8" s="1"/>
      <c r="G8" s="1"/>
      <c r="H8" s="1"/>
      <c r="I8" s="1"/>
      <c r="J8" s="1"/>
      <c r="K8" s="1"/>
      <c r="L8" s="1"/>
      <c r="M8" s="1"/>
    </row>
    <row r="9" spans="1:13" ht="15.75" customHeight="1">
      <c r="A9" s="1"/>
      <c r="B9" s="6"/>
      <c r="C9" s="7" t="s">
        <v>90</v>
      </c>
      <c r="D9" s="78">
        <v>15000</v>
      </c>
      <c r="E9" s="8"/>
      <c r="F9" s="1"/>
      <c r="G9" s="1"/>
      <c r="H9" s="1"/>
      <c r="I9" s="1"/>
      <c r="J9" s="1"/>
      <c r="K9" s="1"/>
      <c r="L9" s="1"/>
      <c r="M9" s="1"/>
    </row>
    <row r="10" spans="1:13" ht="15.75" customHeight="1">
      <c r="A10" s="1"/>
      <c r="B10" s="6"/>
      <c r="C10" s="7"/>
      <c r="D10" s="43"/>
      <c r="E10" s="8"/>
      <c r="F10" s="1"/>
      <c r="G10" s="1"/>
      <c r="H10" s="1"/>
      <c r="I10" s="1"/>
      <c r="J10" s="1"/>
      <c r="K10" s="1"/>
      <c r="L10" s="1"/>
      <c r="M10" s="1"/>
    </row>
    <row r="11" spans="1:13" ht="15.75" customHeight="1">
      <c r="A11" s="1"/>
      <c r="B11" s="6"/>
      <c r="C11" s="79" t="s">
        <v>91</v>
      </c>
      <c r="D11" s="43"/>
      <c r="E11" s="8"/>
      <c r="F11" s="1"/>
      <c r="G11" s="1"/>
      <c r="H11" s="1"/>
      <c r="I11" s="1"/>
      <c r="J11" s="1"/>
      <c r="K11" s="1"/>
      <c r="L11" s="1"/>
      <c r="M11" s="1"/>
    </row>
    <row r="12" spans="1:13" ht="15.75" customHeight="1">
      <c r="A12" s="1"/>
      <c r="B12" s="6"/>
      <c r="C12" s="7" t="s">
        <v>10</v>
      </c>
      <c r="D12" s="78">
        <v>330000</v>
      </c>
      <c r="E12" s="8"/>
      <c r="F12" s="1"/>
      <c r="G12" s="1"/>
      <c r="H12" s="1"/>
      <c r="I12" s="1"/>
      <c r="J12" s="1"/>
      <c r="K12" s="1"/>
      <c r="L12" s="1"/>
      <c r="M12" s="1"/>
    </row>
    <row r="13" spans="1:13" ht="15.75" customHeight="1">
      <c r="A13" s="1"/>
      <c r="B13" s="6"/>
      <c r="C13" s="7" t="s">
        <v>90</v>
      </c>
      <c r="D13" s="81">
        <v>25000</v>
      </c>
      <c r="E13" s="8"/>
      <c r="F13" s="1"/>
      <c r="G13" s="1"/>
      <c r="H13" s="1"/>
      <c r="I13" s="1"/>
      <c r="J13" s="1"/>
      <c r="K13" s="1"/>
      <c r="L13" s="1"/>
      <c r="M13" s="1"/>
    </row>
    <row r="14" spans="1:13" ht="15.75" customHeight="1">
      <c r="A14" s="1"/>
      <c r="B14" s="6"/>
      <c r="C14" s="7" t="s">
        <v>13</v>
      </c>
      <c r="D14" s="26">
        <v>0.1</v>
      </c>
      <c r="E14" s="8"/>
      <c r="F14" s="1"/>
      <c r="G14" s="1"/>
      <c r="H14" s="1"/>
      <c r="I14" s="1"/>
      <c r="J14" s="1"/>
      <c r="K14" s="1"/>
      <c r="L14" s="1"/>
      <c r="M14" s="1"/>
    </row>
    <row r="15" spans="1:13" ht="15.75" customHeight="1">
      <c r="A15" s="1"/>
      <c r="B15" s="6"/>
      <c r="C15" s="7" t="s">
        <v>92</v>
      </c>
      <c r="D15" s="80">
        <v>0.67</v>
      </c>
      <c r="E15" s="8"/>
      <c r="F15" s="1"/>
      <c r="G15" s="1"/>
      <c r="H15" s="1"/>
      <c r="I15" s="1"/>
      <c r="J15" s="1"/>
      <c r="K15" s="1"/>
      <c r="L15" s="1"/>
      <c r="M15" s="1"/>
    </row>
    <row r="16" spans="1:13" ht="15.75" customHeight="1">
      <c r="A16" s="1"/>
      <c r="B16" s="6"/>
      <c r="C16" s="7"/>
      <c r="D16" s="25"/>
      <c r="E16" s="8"/>
      <c r="F16" s="1"/>
      <c r="G16" s="1"/>
      <c r="H16" s="1"/>
      <c r="I16" s="1"/>
      <c r="J16" s="1"/>
      <c r="K16" s="1"/>
      <c r="L16" s="1"/>
      <c r="M16" s="1"/>
    </row>
    <row r="17" spans="1:16" ht="15.75" customHeight="1">
      <c r="A17" s="1"/>
      <c r="B17" s="6"/>
      <c r="C17" s="7" t="s">
        <v>14</v>
      </c>
      <c r="D17" s="26">
        <v>0.34</v>
      </c>
      <c r="E17" s="8"/>
      <c r="F17" s="1"/>
      <c r="G17" s="1"/>
      <c r="H17" s="1"/>
      <c r="I17" s="1"/>
      <c r="J17" s="1"/>
      <c r="K17" s="1"/>
      <c r="L17" s="1"/>
      <c r="M17" s="1"/>
    </row>
    <row r="18" spans="1:16" ht="15.75" customHeight="1" thickBot="1">
      <c r="A18" s="1"/>
      <c r="B18" s="9"/>
      <c r="C18" s="10"/>
      <c r="D18" s="13"/>
      <c r="E18" s="11"/>
      <c r="F18" s="1"/>
      <c r="G18" s="1"/>
      <c r="H18" s="1"/>
      <c r="I18" s="1"/>
      <c r="J18" s="1"/>
      <c r="K18" s="1"/>
      <c r="L18" s="1"/>
      <c r="M18" s="1"/>
    </row>
    <row r="19" spans="1:16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6" ht="15.75" customHeight="1">
      <c r="A20" s="1"/>
      <c r="B20" s="1"/>
      <c r="C20" s="2" t="s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6" ht="15.75" customHeight="1" thickBo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6" ht="15.75" customHeight="1">
      <c r="A22" s="1"/>
      <c r="B22" s="14"/>
      <c r="C22" s="15"/>
      <c r="D22" s="15"/>
      <c r="E22" s="15"/>
      <c r="F22" s="15"/>
      <c r="G22" s="23"/>
      <c r="H22" s="23"/>
      <c r="I22" s="23"/>
      <c r="J22" s="16"/>
      <c r="K22" s="1"/>
      <c r="L22" s="1"/>
      <c r="M22" s="1"/>
      <c r="N22" s="1"/>
      <c r="O22" s="1"/>
      <c r="P22" s="1"/>
    </row>
    <row r="23" spans="1:16" ht="15.75" customHeight="1">
      <c r="A23" s="1"/>
      <c r="B23" s="42" t="s">
        <v>78</v>
      </c>
      <c r="C23" s="18" t="s">
        <v>16</v>
      </c>
      <c r="D23" s="49">
        <f>D14*(1-D17)</f>
        <v>6.5999999999999989E-2</v>
      </c>
      <c r="E23" s="18"/>
      <c r="F23" s="18"/>
      <c r="G23" s="77"/>
      <c r="H23" s="77"/>
      <c r="I23" s="77"/>
      <c r="J23" s="19"/>
      <c r="K23" s="1"/>
      <c r="L23" s="1"/>
      <c r="M23" s="1"/>
      <c r="N23" s="1"/>
      <c r="O23" s="1"/>
      <c r="P23" s="1"/>
    </row>
    <row r="24" spans="1:16" ht="15.75" customHeight="1">
      <c r="A24" s="1"/>
      <c r="B24" s="17"/>
      <c r="C24" s="18"/>
      <c r="D24" s="18"/>
      <c r="E24" s="18"/>
      <c r="F24" s="18"/>
      <c r="G24" s="77"/>
      <c r="H24" s="77"/>
      <c r="I24" s="77"/>
      <c r="J24" s="19"/>
      <c r="K24" s="1"/>
      <c r="L24" s="1"/>
      <c r="M24" s="1"/>
      <c r="N24" s="1"/>
      <c r="O24" s="1"/>
      <c r="P24" s="1"/>
    </row>
    <row r="25" spans="1:16" ht="15.75" customHeight="1">
      <c r="A25" s="1"/>
      <c r="B25" s="42"/>
      <c r="C25" s="18"/>
      <c r="D25" s="83" t="s">
        <v>94</v>
      </c>
      <c r="E25" s="83" t="s">
        <v>34</v>
      </c>
      <c r="F25" s="83" t="s">
        <v>95</v>
      </c>
      <c r="G25" s="84" t="s">
        <v>96</v>
      </c>
      <c r="H25" s="84" t="s">
        <v>97</v>
      </c>
      <c r="I25" s="84" t="s">
        <v>98</v>
      </c>
      <c r="J25" s="19"/>
      <c r="K25" s="1"/>
      <c r="L25" s="1"/>
      <c r="M25" s="1"/>
      <c r="N25" s="1"/>
      <c r="O25" s="1"/>
      <c r="P25" s="1"/>
    </row>
    <row r="26" spans="1:16" ht="15.75" customHeight="1">
      <c r="A26" s="1"/>
      <c r="B26" s="42"/>
      <c r="C26" s="73" t="s">
        <v>93</v>
      </c>
      <c r="D26" s="83"/>
      <c r="E26" s="83"/>
      <c r="F26" s="83"/>
      <c r="G26" s="84"/>
      <c r="H26" s="84"/>
      <c r="I26" s="84"/>
      <c r="J26" s="19"/>
      <c r="K26" s="1"/>
      <c r="L26" s="1"/>
      <c r="M26" s="1"/>
      <c r="N26" s="1"/>
      <c r="O26" s="1"/>
      <c r="P26" s="1"/>
    </row>
    <row r="27" spans="1:16" ht="15.75" customHeight="1">
      <c r="A27" s="1"/>
      <c r="B27" s="42"/>
      <c r="C27" s="18" t="s">
        <v>99</v>
      </c>
      <c r="D27" s="41"/>
      <c r="E27" s="41">
        <f>D9*(1-D17)</f>
        <v>9899.9999999999982</v>
      </c>
      <c r="F27" s="41">
        <f>E27</f>
        <v>9899.9999999999982</v>
      </c>
      <c r="G27" s="41">
        <f>F27</f>
        <v>9899.9999999999982</v>
      </c>
      <c r="H27" s="41">
        <f>G27</f>
        <v>9899.9999999999982</v>
      </c>
      <c r="I27" s="41">
        <f>H27</f>
        <v>9899.9999999999982</v>
      </c>
      <c r="J27" s="19"/>
      <c r="K27" s="1"/>
      <c r="L27" s="1"/>
      <c r="M27" s="1"/>
      <c r="N27" s="1"/>
      <c r="O27" s="1"/>
      <c r="P27" s="1"/>
    </row>
    <row r="28" spans="1:16" ht="15.75" customHeight="1">
      <c r="A28" s="1"/>
      <c r="B28" s="42"/>
      <c r="C28" s="18" t="s">
        <v>85</v>
      </c>
      <c r="D28" s="41">
        <f>-D8</f>
        <v>-65000</v>
      </c>
      <c r="E28" s="125">
        <f t="shared" ref="E28:H29" si="0">D28</f>
        <v>-65000</v>
      </c>
      <c r="F28" s="125">
        <f t="shared" si="0"/>
        <v>-65000</v>
      </c>
      <c r="G28" s="125">
        <f t="shared" si="0"/>
        <v>-65000</v>
      </c>
      <c r="H28" s="125">
        <f t="shared" si="0"/>
        <v>-65000</v>
      </c>
      <c r="I28" s="41"/>
      <c r="J28" s="19"/>
      <c r="K28" s="1"/>
      <c r="L28" s="1"/>
      <c r="M28" s="1"/>
      <c r="N28" s="1"/>
      <c r="O28" s="1"/>
      <c r="P28" s="1"/>
    </row>
    <row r="29" spans="1:16" ht="15.75" customHeight="1">
      <c r="A29" s="1"/>
      <c r="B29" s="42"/>
      <c r="C29" s="18" t="s">
        <v>100</v>
      </c>
      <c r="D29" s="126">
        <f>-D28*D17</f>
        <v>22100</v>
      </c>
      <c r="E29" s="126">
        <f t="shared" si="0"/>
        <v>22100</v>
      </c>
      <c r="F29" s="126">
        <f t="shared" si="0"/>
        <v>22100</v>
      </c>
      <c r="G29" s="126">
        <f t="shared" si="0"/>
        <v>22100</v>
      </c>
      <c r="H29" s="126">
        <f t="shared" si="0"/>
        <v>22100</v>
      </c>
      <c r="I29" s="85"/>
      <c r="J29" s="19"/>
      <c r="K29" s="1"/>
      <c r="L29" s="1"/>
      <c r="M29" s="1"/>
      <c r="N29" s="1"/>
      <c r="O29" s="1"/>
      <c r="P29" s="1"/>
    </row>
    <row r="30" spans="1:16" ht="15.75" customHeight="1">
      <c r="A30" s="1"/>
      <c r="B30" s="42"/>
      <c r="C30" s="18" t="s">
        <v>101</v>
      </c>
      <c r="D30" s="41">
        <f t="shared" ref="D30:I30" si="1">D27+D28+D29</f>
        <v>-42900</v>
      </c>
      <c r="E30" s="41">
        <f t="shared" si="1"/>
        <v>-33000</v>
      </c>
      <c r="F30" s="41">
        <f t="shared" si="1"/>
        <v>-33000</v>
      </c>
      <c r="G30" s="41">
        <f t="shared" si="1"/>
        <v>-33000</v>
      </c>
      <c r="H30" s="41">
        <f t="shared" si="1"/>
        <v>-33000</v>
      </c>
      <c r="I30" s="41">
        <f t="shared" si="1"/>
        <v>9899.9999999999982</v>
      </c>
      <c r="J30" s="19"/>
      <c r="K30" s="1"/>
      <c r="L30" s="1"/>
      <c r="M30" s="1"/>
      <c r="N30" s="1"/>
      <c r="O30" s="1"/>
      <c r="P30" s="1"/>
    </row>
    <row r="31" spans="1:16" ht="15.75" customHeight="1">
      <c r="A31" s="1"/>
      <c r="B31" s="42"/>
      <c r="C31" s="18"/>
      <c r="D31" s="127"/>
      <c r="E31" s="127"/>
      <c r="F31" s="127"/>
      <c r="G31" s="41"/>
      <c r="H31" s="41"/>
      <c r="I31" s="41"/>
      <c r="J31" s="19"/>
      <c r="K31" s="1"/>
      <c r="L31" s="1"/>
      <c r="M31" s="1"/>
      <c r="N31" s="1"/>
      <c r="O31" s="1"/>
      <c r="P31" s="1"/>
    </row>
    <row r="32" spans="1:16" ht="15.75" customHeight="1">
      <c r="A32" s="1"/>
      <c r="B32" s="42"/>
      <c r="C32" s="73" t="s">
        <v>102</v>
      </c>
      <c r="D32" s="127"/>
      <c r="E32" s="127"/>
      <c r="F32" s="127"/>
      <c r="G32" s="128"/>
      <c r="H32" s="128"/>
      <c r="I32" s="128"/>
      <c r="J32" s="19"/>
      <c r="K32" s="1"/>
      <c r="L32" s="1"/>
      <c r="M32" s="1"/>
      <c r="N32" s="1"/>
      <c r="O32" s="1"/>
      <c r="P32" s="1"/>
    </row>
    <row r="33" spans="1:16" ht="15.75" customHeight="1">
      <c r="A33" s="1"/>
      <c r="B33" s="42"/>
      <c r="C33" s="18" t="s">
        <v>99</v>
      </c>
      <c r="D33" s="41"/>
      <c r="E33" s="41">
        <f>D13*(1-D17)</f>
        <v>16499.999999999996</v>
      </c>
      <c r="F33" s="41">
        <f>E33</f>
        <v>16499.999999999996</v>
      </c>
      <c r="G33" s="41">
        <f>F33</f>
        <v>16499.999999999996</v>
      </c>
      <c r="H33" s="41">
        <f>G33</f>
        <v>16499.999999999996</v>
      </c>
      <c r="I33" s="41">
        <f>H33</f>
        <v>16499.999999999996</v>
      </c>
      <c r="J33" s="19"/>
      <c r="K33" s="1"/>
      <c r="L33" s="1"/>
      <c r="M33" s="1"/>
      <c r="N33" s="1"/>
      <c r="O33" s="1"/>
      <c r="P33" s="1"/>
    </row>
    <row r="34" spans="1:16" ht="15.75" customHeight="1">
      <c r="A34" s="1"/>
      <c r="B34" s="42"/>
      <c r="C34" s="18" t="s">
        <v>103</v>
      </c>
      <c r="D34" s="41">
        <f>-D12</f>
        <v>-330000</v>
      </c>
      <c r="E34" s="125"/>
      <c r="F34" s="125"/>
      <c r="G34" s="125"/>
      <c r="H34" s="125"/>
      <c r="I34" s="125"/>
      <c r="J34" s="19"/>
      <c r="K34" s="1"/>
      <c r="L34" s="1"/>
      <c r="M34" s="1"/>
      <c r="N34" s="1"/>
      <c r="O34" s="1"/>
      <c r="P34" s="1"/>
    </row>
    <row r="35" spans="1:16" ht="15.75" customHeight="1">
      <c r="A35" s="1"/>
      <c r="B35" s="42"/>
      <c r="C35" s="18" t="s">
        <v>15</v>
      </c>
      <c r="D35" s="126"/>
      <c r="E35" s="126">
        <f>(D12/5)*D17</f>
        <v>22440</v>
      </c>
      <c r="F35" s="126">
        <f>E35</f>
        <v>22440</v>
      </c>
      <c r="G35" s="126">
        <f>F35</f>
        <v>22440</v>
      </c>
      <c r="H35" s="126">
        <f>G35</f>
        <v>22440</v>
      </c>
      <c r="I35" s="126">
        <f>H35</f>
        <v>22440</v>
      </c>
      <c r="J35" s="19"/>
      <c r="K35" s="1"/>
      <c r="L35" s="1"/>
      <c r="M35" s="1"/>
      <c r="N35" s="1"/>
      <c r="O35" s="1"/>
      <c r="P35" s="1"/>
    </row>
    <row r="36" spans="1:16" ht="15.75" customHeight="1">
      <c r="A36" s="1"/>
      <c r="B36" s="42"/>
      <c r="C36" s="18" t="s">
        <v>101</v>
      </c>
      <c r="D36" s="41">
        <f t="shared" ref="D36:I36" si="2">D33+D34+D35</f>
        <v>-330000</v>
      </c>
      <c r="E36" s="41">
        <f t="shared" si="2"/>
        <v>38940</v>
      </c>
      <c r="F36" s="41">
        <f t="shared" si="2"/>
        <v>38940</v>
      </c>
      <c r="G36" s="41">
        <f t="shared" si="2"/>
        <v>38940</v>
      </c>
      <c r="H36" s="41">
        <f t="shared" si="2"/>
        <v>38940</v>
      </c>
      <c r="I36" s="41">
        <f t="shared" si="2"/>
        <v>38940</v>
      </c>
      <c r="J36" s="19"/>
      <c r="K36" s="1"/>
      <c r="L36" s="1"/>
      <c r="M36" s="1"/>
      <c r="N36" s="1"/>
      <c r="O36" s="1"/>
      <c r="P36" s="1"/>
    </row>
    <row r="37" spans="1:16" ht="15.75" customHeight="1">
      <c r="A37" s="1"/>
      <c r="B37" s="42"/>
      <c r="C37" s="46"/>
      <c r="D37" s="41"/>
      <c r="E37" s="41"/>
      <c r="F37" s="41"/>
      <c r="G37" s="41"/>
      <c r="H37" s="41"/>
      <c r="I37" s="41"/>
      <c r="J37" s="19"/>
      <c r="K37" s="1"/>
      <c r="L37" s="1"/>
      <c r="M37" s="1"/>
      <c r="N37" s="1"/>
      <c r="O37" s="1"/>
      <c r="P37" s="1"/>
    </row>
    <row r="38" spans="1:16" ht="15.75" customHeight="1">
      <c r="A38" s="1"/>
      <c r="B38" s="42"/>
      <c r="C38" s="18" t="s">
        <v>104</v>
      </c>
      <c r="D38" s="127"/>
      <c r="E38" s="127"/>
      <c r="F38" s="127"/>
      <c r="G38" s="40"/>
      <c r="H38" s="40"/>
      <c r="I38" s="40"/>
      <c r="J38" s="19"/>
      <c r="K38" s="1"/>
      <c r="L38" s="1"/>
      <c r="M38" s="1"/>
      <c r="N38" s="1"/>
      <c r="O38" s="1"/>
      <c r="P38" s="1"/>
    </row>
    <row r="39" spans="1:16" ht="15.75" customHeight="1">
      <c r="A39" s="1"/>
      <c r="B39" s="42"/>
      <c r="C39" s="18" t="s">
        <v>105</v>
      </c>
      <c r="D39" s="41">
        <f t="shared" ref="D39:I39" si="3">D30-D36</f>
        <v>287100</v>
      </c>
      <c r="E39" s="41">
        <f t="shared" si="3"/>
        <v>-71940</v>
      </c>
      <c r="F39" s="41">
        <f t="shared" si="3"/>
        <v>-71940</v>
      </c>
      <c r="G39" s="41">
        <f t="shared" si="3"/>
        <v>-71940</v>
      </c>
      <c r="H39" s="41">
        <f t="shared" si="3"/>
        <v>-71940</v>
      </c>
      <c r="I39" s="41">
        <f t="shared" si="3"/>
        <v>-29040</v>
      </c>
      <c r="J39" s="19"/>
      <c r="K39" s="1"/>
      <c r="L39" s="1"/>
      <c r="M39" s="1"/>
      <c r="N39" s="1"/>
      <c r="O39" s="1"/>
      <c r="P39" s="1"/>
    </row>
    <row r="40" spans="1:16" ht="15.75" customHeight="1">
      <c r="A40" s="1"/>
      <c r="B40" s="42"/>
      <c r="C40" s="18"/>
      <c r="D40" s="47"/>
      <c r="E40" s="47"/>
      <c r="F40" s="47"/>
      <c r="G40" s="47"/>
      <c r="H40" s="47"/>
      <c r="I40" s="47"/>
      <c r="J40" s="19"/>
      <c r="K40" s="1"/>
      <c r="L40" s="1"/>
      <c r="M40" s="1"/>
      <c r="N40" s="1"/>
      <c r="O40" s="1"/>
      <c r="P40" s="1"/>
    </row>
    <row r="41" spans="1:16" ht="15.75" customHeight="1">
      <c r="A41" s="1"/>
      <c r="B41" s="42"/>
      <c r="C41" s="18" t="s">
        <v>17</v>
      </c>
      <c r="D41" s="51">
        <f>NPV(D23,E39:I39)+D39</f>
        <v>20110.836087758245</v>
      </c>
      <c r="E41" s="47"/>
      <c r="F41" s="47"/>
      <c r="G41" s="47"/>
      <c r="H41" s="47"/>
      <c r="I41" s="47"/>
      <c r="J41" s="19"/>
      <c r="K41" s="1"/>
      <c r="L41" s="1"/>
      <c r="M41" s="1"/>
      <c r="N41" s="1"/>
      <c r="O41" s="1"/>
      <c r="P41" s="1"/>
    </row>
    <row r="42" spans="1:16" ht="15.75" customHeight="1">
      <c r="A42" s="1"/>
      <c r="B42" s="42"/>
      <c r="C42" s="18"/>
      <c r="D42" s="50"/>
      <c r="E42" s="47"/>
      <c r="F42" s="47"/>
      <c r="G42" s="47"/>
      <c r="H42" s="47"/>
      <c r="I42" s="47"/>
      <c r="J42" s="19"/>
      <c r="K42" s="1"/>
      <c r="L42" s="1"/>
      <c r="M42" s="1"/>
      <c r="N42" s="1"/>
      <c r="O42" s="1"/>
      <c r="P42" s="1"/>
    </row>
    <row r="43" spans="1:16" ht="15.75" customHeight="1">
      <c r="A43" s="1"/>
      <c r="B43" s="42" t="s">
        <v>106</v>
      </c>
      <c r="C43" s="18" t="s">
        <v>107</v>
      </c>
      <c r="D43" s="51">
        <f>-NPV(D23,E39:I39)</f>
        <v>266989.16391224175</v>
      </c>
      <c r="E43" s="18"/>
      <c r="F43" s="18"/>
      <c r="G43" s="82"/>
      <c r="H43" s="82"/>
      <c r="I43" s="82"/>
      <c r="J43" s="19"/>
      <c r="K43" s="1"/>
      <c r="L43" s="1"/>
      <c r="M43" s="1"/>
      <c r="N43" s="1"/>
      <c r="O43" s="1"/>
      <c r="P43" s="1"/>
    </row>
    <row r="44" spans="1:16" ht="15.75" customHeight="1" thickBot="1">
      <c r="A44" s="1"/>
      <c r="B44" s="20"/>
      <c r="C44" s="21"/>
      <c r="D44" s="21"/>
      <c r="E44" s="21"/>
      <c r="F44" s="21"/>
      <c r="G44" s="24"/>
      <c r="H44" s="24"/>
      <c r="I44" s="24"/>
      <c r="J44" s="22"/>
      <c r="K44" s="1"/>
      <c r="L44" s="1"/>
      <c r="M44" s="1"/>
      <c r="N44" s="1"/>
      <c r="O44" s="1"/>
      <c r="P44" s="1"/>
    </row>
    <row r="45" spans="1:1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t="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K86"/>
  <sheetViews>
    <sheetView zoomScaleNormal="100" workbookViewId="0"/>
  </sheetViews>
  <sheetFormatPr defaultRowHeight="12.75"/>
  <cols>
    <col min="2" max="2" width="3.140625" customWidth="1"/>
    <col min="3" max="3" width="27.42578125" customWidth="1"/>
    <col min="4" max="4" width="18.140625" customWidth="1"/>
    <col min="5" max="5" width="3.140625" customWidth="1"/>
    <col min="6" max="6" width="20.5703125" customWidth="1"/>
    <col min="7" max="7" width="22.7109375" customWidth="1"/>
    <col min="8" max="8" width="4.140625" customWidth="1"/>
  </cols>
  <sheetData>
    <row r="1" spans="1:11" ht="18">
      <c r="A1" s="1"/>
      <c r="B1" s="1"/>
      <c r="C1" s="39" t="s">
        <v>73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31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2" t="s">
        <v>0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3"/>
      <c r="C6" s="4"/>
      <c r="D6" s="12"/>
      <c r="E6" s="5"/>
      <c r="F6" s="1"/>
      <c r="G6" s="1"/>
      <c r="H6" s="1"/>
      <c r="I6" s="1"/>
      <c r="J6" s="1"/>
      <c r="K6" s="1"/>
    </row>
    <row r="7" spans="1:11" ht="15.75" customHeight="1">
      <c r="A7" s="1"/>
      <c r="B7" s="6"/>
      <c r="C7" s="7" t="s">
        <v>10</v>
      </c>
      <c r="D7" s="25">
        <v>5200000</v>
      </c>
      <c r="E7" s="8"/>
      <c r="F7" s="1"/>
      <c r="G7" s="1"/>
      <c r="H7" s="1"/>
      <c r="I7" s="1"/>
      <c r="J7" s="1"/>
      <c r="K7" s="1"/>
    </row>
    <row r="8" spans="1:11" ht="15.75" customHeight="1">
      <c r="A8" s="1"/>
      <c r="B8" s="6"/>
      <c r="C8" s="7" t="s">
        <v>11</v>
      </c>
      <c r="D8" s="43">
        <v>4</v>
      </c>
      <c r="E8" s="8"/>
      <c r="F8" s="1"/>
      <c r="G8" s="1"/>
      <c r="H8" s="1"/>
      <c r="I8" s="1"/>
      <c r="J8" s="1"/>
      <c r="K8" s="1"/>
    </row>
    <row r="9" spans="1:11" ht="15.75" customHeight="1">
      <c r="A9" s="1"/>
      <c r="B9" s="6"/>
      <c r="C9" s="7" t="s">
        <v>12</v>
      </c>
      <c r="D9" s="25">
        <v>1525000</v>
      </c>
      <c r="E9" s="8"/>
      <c r="F9" s="1"/>
      <c r="G9" s="1"/>
      <c r="H9" s="1"/>
      <c r="I9" s="1"/>
      <c r="J9" s="1"/>
      <c r="K9" s="1"/>
    </row>
    <row r="10" spans="1:11" ht="15.75" customHeight="1">
      <c r="A10" s="1"/>
      <c r="B10" s="6"/>
      <c r="C10" s="7" t="s">
        <v>13</v>
      </c>
      <c r="D10" s="26">
        <v>0.08</v>
      </c>
      <c r="E10" s="8"/>
      <c r="F10" s="1"/>
      <c r="G10" s="1"/>
      <c r="H10" s="1"/>
      <c r="I10" s="1"/>
      <c r="J10" s="1"/>
      <c r="K10" s="1"/>
    </row>
    <row r="11" spans="1:11" ht="15.75" customHeight="1">
      <c r="A11" s="1"/>
      <c r="B11" s="6"/>
      <c r="C11" s="7" t="s">
        <v>14</v>
      </c>
      <c r="D11" s="26">
        <v>0.35</v>
      </c>
      <c r="E11" s="8"/>
      <c r="F11" s="1"/>
      <c r="G11" s="1"/>
      <c r="H11" s="1"/>
      <c r="I11" s="1"/>
      <c r="J11" s="1"/>
      <c r="K11" s="1"/>
    </row>
    <row r="12" spans="1:11" ht="15.75" customHeight="1" thickBot="1">
      <c r="A12" s="1"/>
      <c r="B12" s="9"/>
      <c r="C12" s="10"/>
      <c r="D12" s="13"/>
      <c r="E12" s="11"/>
      <c r="F12" s="1"/>
      <c r="G12" s="1"/>
      <c r="H12" s="1"/>
      <c r="I12" s="1"/>
      <c r="J12" s="1"/>
      <c r="K12" s="1"/>
    </row>
    <row r="13" spans="1:11" ht="15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.75" customHeight="1">
      <c r="A14" s="1"/>
      <c r="B14" s="1"/>
      <c r="C14" s="2" t="s">
        <v>1</v>
      </c>
      <c r="D14" s="1"/>
      <c r="E14" s="1"/>
      <c r="F14" s="1"/>
      <c r="G14" s="1"/>
      <c r="H14" s="1"/>
      <c r="I14" s="1"/>
      <c r="J14" s="1"/>
      <c r="K14" s="1"/>
    </row>
    <row r="15" spans="1:11" ht="15.75" customHeight="1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.75" customHeight="1">
      <c r="A16" s="1"/>
      <c r="B16" s="14"/>
      <c r="C16" s="15"/>
      <c r="D16" s="23"/>
      <c r="E16" s="16"/>
      <c r="F16" s="1"/>
      <c r="G16" s="1"/>
      <c r="H16" s="1"/>
      <c r="I16" s="1"/>
      <c r="J16" s="1"/>
      <c r="K16" s="1"/>
    </row>
    <row r="17" spans="1:11" ht="15.75" customHeight="1">
      <c r="A17" s="1"/>
      <c r="B17" s="53" t="s">
        <v>20</v>
      </c>
      <c r="C17" s="18" t="s">
        <v>15</v>
      </c>
      <c r="D17" s="41">
        <f>(D7/D8)*D11</f>
        <v>455000</v>
      </c>
      <c r="E17" s="19"/>
      <c r="F17" s="1"/>
      <c r="G17" s="1"/>
      <c r="H17" s="1"/>
      <c r="I17" s="1"/>
      <c r="J17" s="1"/>
      <c r="K17" s="1"/>
    </row>
    <row r="18" spans="1:11" ht="15.75" customHeight="1">
      <c r="A18" s="1"/>
      <c r="B18" s="54"/>
      <c r="C18" s="18" t="s">
        <v>16</v>
      </c>
      <c r="D18" s="49">
        <f>D10*(1-D11)</f>
        <v>5.2000000000000005E-2</v>
      </c>
      <c r="E18" s="19"/>
      <c r="F18" s="1"/>
      <c r="G18" s="1"/>
      <c r="H18" s="1"/>
      <c r="I18" s="1"/>
      <c r="J18" s="1"/>
      <c r="K18" s="1"/>
    </row>
    <row r="19" spans="1:11" ht="15.75" customHeight="1">
      <c r="A19" s="1"/>
      <c r="B19" s="54"/>
      <c r="C19" s="18" t="s">
        <v>18</v>
      </c>
      <c r="D19" s="40">
        <f>D9*(1-D11)</f>
        <v>991250</v>
      </c>
      <c r="E19" s="19"/>
      <c r="F19" s="1"/>
      <c r="G19" s="1"/>
      <c r="H19" s="1"/>
      <c r="I19" s="1"/>
      <c r="J19" s="1"/>
      <c r="K19" s="1"/>
    </row>
    <row r="20" spans="1:11" ht="15.75" customHeight="1">
      <c r="A20" s="1"/>
      <c r="B20" s="54"/>
      <c r="C20" s="18" t="s">
        <v>69</v>
      </c>
      <c r="D20" s="40">
        <f>D17+D19</f>
        <v>1446250</v>
      </c>
      <c r="E20" s="19"/>
      <c r="F20" s="1"/>
      <c r="G20" s="1"/>
      <c r="H20" s="1"/>
      <c r="I20" s="1"/>
      <c r="J20" s="1"/>
      <c r="K20" s="1"/>
    </row>
    <row r="21" spans="1:11" ht="15.75" customHeight="1">
      <c r="A21" s="1"/>
      <c r="B21" s="54"/>
      <c r="C21" s="18" t="s">
        <v>17</v>
      </c>
      <c r="D21" s="51">
        <f>D7-PV(D18,D8,-D20,0,0)</f>
        <v>95405.020716556348</v>
      </c>
      <c r="E21" s="19"/>
      <c r="F21" s="1"/>
      <c r="G21" s="1"/>
      <c r="H21" s="1"/>
      <c r="I21" s="1"/>
      <c r="J21" s="1"/>
      <c r="K21" s="1"/>
    </row>
    <row r="22" spans="1:11" ht="15.75" customHeight="1">
      <c r="A22" s="1"/>
      <c r="B22" s="54"/>
      <c r="C22" s="27" t="str">
        <f>IF(D21&gt;0, "You should lease.","You should buy.")</f>
        <v>You should lease.</v>
      </c>
      <c r="D22" s="50"/>
      <c r="E22" s="19"/>
      <c r="F22" s="1"/>
      <c r="G22" s="1"/>
      <c r="H22" s="1"/>
      <c r="I22" s="1"/>
      <c r="J22" s="1"/>
      <c r="K22" s="1"/>
    </row>
    <row r="23" spans="1:11" ht="15.75" customHeight="1" thickBot="1">
      <c r="A23" s="1"/>
      <c r="B23" s="55"/>
      <c r="C23" s="21"/>
      <c r="D23" s="24"/>
      <c r="E23" s="22"/>
      <c r="F23" s="1"/>
      <c r="G23" s="1"/>
      <c r="H23" s="1"/>
      <c r="I23" s="1"/>
      <c r="J23" s="1"/>
      <c r="K23" s="1"/>
    </row>
    <row r="24" spans="1:11" ht="15.75" customHeight="1" thickBot="1">
      <c r="A24" s="1"/>
      <c r="B24" s="56"/>
      <c r="C24" s="1"/>
      <c r="D24" s="1"/>
      <c r="E24" s="1"/>
      <c r="F24" s="1"/>
      <c r="G24" s="1"/>
      <c r="H24" s="1"/>
      <c r="I24" s="1"/>
      <c r="J24" s="1"/>
      <c r="K24" s="1"/>
    </row>
    <row r="25" spans="1:11" ht="15.75" customHeight="1">
      <c r="A25" s="1"/>
      <c r="B25" s="57"/>
      <c r="C25" s="15"/>
      <c r="D25" s="15"/>
      <c r="E25" s="16"/>
      <c r="F25" s="1"/>
      <c r="G25" s="1"/>
      <c r="H25" s="1"/>
      <c r="I25" s="1"/>
      <c r="J25" s="1"/>
      <c r="K25" s="1"/>
    </row>
    <row r="26" spans="1:11" ht="15.75" customHeight="1">
      <c r="A26" s="1"/>
      <c r="B26" s="54" t="s">
        <v>21</v>
      </c>
      <c r="C26" s="18" t="s">
        <v>17</v>
      </c>
      <c r="D26" s="51">
        <f>-D21</f>
        <v>-95405.020716556348</v>
      </c>
      <c r="E26" s="19"/>
      <c r="F26" s="1"/>
      <c r="G26" s="1"/>
      <c r="H26" s="1"/>
      <c r="I26" s="1"/>
      <c r="J26" s="1"/>
      <c r="K26" s="1"/>
    </row>
    <row r="27" spans="1:11" ht="15.75" customHeight="1" thickBot="1">
      <c r="A27" s="1"/>
      <c r="B27" s="55"/>
      <c r="C27" s="21"/>
      <c r="D27" s="21"/>
      <c r="E27" s="22"/>
      <c r="F27" s="1"/>
      <c r="G27" s="1"/>
      <c r="H27" s="1"/>
      <c r="I27" s="1"/>
      <c r="J27" s="1"/>
      <c r="K27" s="1"/>
    </row>
    <row r="28" spans="1:11" ht="15.75" customHeight="1" thickBot="1">
      <c r="A28" s="1"/>
      <c r="B28" s="56"/>
      <c r="C28" s="1"/>
      <c r="D28" s="1"/>
      <c r="E28" s="1"/>
      <c r="F28" s="1"/>
      <c r="G28" s="1"/>
      <c r="H28" s="1"/>
      <c r="I28" s="1"/>
      <c r="J28" s="1"/>
      <c r="K28" s="1"/>
    </row>
    <row r="29" spans="1:11" ht="15.75" customHeight="1">
      <c r="A29" s="1"/>
      <c r="B29" s="57"/>
      <c r="C29" s="15"/>
      <c r="D29" s="15"/>
      <c r="E29" s="16"/>
      <c r="F29" s="1"/>
      <c r="G29" s="1"/>
      <c r="H29" s="1"/>
      <c r="I29" s="1"/>
      <c r="J29" s="1"/>
      <c r="K29" s="1"/>
    </row>
    <row r="30" spans="1:11" ht="15.75" customHeight="1">
      <c r="A30" s="1"/>
      <c r="B30" s="54" t="s">
        <v>22</v>
      </c>
      <c r="C30" s="18" t="s">
        <v>130</v>
      </c>
      <c r="D30" s="92">
        <f>PMT(D18,D8,-D7)</f>
        <v>1473280.4523221327</v>
      </c>
      <c r="E30" s="19"/>
      <c r="F30" s="1"/>
      <c r="G30" s="1"/>
      <c r="H30" s="1"/>
      <c r="I30" s="1"/>
      <c r="J30" s="1"/>
      <c r="K30" s="1"/>
    </row>
    <row r="31" spans="1:11" ht="15.75" customHeight="1">
      <c r="A31" s="1"/>
      <c r="B31" s="54"/>
      <c r="C31" s="18" t="s">
        <v>18</v>
      </c>
      <c r="D31" s="92">
        <f>D30-D17</f>
        <v>1018280.4523221327</v>
      </c>
      <c r="E31" s="19"/>
      <c r="F31" s="1"/>
      <c r="G31" s="1"/>
      <c r="H31" s="1"/>
      <c r="I31" s="1"/>
      <c r="J31" s="1"/>
      <c r="K31" s="1"/>
    </row>
    <row r="32" spans="1:11" ht="15.75" customHeight="1">
      <c r="A32" s="1"/>
      <c r="B32" s="54"/>
      <c r="C32" s="18"/>
      <c r="D32" s="18"/>
      <c r="E32" s="19"/>
      <c r="F32" s="1"/>
      <c r="G32" s="1"/>
      <c r="H32" s="1"/>
      <c r="I32" s="1"/>
      <c r="J32" s="1"/>
      <c r="K32" s="1"/>
    </row>
    <row r="33" spans="1:11" ht="15.75" customHeight="1">
      <c r="A33" s="1"/>
      <c r="B33" s="54"/>
      <c r="C33" s="52" t="s">
        <v>19</v>
      </c>
      <c r="D33" s="45">
        <f>D31/(1-D11)</f>
        <v>1566585.3112648195</v>
      </c>
      <c r="E33" s="19"/>
      <c r="F33" s="1"/>
      <c r="G33" s="1"/>
      <c r="H33" s="1"/>
      <c r="I33" s="1"/>
      <c r="J33" s="1"/>
      <c r="K33" s="1"/>
    </row>
    <row r="34" spans="1:11" ht="15.75" customHeight="1" thickBot="1">
      <c r="A34" s="1"/>
      <c r="B34" s="20"/>
      <c r="C34" s="21"/>
      <c r="D34" s="21"/>
      <c r="E34" s="22"/>
      <c r="F34" s="1"/>
      <c r="G34" s="1"/>
      <c r="H34" s="1"/>
      <c r="I34" s="1"/>
      <c r="J34" s="1"/>
      <c r="K34" s="1"/>
    </row>
    <row r="35" spans="1:11" ht="15.75" customHeight="1" thickBo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customHeight="1">
      <c r="A36" s="1"/>
      <c r="B36" s="14"/>
      <c r="C36" s="15"/>
      <c r="D36" s="15"/>
      <c r="E36" s="15"/>
      <c r="F36" s="15"/>
      <c r="G36" s="15"/>
      <c r="H36" s="16"/>
      <c r="I36" s="1"/>
      <c r="J36" s="1"/>
      <c r="K36" s="1"/>
    </row>
    <row r="37" spans="1:11" ht="15.75" customHeight="1">
      <c r="A37" s="1"/>
      <c r="B37" s="17" t="s">
        <v>23</v>
      </c>
      <c r="C37" s="18" t="s">
        <v>24</v>
      </c>
      <c r="D37" s="18"/>
      <c r="E37" s="18"/>
      <c r="F37" s="18"/>
      <c r="G37" s="18"/>
      <c r="H37" s="19"/>
      <c r="I37" s="1"/>
      <c r="J37" s="1"/>
      <c r="K37" s="1"/>
    </row>
    <row r="38" spans="1:11" ht="15.75" customHeight="1">
      <c r="A38" s="1"/>
      <c r="B38" s="17"/>
      <c r="C38" s="18" t="s">
        <v>25</v>
      </c>
      <c r="D38" s="18"/>
      <c r="E38" s="18"/>
      <c r="F38" s="18"/>
      <c r="G38" s="18"/>
      <c r="H38" s="19"/>
      <c r="I38" s="1"/>
      <c r="J38" s="1"/>
      <c r="K38" s="1"/>
    </row>
    <row r="39" spans="1:11" ht="15.75" customHeight="1">
      <c r="A39" s="1"/>
      <c r="B39" s="17"/>
      <c r="C39" s="18" t="s">
        <v>26</v>
      </c>
      <c r="D39" s="18"/>
      <c r="E39" s="18"/>
      <c r="F39" s="18"/>
      <c r="G39" s="18"/>
      <c r="H39" s="19"/>
      <c r="I39" s="1"/>
      <c r="J39" s="1"/>
      <c r="K39" s="1"/>
    </row>
    <row r="40" spans="1:11" ht="15.75" customHeight="1">
      <c r="A40" s="1"/>
      <c r="B40" s="17"/>
      <c r="C40" s="18" t="s">
        <v>17</v>
      </c>
      <c r="D40" s="51">
        <f>D7-PV(D10,D8,-D9,0,0)</f>
        <v>149006.56893239077</v>
      </c>
      <c r="E40" s="18"/>
      <c r="F40" s="18"/>
      <c r="G40" s="18"/>
      <c r="H40" s="19"/>
      <c r="I40" s="1"/>
      <c r="J40" s="1"/>
      <c r="K40" s="1"/>
    </row>
    <row r="41" spans="1:11" ht="15.75" customHeight="1" thickBot="1">
      <c r="A41" s="1"/>
      <c r="B41" s="20"/>
      <c r="C41" s="21"/>
      <c r="D41" s="21"/>
      <c r="E41" s="21"/>
      <c r="F41" s="21"/>
      <c r="G41" s="21"/>
      <c r="H41" s="22"/>
      <c r="I41" s="1"/>
      <c r="J41" s="1"/>
      <c r="K41" s="1"/>
    </row>
    <row r="42" spans="1:11" ht="15.75" customHeight="1" thickBo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customHeight="1">
      <c r="A43" s="1"/>
      <c r="B43" s="14"/>
      <c r="C43" s="15"/>
      <c r="D43" s="15"/>
      <c r="E43" s="16"/>
      <c r="F43" s="1"/>
      <c r="G43" s="1"/>
      <c r="H43" s="1"/>
      <c r="I43" s="1"/>
      <c r="J43" s="1"/>
      <c r="K43" s="1"/>
    </row>
    <row r="44" spans="1:11" ht="15.75" customHeight="1">
      <c r="A44" s="1"/>
      <c r="B44" s="17" t="s">
        <v>27</v>
      </c>
      <c r="C44" s="18" t="s">
        <v>28</v>
      </c>
      <c r="D44" s="18"/>
      <c r="E44" s="19"/>
      <c r="F44" s="1"/>
      <c r="G44" s="1"/>
      <c r="H44" s="1"/>
      <c r="I44" s="1"/>
      <c r="J44" s="1"/>
      <c r="K44" s="1"/>
    </row>
    <row r="45" spans="1:11" ht="15.75" customHeight="1">
      <c r="A45" s="1"/>
      <c r="B45" s="17"/>
      <c r="C45" s="18" t="s">
        <v>29</v>
      </c>
      <c r="D45" s="51">
        <f>D33</f>
        <v>1566585.3112648195</v>
      </c>
      <c r="E45" s="19"/>
      <c r="F45" s="1"/>
      <c r="G45" s="1"/>
      <c r="H45" s="1"/>
      <c r="I45" s="1"/>
      <c r="J45" s="1"/>
      <c r="K45" s="1"/>
    </row>
    <row r="46" spans="1:11" ht="15.75" customHeight="1">
      <c r="A46" s="1"/>
      <c r="B46" s="17"/>
      <c r="C46" s="18"/>
      <c r="D46" s="18"/>
      <c r="E46" s="19"/>
      <c r="F46" s="1"/>
      <c r="G46" s="1"/>
      <c r="H46" s="1"/>
      <c r="I46" s="1"/>
      <c r="J46" s="1"/>
      <c r="K46" s="1"/>
    </row>
    <row r="47" spans="1:11" ht="15.75" customHeight="1">
      <c r="A47" s="1"/>
      <c r="B47" s="17"/>
      <c r="C47" s="18" t="s">
        <v>30</v>
      </c>
      <c r="D47" s="45">
        <f>D7/PV(D10,D8,-1,0,0)</f>
        <v>1569988.1831610035</v>
      </c>
      <c r="E47" s="19"/>
      <c r="F47" s="1"/>
      <c r="G47" s="1"/>
      <c r="H47" s="1"/>
      <c r="I47" s="1"/>
      <c r="J47" s="1"/>
      <c r="K47" s="1"/>
    </row>
    <row r="48" spans="1:11" ht="15.75" customHeight="1" thickBot="1">
      <c r="A48" s="1"/>
      <c r="B48" s="20"/>
      <c r="C48" s="21"/>
      <c r="D48" s="21"/>
      <c r="E48" s="22"/>
      <c r="F48" s="1"/>
      <c r="G48" s="1"/>
      <c r="H48" s="1"/>
      <c r="I48" s="1"/>
      <c r="J48" s="1"/>
      <c r="K48" s="1"/>
    </row>
    <row r="49" spans="1:11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5.75" customHeight="1"/>
    <row r="83" spans="1:11" ht="15.75" customHeight="1"/>
    <row r="84" spans="1:11" ht="15.75" customHeight="1"/>
    <row r="85" spans="1:11" ht="15.75" customHeight="1"/>
    <row r="86" spans="1:11" ht="15.75" customHeight="1"/>
  </sheetData>
  <phoneticPr fontId="0" type="noConversion"/>
  <pageMargins left="0.75" right="0.75" top="1" bottom="1" header="0.5" footer="0.5"/>
  <pageSetup scale="87" orientation="portrait" horizontalDpi="360" verticalDpi="36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K69"/>
  <sheetViews>
    <sheetView workbookViewId="0"/>
  </sheetViews>
  <sheetFormatPr defaultRowHeight="12.75"/>
  <cols>
    <col min="2" max="2" width="3.140625" customWidth="1"/>
    <col min="3" max="3" width="27.42578125" customWidth="1"/>
    <col min="4" max="4" width="18.140625" customWidth="1"/>
    <col min="5" max="5" width="3.140625" customWidth="1"/>
    <col min="6" max="6" width="20.5703125" customWidth="1"/>
    <col min="7" max="7" width="22.7109375" customWidth="1"/>
    <col min="8" max="8" width="4.140625" customWidth="1"/>
  </cols>
  <sheetData>
    <row r="1" spans="1:11" ht="18">
      <c r="A1" s="1"/>
      <c r="B1" s="1"/>
      <c r="C1" s="39" t="s">
        <v>73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2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2" t="s">
        <v>0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3"/>
      <c r="C6" s="4"/>
      <c r="D6" s="12"/>
      <c r="E6" s="5"/>
      <c r="F6" s="1"/>
      <c r="G6" s="1"/>
      <c r="H6" s="1"/>
      <c r="I6" s="1"/>
      <c r="J6" s="1"/>
      <c r="K6" s="1"/>
    </row>
    <row r="7" spans="1:11" ht="15.75" customHeight="1">
      <c r="A7" s="1"/>
      <c r="B7" s="6"/>
      <c r="C7" s="7" t="s">
        <v>10</v>
      </c>
      <c r="D7" s="60">
        <f ca="1">'#1-5'!D7</f>
        <v>5200000</v>
      </c>
      <c r="E7" s="8"/>
      <c r="F7" s="1"/>
      <c r="G7" s="1"/>
      <c r="H7" s="1"/>
      <c r="I7" s="1"/>
      <c r="J7" s="1"/>
      <c r="K7" s="1"/>
    </row>
    <row r="8" spans="1:11" ht="15.75" customHeight="1">
      <c r="A8" s="1"/>
      <c r="B8" s="6"/>
      <c r="C8" s="7" t="s">
        <v>11</v>
      </c>
      <c r="D8" s="61">
        <f ca="1">'#1-5'!D8</f>
        <v>4</v>
      </c>
      <c r="E8" s="8"/>
      <c r="F8" s="1"/>
      <c r="G8" s="1"/>
      <c r="H8" s="1"/>
      <c r="I8" s="1"/>
      <c r="J8" s="1"/>
      <c r="K8" s="1"/>
    </row>
    <row r="9" spans="1:11" ht="15.75" customHeight="1">
      <c r="A9" s="1"/>
      <c r="B9" s="6"/>
      <c r="C9" s="7" t="s">
        <v>12</v>
      </c>
      <c r="D9" s="60">
        <f ca="1">'#1-5'!D9</f>
        <v>1525000</v>
      </c>
      <c r="E9" s="8"/>
      <c r="F9" s="1"/>
      <c r="G9" s="1"/>
      <c r="H9" s="1"/>
      <c r="I9" s="1"/>
      <c r="J9" s="1"/>
      <c r="K9" s="1"/>
    </row>
    <row r="10" spans="1:11" ht="15.75" customHeight="1">
      <c r="A10" s="1"/>
      <c r="B10" s="6"/>
      <c r="C10" s="7" t="s">
        <v>13</v>
      </c>
      <c r="D10" s="62">
        <f ca="1">'#1-5'!D10</f>
        <v>0.08</v>
      </c>
      <c r="E10" s="8"/>
      <c r="F10" s="1"/>
      <c r="G10" s="1"/>
      <c r="H10" s="1"/>
      <c r="I10" s="1"/>
      <c r="J10" s="1"/>
      <c r="K10" s="1"/>
    </row>
    <row r="11" spans="1:11" ht="15.75" customHeight="1">
      <c r="A11" s="1"/>
      <c r="B11" s="6"/>
      <c r="C11" s="7" t="s">
        <v>14</v>
      </c>
      <c r="D11" s="62">
        <f ca="1">'#1-5'!D11</f>
        <v>0.35</v>
      </c>
      <c r="E11" s="8"/>
      <c r="F11" s="1"/>
      <c r="G11" s="1"/>
      <c r="H11" s="1"/>
      <c r="I11" s="1"/>
      <c r="J11" s="1"/>
      <c r="K11" s="1"/>
    </row>
    <row r="12" spans="1:11" ht="15.75" customHeight="1">
      <c r="A12" s="1"/>
      <c r="B12" s="6"/>
      <c r="C12" s="7" t="s">
        <v>32</v>
      </c>
      <c r="D12" s="58">
        <v>0.33329999999999999</v>
      </c>
      <c r="E12" s="8"/>
      <c r="F12" s="1"/>
      <c r="G12" s="1"/>
      <c r="H12" s="1"/>
      <c r="I12" s="1"/>
      <c r="J12" s="1"/>
      <c r="K12" s="1"/>
    </row>
    <row r="13" spans="1:11" ht="15.75" customHeight="1">
      <c r="A13" s="1"/>
      <c r="B13" s="6"/>
      <c r="C13" s="7"/>
      <c r="D13" s="58">
        <v>0.44450000000000001</v>
      </c>
      <c r="E13" s="8"/>
      <c r="F13" s="1"/>
      <c r="G13" s="1"/>
      <c r="H13" s="1"/>
      <c r="I13" s="1"/>
      <c r="J13" s="1"/>
      <c r="K13" s="1"/>
    </row>
    <row r="14" spans="1:11" ht="15.75" customHeight="1">
      <c r="A14" s="1"/>
      <c r="B14" s="6"/>
      <c r="C14" s="7"/>
      <c r="D14" s="58">
        <v>0.14810000000000001</v>
      </c>
      <c r="E14" s="8"/>
      <c r="F14" s="1"/>
      <c r="G14" s="1"/>
      <c r="H14" s="1"/>
      <c r="I14" s="1"/>
      <c r="J14" s="1"/>
      <c r="K14" s="1"/>
    </row>
    <row r="15" spans="1:11" ht="15.75" customHeight="1">
      <c r="A15" s="1"/>
      <c r="B15" s="6"/>
      <c r="C15" s="7"/>
      <c r="D15" s="58">
        <v>7.4099999999999999E-2</v>
      </c>
      <c r="E15" s="8"/>
      <c r="F15" s="1"/>
      <c r="G15" s="1"/>
      <c r="H15" s="1"/>
      <c r="I15" s="1"/>
      <c r="J15" s="1"/>
      <c r="K15" s="1"/>
    </row>
    <row r="16" spans="1:11" ht="15.75" customHeight="1" thickBot="1">
      <c r="A16" s="1"/>
      <c r="B16" s="9"/>
      <c r="C16" s="10"/>
      <c r="D16" s="129"/>
      <c r="E16" s="11"/>
      <c r="F16" s="1"/>
      <c r="G16" s="1"/>
      <c r="H16" s="1"/>
      <c r="I16" s="1"/>
      <c r="J16" s="1"/>
      <c r="K16" s="1"/>
    </row>
    <row r="17" spans="1:1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.75" customHeight="1">
      <c r="A18" s="1"/>
      <c r="B18" s="1"/>
      <c r="C18" s="2" t="s">
        <v>1</v>
      </c>
      <c r="D18" s="1"/>
      <c r="E18" s="1"/>
      <c r="F18" s="1"/>
      <c r="G18" s="1"/>
      <c r="H18" s="1"/>
      <c r="I18" s="1"/>
      <c r="J18" s="1"/>
      <c r="K18" s="1"/>
    </row>
    <row r="19" spans="1:11" ht="15.75" customHeight="1" thickBo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15.75" customHeight="1">
      <c r="A20" s="1"/>
      <c r="B20" s="14"/>
      <c r="C20" s="15"/>
      <c r="D20" s="23"/>
      <c r="E20" s="16"/>
      <c r="F20" s="1"/>
      <c r="G20" s="1"/>
      <c r="H20" s="1"/>
      <c r="I20" s="1"/>
      <c r="J20" s="1"/>
      <c r="K20" s="1"/>
    </row>
    <row r="21" spans="1:11" ht="15.75" customHeight="1">
      <c r="A21" s="1"/>
      <c r="B21" s="54"/>
      <c r="C21" s="18" t="s">
        <v>18</v>
      </c>
      <c r="D21" s="40">
        <f>D9*(1-D11)</f>
        <v>991250</v>
      </c>
      <c r="E21" s="19"/>
      <c r="F21" s="1"/>
      <c r="G21" s="1"/>
      <c r="H21" s="1"/>
      <c r="I21" s="1"/>
      <c r="J21" s="1"/>
      <c r="K21" s="1"/>
    </row>
    <row r="22" spans="1:11" ht="15.75" customHeight="1">
      <c r="A22" s="1"/>
      <c r="B22" s="54"/>
      <c r="C22" s="18" t="s">
        <v>36</v>
      </c>
      <c r="D22" s="49">
        <f>D10*(1-D11)</f>
        <v>5.2000000000000005E-2</v>
      </c>
      <c r="E22" s="19"/>
      <c r="F22" s="1"/>
      <c r="G22" s="1"/>
      <c r="H22" s="1"/>
      <c r="I22" s="1"/>
      <c r="J22" s="1"/>
      <c r="K22" s="1"/>
    </row>
    <row r="23" spans="1:11" ht="15.75" customHeight="1">
      <c r="A23" s="1"/>
      <c r="B23" s="54"/>
      <c r="C23" s="64" t="s">
        <v>34</v>
      </c>
      <c r="D23" s="65" t="s">
        <v>35</v>
      </c>
      <c r="E23" s="19"/>
      <c r="F23" s="1"/>
      <c r="G23" s="1"/>
      <c r="H23" s="1"/>
      <c r="I23" s="1"/>
      <c r="J23" s="1"/>
      <c r="K23" s="1"/>
    </row>
    <row r="24" spans="1:11" ht="15.75" customHeight="1">
      <c r="A24" s="1"/>
      <c r="B24" s="54"/>
      <c r="C24" s="59">
        <v>1</v>
      </c>
      <c r="D24" s="40">
        <f>($D$7*D12*$D$11)+$D$21</f>
        <v>1597856</v>
      </c>
      <c r="E24" s="19"/>
      <c r="F24" s="1"/>
      <c r="G24" s="1"/>
      <c r="H24" s="1"/>
      <c r="I24" s="1"/>
      <c r="J24" s="1"/>
      <c r="K24" s="1"/>
    </row>
    <row r="25" spans="1:11" ht="15.75" customHeight="1">
      <c r="A25" s="1"/>
      <c r="B25" s="54"/>
      <c r="C25" s="59">
        <v>2</v>
      </c>
      <c r="D25" s="40">
        <f>($D$7*D13*$D$11)+$D$21</f>
        <v>1800240</v>
      </c>
      <c r="E25" s="19"/>
      <c r="F25" s="1"/>
      <c r="G25" s="1"/>
      <c r="H25" s="1"/>
      <c r="I25" s="1"/>
      <c r="J25" s="1"/>
      <c r="K25" s="1"/>
    </row>
    <row r="26" spans="1:11" ht="15.75" customHeight="1">
      <c r="A26" s="1"/>
      <c r="B26" s="54"/>
      <c r="C26" s="59">
        <v>3</v>
      </c>
      <c r="D26" s="40">
        <f>($D$7*D14*$D$11)+$D$21</f>
        <v>1260792</v>
      </c>
      <c r="E26" s="19"/>
      <c r="F26" s="1"/>
      <c r="G26" s="1"/>
      <c r="H26" s="1"/>
      <c r="I26" s="1"/>
      <c r="J26" s="1"/>
      <c r="K26" s="1"/>
    </row>
    <row r="27" spans="1:11" ht="15.75" customHeight="1">
      <c r="A27" s="1"/>
      <c r="B27" s="54"/>
      <c r="C27" s="59">
        <v>4</v>
      </c>
      <c r="D27" s="40">
        <f>($D$7*D15*$D$11)+$D$21</f>
        <v>1126112</v>
      </c>
      <c r="E27" s="19"/>
      <c r="F27" s="1"/>
      <c r="G27" s="1"/>
      <c r="H27" s="1"/>
      <c r="I27" s="1"/>
      <c r="J27" s="1"/>
      <c r="K27" s="1"/>
    </row>
    <row r="28" spans="1:11" ht="15.75" customHeight="1">
      <c r="A28" s="1"/>
      <c r="B28" s="54"/>
      <c r="C28" s="18"/>
      <c r="D28" s="63"/>
      <c r="E28" s="19"/>
      <c r="F28" s="1"/>
      <c r="G28" s="1"/>
      <c r="H28" s="1"/>
      <c r="I28" s="1"/>
      <c r="J28" s="1"/>
      <c r="K28" s="1"/>
    </row>
    <row r="29" spans="1:11" ht="15.75" customHeight="1">
      <c r="A29" s="1"/>
      <c r="B29" s="54"/>
      <c r="C29" s="18" t="s">
        <v>17</v>
      </c>
      <c r="D29" s="45">
        <f>D7-NPV(D22,D24:D27)</f>
        <v>52107.923450302333</v>
      </c>
      <c r="E29" s="19"/>
      <c r="F29" s="1"/>
      <c r="G29" s="1"/>
      <c r="H29" s="1"/>
      <c r="I29" s="1"/>
      <c r="J29" s="1"/>
      <c r="K29" s="1"/>
    </row>
    <row r="30" spans="1:11" ht="15.75" customHeight="1">
      <c r="A30" s="1"/>
      <c r="B30" s="54"/>
      <c r="C30" s="46" t="str">
        <f>IF(D29&gt;0,"The machine should be leased.","The machine should not be leased.")</f>
        <v>The machine should be leased.</v>
      </c>
      <c r="D30" s="50"/>
      <c r="E30" s="19"/>
      <c r="F30" s="1"/>
      <c r="G30" s="1"/>
      <c r="H30" s="1"/>
      <c r="I30" s="1"/>
      <c r="J30" s="1"/>
      <c r="K30" s="1"/>
    </row>
    <row r="31" spans="1:11" ht="15.75" customHeight="1" thickBot="1">
      <c r="A31" s="1"/>
      <c r="B31" s="55"/>
      <c r="C31" s="21"/>
      <c r="D31" s="24"/>
      <c r="E31" s="22"/>
      <c r="F31" s="1"/>
      <c r="G31" s="1"/>
      <c r="H31" s="1"/>
      <c r="I31" s="1"/>
      <c r="J31" s="1"/>
      <c r="K31" s="1"/>
    </row>
    <row r="32" spans="1:11" ht="15.75" customHeight="1">
      <c r="A32" s="1"/>
      <c r="B32" s="56"/>
      <c r="C32" s="1"/>
      <c r="D32" s="1"/>
      <c r="E32" s="1"/>
      <c r="F32" s="1"/>
      <c r="G32" s="1"/>
      <c r="H32" s="1"/>
      <c r="I32" s="1"/>
      <c r="J32" s="1"/>
      <c r="K32" s="1"/>
    </row>
    <row r="33" spans="1:11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ht="15.75" customHeight="1"/>
    <row r="66" ht="15.75" customHeight="1"/>
    <row r="67" ht="15.75" customHeight="1"/>
    <row r="68" ht="15.75" customHeight="1"/>
    <row r="69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1:K62"/>
  <sheetViews>
    <sheetView zoomScaleNormal="100" workbookViewId="0"/>
  </sheetViews>
  <sheetFormatPr defaultRowHeight="12.75"/>
  <cols>
    <col min="2" max="2" width="3.140625" customWidth="1"/>
    <col min="3" max="3" width="27.42578125" customWidth="1"/>
    <col min="4" max="4" width="18.140625" customWidth="1"/>
    <col min="5" max="5" width="3.140625" customWidth="1"/>
    <col min="6" max="6" width="20.5703125" customWidth="1"/>
    <col min="7" max="7" width="22.7109375" customWidth="1"/>
    <col min="8" max="8" width="4.140625" customWidth="1"/>
  </cols>
  <sheetData>
    <row r="1" spans="1:11" ht="18">
      <c r="A1" s="1"/>
      <c r="B1" s="1"/>
      <c r="C1" s="39" t="s">
        <v>73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3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2" t="s">
        <v>0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3"/>
      <c r="C6" s="4"/>
      <c r="D6" s="12"/>
      <c r="E6" s="5"/>
      <c r="F6" s="1"/>
      <c r="G6" s="1"/>
      <c r="H6" s="1"/>
      <c r="I6" s="1"/>
      <c r="J6" s="1"/>
      <c r="K6" s="1"/>
    </row>
    <row r="7" spans="1:11" ht="15.75" customHeight="1">
      <c r="A7" s="1"/>
      <c r="B7" s="6"/>
      <c r="C7" s="7" t="s">
        <v>10</v>
      </c>
      <c r="D7" s="25">
        <v>540000</v>
      </c>
      <c r="E7" s="8"/>
      <c r="F7" s="1"/>
      <c r="G7" s="1"/>
      <c r="H7" s="1"/>
      <c r="I7" s="1"/>
      <c r="J7" s="1"/>
      <c r="K7" s="1"/>
    </row>
    <row r="8" spans="1:11" ht="15.75" customHeight="1">
      <c r="A8" s="1"/>
      <c r="B8" s="6"/>
      <c r="C8" s="7" t="s">
        <v>11</v>
      </c>
      <c r="D8" s="43">
        <v>5</v>
      </c>
      <c r="E8" s="8"/>
      <c r="F8" s="1"/>
      <c r="G8" s="1"/>
      <c r="H8" s="1"/>
      <c r="I8" s="1"/>
      <c r="J8" s="1"/>
      <c r="K8" s="1"/>
    </row>
    <row r="9" spans="1:11" ht="15.75" customHeight="1">
      <c r="A9" s="1"/>
      <c r="B9" s="6"/>
      <c r="C9" s="7" t="s">
        <v>12</v>
      </c>
      <c r="D9" s="25">
        <v>145000</v>
      </c>
      <c r="E9" s="8"/>
      <c r="F9" s="1"/>
      <c r="G9" s="1"/>
      <c r="H9" s="1"/>
      <c r="I9" s="1"/>
      <c r="J9" s="1"/>
      <c r="K9" s="1"/>
    </row>
    <row r="10" spans="1:11" ht="15.75" customHeight="1">
      <c r="A10" s="1"/>
      <c r="B10" s="6"/>
      <c r="C10" s="7" t="s">
        <v>13</v>
      </c>
      <c r="D10" s="26">
        <v>0.09</v>
      </c>
      <c r="E10" s="8"/>
      <c r="F10" s="1"/>
      <c r="G10" s="1"/>
      <c r="H10" s="1"/>
      <c r="I10" s="1"/>
      <c r="J10" s="1"/>
      <c r="K10" s="1"/>
    </row>
    <row r="11" spans="1:11" ht="15.75" customHeight="1">
      <c r="A11" s="1"/>
      <c r="B11" s="6"/>
      <c r="C11" s="7" t="s">
        <v>14</v>
      </c>
      <c r="D11" s="26">
        <v>0.35</v>
      </c>
      <c r="E11" s="8"/>
      <c r="F11" s="1"/>
      <c r="G11" s="1"/>
      <c r="H11" s="1"/>
      <c r="I11" s="1"/>
      <c r="J11" s="1"/>
      <c r="K11" s="1"/>
    </row>
    <row r="12" spans="1:11" ht="15.75" customHeight="1" thickBot="1">
      <c r="A12" s="1"/>
      <c r="B12" s="9"/>
      <c r="C12" s="10"/>
      <c r="D12" s="13"/>
      <c r="E12" s="11"/>
      <c r="F12" s="1"/>
      <c r="G12" s="1"/>
      <c r="H12" s="1"/>
      <c r="I12" s="1"/>
      <c r="J12" s="1"/>
      <c r="K12" s="1"/>
    </row>
    <row r="13" spans="1:11" ht="15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.75" customHeight="1">
      <c r="A14" s="1"/>
      <c r="B14" s="1"/>
      <c r="C14" s="2" t="s">
        <v>1</v>
      </c>
      <c r="D14" s="1"/>
      <c r="E14" s="1"/>
      <c r="F14" s="1"/>
      <c r="G14" s="1"/>
      <c r="H14" s="1"/>
      <c r="I14" s="1"/>
      <c r="J14" s="1"/>
      <c r="K14" s="1"/>
    </row>
    <row r="15" spans="1:11" ht="15.75" customHeight="1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.75" customHeight="1">
      <c r="A16" s="1"/>
      <c r="B16" s="14"/>
      <c r="C16" s="15"/>
      <c r="D16" s="23"/>
      <c r="E16" s="16"/>
      <c r="F16" s="1"/>
      <c r="G16" s="1"/>
      <c r="H16" s="1"/>
      <c r="I16" s="1"/>
      <c r="J16" s="1"/>
      <c r="K16" s="1"/>
    </row>
    <row r="17" spans="1:11" ht="15.75" customHeight="1">
      <c r="A17" s="1"/>
      <c r="B17" s="53"/>
      <c r="C17" s="18" t="s">
        <v>15</v>
      </c>
      <c r="D17" s="41">
        <f>(D7/D8)*D11</f>
        <v>37800</v>
      </c>
      <c r="E17" s="19"/>
      <c r="F17" s="1"/>
      <c r="G17" s="1"/>
      <c r="H17" s="1"/>
      <c r="I17" s="1"/>
      <c r="J17" s="1"/>
      <c r="K17" s="1"/>
    </row>
    <row r="18" spans="1:11" ht="15.75" customHeight="1">
      <c r="A18" s="1"/>
      <c r="B18" s="54"/>
      <c r="C18" s="18" t="s">
        <v>16</v>
      </c>
      <c r="D18" s="49">
        <f>D10*(1-D11)</f>
        <v>5.8499999999999996E-2</v>
      </c>
      <c r="E18" s="19"/>
      <c r="F18" s="1"/>
      <c r="G18" s="1"/>
      <c r="H18" s="1"/>
      <c r="I18" s="1"/>
      <c r="J18" s="1"/>
      <c r="K18" s="1"/>
    </row>
    <row r="19" spans="1:11" ht="15.75" customHeight="1">
      <c r="A19" s="1"/>
      <c r="B19" s="54"/>
      <c r="C19" s="18" t="s">
        <v>18</v>
      </c>
      <c r="D19" s="40">
        <f>D9*(1-D11)</f>
        <v>94250</v>
      </c>
      <c r="E19" s="19"/>
      <c r="F19" s="1"/>
      <c r="G19" s="1"/>
      <c r="H19" s="1"/>
      <c r="I19" s="1"/>
      <c r="J19" s="1"/>
      <c r="K19" s="1"/>
    </row>
    <row r="20" spans="1:11" ht="15.75" customHeight="1">
      <c r="A20" s="1"/>
      <c r="B20" s="54"/>
      <c r="C20" s="18" t="s">
        <v>69</v>
      </c>
      <c r="D20" s="40">
        <f>D17+D19</f>
        <v>132050</v>
      </c>
      <c r="E20" s="19"/>
      <c r="F20" s="1"/>
      <c r="G20" s="1"/>
      <c r="H20" s="1"/>
      <c r="I20" s="1"/>
      <c r="J20" s="1"/>
      <c r="K20" s="1"/>
    </row>
    <row r="21" spans="1:11" ht="15.75" customHeight="1">
      <c r="A21" s="1"/>
      <c r="B21" s="54"/>
      <c r="C21" s="18" t="s">
        <v>17</v>
      </c>
      <c r="D21" s="51">
        <f>D7-PV(D18,D8,-D20,0,0)</f>
        <v>-18519.815584142925</v>
      </c>
      <c r="E21" s="19"/>
      <c r="F21" s="1"/>
      <c r="G21" s="1"/>
      <c r="H21" s="1"/>
      <c r="I21" s="1"/>
      <c r="J21" s="1"/>
      <c r="K21" s="1"/>
    </row>
    <row r="22" spans="1:11" ht="15.75" customHeight="1">
      <c r="A22" s="1"/>
      <c r="B22" s="54"/>
      <c r="C22" s="27" t="str">
        <f>IF(D21&gt;0, "They should lease.","They should buy.")</f>
        <v>They should buy.</v>
      </c>
      <c r="D22" s="50"/>
      <c r="E22" s="19"/>
      <c r="F22" s="1"/>
      <c r="G22" s="1"/>
      <c r="H22" s="1"/>
      <c r="I22" s="1"/>
      <c r="J22" s="1"/>
      <c r="K22" s="1"/>
    </row>
    <row r="23" spans="1:11" ht="15.75" customHeight="1" thickBot="1">
      <c r="A23" s="1"/>
      <c r="B23" s="55"/>
      <c r="C23" s="21"/>
      <c r="D23" s="24"/>
      <c r="E23" s="22"/>
      <c r="F23" s="1"/>
      <c r="G23" s="1"/>
      <c r="H23" s="1"/>
      <c r="I23" s="1"/>
      <c r="J23" s="1"/>
      <c r="K23" s="1"/>
    </row>
    <row r="24" spans="1:11" ht="15.75" customHeight="1">
      <c r="A24" s="1"/>
      <c r="B24" s="56"/>
      <c r="C24" s="1"/>
      <c r="D24" s="1"/>
      <c r="E24" s="1"/>
      <c r="F24" s="1"/>
      <c r="G24" s="1"/>
      <c r="H24" s="1"/>
      <c r="I24" s="1"/>
      <c r="J24" s="1"/>
      <c r="K24" s="1"/>
    </row>
    <row r="25" spans="1:11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.75" customHeight="1"/>
    <row r="59" spans="1:11" ht="15.75" customHeight="1"/>
    <row r="60" spans="1:11" ht="15.75" customHeight="1"/>
    <row r="61" spans="1:11" ht="15.75" customHeight="1"/>
    <row r="62" spans="1:11" ht="15.75" customHeight="1"/>
  </sheetData>
  <phoneticPr fontId="0" type="noConversion"/>
  <pageMargins left="0.75" right="0.75" top="1" bottom="1" header="0.5" footer="0.5"/>
  <pageSetup scale="87" orientation="portrait" horizontalDpi="360" verticalDpi="360" r:id="rId1"/>
  <headerFooter alignWithMargins="0"/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/>
  <dimension ref="A1:K64"/>
  <sheetViews>
    <sheetView zoomScaleNormal="100" workbookViewId="0"/>
  </sheetViews>
  <sheetFormatPr defaultRowHeight="12.75"/>
  <cols>
    <col min="2" max="2" width="3.140625" customWidth="1"/>
    <col min="3" max="3" width="30.5703125" bestFit="1" customWidth="1"/>
    <col min="4" max="4" width="18.140625" customWidth="1"/>
    <col min="5" max="5" width="3.140625" customWidth="1"/>
    <col min="6" max="6" width="20.5703125" customWidth="1"/>
    <col min="7" max="7" width="22.7109375" customWidth="1"/>
    <col min="8" max="8" width="4.140625" customWidth="1"/>
  </cols>
  <sheetData>
    <row r="1" spans="1:11" ht="18">
      <c r="A1" s="1"/>
      <c r="B1" s="1"/>
      <c r="C1" s="39" t="s">
        <v>73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9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2" t="s">
        <v>0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3"/>
      <c r="C6" s="4"/>
      <c r="D6" s="12"/>
      <c r="E6" s="5"/>
      <c r="F6" s="1"/>
      <c r="G6" s="1"/>
      <c r="H6" s="1"/>
      <c r="I6" s="1"/>
      <c r="J6" s="1"/>
      <c r="K6" s="1"/>
    </row>
    <row r="7" spans="1:11" ht="15.75" customHeight="1">
      <c r="A7" s="1"/>
      <c r="B7" s="6"/>
      <c r="C7" s="7" t="s">
        <v>10</v>
      </c>
      <c r="D7" s="25">
        <v>840000</v>
      </c>
      <c r="E7" s="8"/>
      <c r="F7" s="1"/>
      <c r="G7" s="1"/>
      <c r="H7" s="1"/>
      <c r="I7" s="1"/>
      <c r="J7" s="1"/>
      <c r="K7" s="1"/>
    </row>
    <row r="8" spans="1:11" ht="15.75" customHeight="1">
      <c r="A8" s="1"/>
      <c r="B8" s="6"/>
      <c r="C8" s="7" t="s">
        <v>11</v>
      </c>
      <c r="D8" s="43">
        <v>5</v>
      </c>
      <c r="E8" s="8"/>
      <c r="F8" s="1"/>
      <c r="G8" s="1"/>
      <c r="H8" s="1"/>
      <c r="I8" s="1"/>
      <c r="J8" s="1"/>
      <c r="K8" s="1"/>
    </row>
    <row r="9" spans="1:11" ht="15.75" customHeight="1">
      <c r="A9" s="1"/>
      <c r="B9" s="6"/>
      <c r="C9" s="7" t="s">
        <v>14</v>
      </c>
      <c r="D9" s="26">
        <v>0.35</v>
      </c>
      <c r="E9" s="8"/>
      <c r="F9" s="1"/>
      <c r="G9" s="1"/>
      <c r="H9" s="1"/>
      <c r="I9" s="1"/>
      <c r="J9" s="1"/>
      <c r="K9" s="1"/>
    </row>
    <row r="10" spans="1:11" ht="15.75" customHeight="1">
      <c r="A10" s="1"/>
      <c r="B10" s="6"/>
      <c r="C10" s="7" t="s">
        <v>13</v>
      </c>
      <c r="D10" s="26">
        <v>0.1</v>
      </c>
      <c r="E10" s="8"/>
      <c r="F10" s="1"/>
      <c r="G10" s="1"/>
      <c r="H10" s="1"/>
      <c r="I10" s="1"/>
      <c r="J10" s="1"/>
      <c r="K10" s="1"/>
    </row>
    <row r="11" spans="1:11" ht="15.75" customHeight="1" thickBot="1">
      <c r="A11" s="1"/>
      <c r="B11" s="9"/>
      <c r="C11" s="10"/>
      <c r="D11" s="13"/>
      <c r="E11" s="11"/>
      <c r="F11" s="1"/>
      <c r="G11" s="1"/>
      <c r="H11" s="1"/>
      <c r="I11" s="1"/>
      <c r="J11" s="1"/>
      <c r="K11" s="1"/>
    </row>
    <row r="12" spans="1:11" ht="15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ht="15.75" customHeight="1">
      <c r="A13" s="1"/>
      <c r="B13" s="1"/>
      <c r="C13" s="2" t="s">
        <v>1</v>
      </c>
      <c r="D13" s="1"/>
      <c r="E13" s="1"/>
      <c r="F13" s="1"/>
      <c r="G13" s="1"/>
      <c r="H13" s="1"/>
      <c r="I13" s="1"/>
      <c r="J13" s="1"/>
      <c r="K13" s="1"/>
    </row>
    <row r="14" spans="1:11" ht="15.75" customHeight="1" thickBo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5.75" customHeight="1">
      <c r="A15" s="1"/>
      <c r="B15" s="14"/>
      <c r="C15" s="15"/>
      <c r="D15" s="23"/>
      <c r="E15" s="16"/>
      <c r="F15" s="1"/>
      <c r="G15" s="1"/>
      <c r="H15" s="1"/>
      <c r="I15" s="1"/>
      <c r="J15" s="1"/>
      <c r="K15" s="1"/>
    </row>
    <row r="16" spans="1:11" ht="15.75" customHeight="1">
      <c r="A16" s="1"/>
      <c r="B16" s="75" t="s">
        <v>78</v>
      </c>
      <c r="C16" s="18" t="s">
        <v>75</v>
      </c>
      <c r="D16" s="51">
        <f>PMT(D10,D8,-D7)</f>
        <v>221589.88386758597</v>
      </c>
      <c r="E16" s="19"/>
      <c r="F16" s="1"/>
      <c r="G16" s="1"/>
      <c r="H16" s="1"/>
      <c r="I16" s="1"/>
      <c r="J16" s="1"/>
      <c r="K16" s="1"/>
    </row>
    <row r="17" spans="1:11" ht="15.75" customHeight="1">
      <c r="A17" s="1"/>
      <c r="B17" s="75"/>
      <c r="C17" s="18"/>
      <c r="D17" s="47"/>
      <c r="E17" s="19"/>
      <c r="F17" s="1"/>
      <c r="G17" s="1"/>
      <c r="H17" s="1"/>
      <c r="I17" s="1"/>
      <c r="J17" s="1"/>
      <c r="K17" s="1"/>
    </row>
    <row r="18" spans="1:11" ht="15.75" customHeight="1">
      <c r="A18" s="1"/>
      <c r="B18" s="76" t="s">
        <v>79</v>
      </c>
      <c r="C18" s="18" t="s">
        <v>16</v>
      </c>
      <c r="D18" s="49">
        <f>D10*(1-D9)</f>
        <v>6.5000000000000002E-2</v>
      </c>
      <c r="E18" s="19"/>
      <c r="F18" s="1"/>
      <c r="G18" s="1"/>
      <c r="H18" s="1"/>
      <c r="I18" s="1"/>
      <c r="J18" s="1"/>
      <c r="K18" s="1"/>
    </row>
    <row r="19" spans="1:11" ht="15.75" customHeight="1">
      <c r="A19" s="1"/>
      <c r="B19" s="76"/>
      <c r="C19" s="18" t="s">
        <v>15</v>
      </c>
      <c r="D19" s="74">
        <f>(D7/D8)*D9</f>
        <v>58799.999999999993</v>
      </c>
      <c r="E19" s="19"/>
      <c r="F19" s="1"/>
      <c r="G19" s="1"/>
      <c r="H19" s="1"/>
      <c r="I19" s="1"/>
      <c r="J19" s="1"/>
      <c r="K19" s="1"/>
    </row>
    <row r="20" spans="1:11" ht="15.75" customHeight="1">
      <c r="A20" s="1"/>
      <c r="B20" s="76"/>
      <c r="C20" s="18" t="s">
        <v>76</v>
      </c>
      <c r="D20" s="48">
        <f>PV(D18,D8,-D19)</f>
        <v>244353.95096258234</v>
      </c>
      <c r="E20" s="19"/>
      <c r="F20" s="1"/>
      <c r="G20" s="1"/>
      <c r="H20" s="1"/>
      <c r="I20" s="1"/>
      <c r="J20" s="1"/>
      <c r="K20" s="1"/>
    </row>
    <row r="21" spans="1:11" ht="15.75" customHeight="1">
      <c r="A21" s="1"/>
      <c r="B21" s="76"/>
      <c r="C21" s="18" t="s">
        <v>80</v>
      </c>
      <c r="D21" s="40">
        <f>-PMT(D18,D8,D7-D20)</f>
        <v>143333.011581889</v>
      </c>
      <c r="E21" s="19"/>
      <c r="F21" s="1"/>
      <c r="G21" s="1"/>
      <c r="H21" s="1"/>
      <c r="I21" s="1"/>
      <c r="J21" s="1"/>
      <c r="K21" s="1"/>
    </row>
    <row r="22" spans="1:11" ht="15.75" customHeight="1">
      <c r="A22" s="1"/>
      <c r="B22" s="76"/>
      <c r="C22" s="18"/>
      <c r="D22" s="40"/>
      <c r="E22" s="19"/>
      <c r="F22" s="1"/>
      <c r="G22" s="1"/>
      <c r="H22" s="1"/>
      <c r="I22" s="1"/>
      <c r="J22" s="1"/>
      <c r="K22" s="1"/>
    </row>
    <row r="23" spans="1:11" ht="15.75" customHeight="1">
      <c r="A23" s="1"/>
      <c r="B23" s="76"/>
      <c r="C23" s="18" t="s">
        <v>77</v>
      </c>
      <c r="D23" s="51">
        <f>D21/(1-D9)</f>
        <v>220512.32551059846</v>
      </c>
      <c r="E23" s="19"/>
      <c r="F23" s="1"/>
      <c r="G23" s="1"/>
      <c r="H23" s="1"/>
      <c r="I23" s="1"/>
      <c r="J23" s="1"/>
      <c r="K23" s="1"/>
    </row>
    <row r="24" spans="1:11" ht="15.75" customHeight="1">
      <c r="A24" s="1"/>
      <c r="B24" s="54"/>
      <c r="C24" s="27"/>
      <c r="D24" s="50"/>
      <c r="E24" s="19"/>
      <c r="F24" s="1"/>
      <c r="G24" s="1"/>
      <c r="H24" s="1"/>
      <c r="I24" s="1"/>
      <c r="J24" s="1"/>
      <c r="K24" s="1"/>
    </row>
    <row r="25" spans="1:11" ht="15.75" customHeight="1" thickBot="1">
      <c r="A25" s="1"/>
      <c r="B25" s="55"/>
      <c r="C25" s="21"/>
      <c r="D25" s="24"/>
      <c r="E25" s="22"/>
      <c r="F25" s="1"/>
      <c r="G25" s="1"/>
      <c r="H25" s="1"/>
      <c r="I25" s="1"/>
      <c r="J25" s="1"/>
      <c r="K25" s="1"/>
    </row>
    <row r="26" spans="1:11" ht="15.75" customHeight="1">
      <c r="A26" s="1"/>
      <c r="B26" s="56"/>
      <c r="C26" s="1"/>
      <c r="D26" s="1"/>
      <c r="E26" s="1"/>
      <c r="F26" s="1"/>
      <c r="G26" s="1"/>
      <c r="H26" s="1"/>
      <c r="I26" s="1"/>
      <c r="J26" s="1"/>
      <c r="K26" s="1"/>
    </row>
    <row r="27" spans="1:11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.75" customHeight="1"/>
    <row r="61" spans="1:11" ht="15.75" customHeight="1"/>
    <row r="62" spans="1:11" ht="15.75" customHeight="1"/>
    <row r="63" spans="1:11" ht="15.75" customHeight="1"/>
    <row r="64" spans="1:11" ht="15.75" customHeight="1"/>
  </sheetData>
  <phoneticPr fontId="0" type="noConversion"/>
  <pageMargins left="0.75" right="0.75" top="1" bottom="1" header="0.5" footer="0.5"/>
  <pageSetup scale="87" orientation="portrait" horizontalDpi="360" verticalDpi="360" r:id="rId1"/>
  <headerFooter alignWithMargins="0"/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/>
  <dimension ref="A1:K89"/>
  <sheetViews>
    <sheetView workbookViewId="0"/>
  </sheetViews>
  <sheetFormatPr defaultRowHeight="12.75"/>
  <cols>
    <col min="2" max="2" width="3.140625" customWidth="1"/>
    <col min="3" max="3" width="26.42578125" bestFit="1" customWidth="1"/>
    <col min="4" max="4" width="18.140625" customWidth="1"/>
    <col min="5" max="5" width="3.140625" customWidth="1"/>
  </cols>
  <sheetData>
    <row r="1" spans="1:11" ht="18">
      <c r="A1" s="1"/>
      <c r="B1" s="1"/>
      <c r="C1" s="39" t="s">
        <v>73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58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2" t="s">
        <v>0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3"/>
      <c r="C6" s="4"/>
      <c r="D6" s="12"/>
      <c r="E6" s="5"/>
      <c r="F6" s="1"/>
      <c r="G6" s="1"/>
      <c r="H6" s="1"/>
      <c r="I6" s="1"/>
      <c r="J6" s="1"/>
      <c r="K6" s="1"/>
    </row>
    <row r="7" spans="1:11" ht="15.75" customHeight="1">
      <c r="A7" s="1"/>
      <c r="B7" s="6"/>
      <c r="C7" s="7" t="s">
        <v>59</v>
      </c>
      <c r="D7" s="25">
        <v>2600000</v>
      </c>
      <c r="E7" s="8"/>
      <c r="F7" s="1"/>
      <c r="G7" s="1"/>
      <c r="H7" s="1"/>
      <c r="I7" s="1"/>
      <c r="J7" s="1"/>
      <c r="K7" s="1"/>
    </row>
    <row r="8" spans="1:11" ht="15.75" customHeight="1">
      <c r="A8" s="1"/>
      <c r="B8" s="6"/>
      <c r="C8" s="7" t="s">
        <v>37</v>
      </c>
      <c r="D8" s="25">
        <v>8400000</v>
      </c>
      <c r="E8" s="8"/>
      <c r="F8" s="1"/>
      <c r="G8" s="1"/>
      <c r="H8" s="1"/>
      <c r="I8" s="1"/>
      <c r="J8" s="1"/>
      <c r="K8" s="1"/>
    </row>
    <row r="9" spans="1:11" ht="15.75" customHeight="1">
      <c r="A9" s="1"/>
      <c r="B9" s="6"/>
      <c r="C9" s="7" t="s">
        <v>38</v>
      </c>
      <c r="D9" s="43">
        <v>5</v>
      </c>
      <c r="E9" s="8"/>
      <c r="F9" s="1"/>
      <c r="G9" s="1"/>
      <c r="H9" s="1"/>
      <c r="I9" s="1"/>
      <c r="J9" s="1"/>
      <c r="K9" s="1"/>
    </row>
    <row r="10" spans="1:11" ht="15.75" customHeight="1">
      <c r="A10" s="1"/>
      <c r="B10" s="6"/>
      <c r="C10" s="7" t="s">
        <v>14</v>
      </c>
      <c r="D10" s="26">
        <v>0.34</v>
      </c>
      <c r="E10" s="8"/>
      <c r="F10" s="1"/>
      <c r="G10" s="1"/>
      <c r="H10" s="1"/>
      <c r="I10" s="1"/>
      <c r="J10" s="1"/>
      <c r="K10" s="1"/>
    </row>
    <row r="11" spans="1:11" ht="15.75" customHeight="1">
      <c r="A11" s="1"/>
      <c r="B11" s="6"/>
      <c r="C11" s="7" t="s">
        <v>13</v>
      </c>
      <c r="D11" s="26">
        <v>0.09</v>
      </c>
      <c r="E11" s="8"/>
      <c r="F11" s="1"/>
      <c r="G11" s="1"/>
      <c r="H11" s="1"/>
      <c r="I11" s="1"/>
      <c r="J11" s="1"/>
      <c r="K11" s="1"/>
    </row>
    <row r="12" spans="1:11" ht="15.75" customHeight="1">
      <c r="A12" s="1"/>
      <c r="B12" s="6"/>
      <c r="C12" s="7" t="s">
        <v>39</v>
      </c>
      <c r="D12" s="25">
        <v>1950000</v>
      </c>
      <c r="E12" s="8"/>
      <c r="F12" s="1"/>
      <c r="G12" s="1"/>
      <c r="H12" s="1"/>
      <c r="I12" s="1"/>
      <c r="J12" s="1"/>
      <c r="K12" s="1"/>
    </row>
    <row r="13" spans="1:11" ht="15.75" customHeight="1" thickBot="1">
      <c r="A13" s="1"/>
      <c r="B13" s="9"/>
      <c r="C13" s="10"/>
      <c r="D13" s="13"/>
      <c r="E13" s="11"/>
      <c r="F13" s="1"/>
      <c r="G13" s="1"/>
      <c r="H13" s="1"/>
      <c r="I13" s="1"/>
      <c r="J13" s="1"/>
      <c r="K13" s="1"/>
    </row>
    <row r="14" spans="1:11" ht="15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5.75" customHeight="1">
      <c r="A15" s="1"/>
      <c r="B15" s="1"/>
      <c r="C15" s="2" t="s">
        <v>1</v>
      </c>
      <c r="D15" s="1"/>
      <c r="E15" s="1"/>
      <c r="F15" s="1"/>
      <c r="G15" s="1"/>
      <c r="H15" s="1"/>
      <c r="I15" s="1"/>
      <c r="J15" s="1"/>
      <c r="K15" s="1"/>
    </row>
    <row r="16" spans="1:11" ht="15.75" customHeight="1" thickBo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.75" customHeight="1">
      <c r="A17" s="1"/>
      <c r="B17" s="14"/>
      <c r="C17" s="15"/>
      <c r="D17" s="23"/>
      <c r="E17" s="16"/>
      <c r="F17" s="1"/>
      <c r="G17" s="1"/>
      <c r="H17" s="1"/>
      <c r="I17" s="1"/>
      <c r="J17" s="1"/>
      <c r="K17" s="1"/>
    </row>
    <row r="18" spans="1:11" ht="15.75" customHeight="1">
      <c r="A18" s="1"/>
      <c r="B18" s="42"/>
      <c r="C18" s="18" t="s">
        <v>40</v>
      </c>
      <c r="D18" s="40"/>
      <c r="E18" s="19"/>
      <c r="F18" s="1"/>
      <c r="G18" s="1"/>
      <c r="H18" s="1"/>
      <c r="I18" s="1"/>
      <c r="J18" s="1"/>
      <c r="K18" s="1"/>
    </row>
    <row r="19" spans="1:11" ht="15.75" customHeight="1">
      <c r="A19" s="1"/>
      <c r="B19" s="42"/>
      <c r="C19" s="18" t="s">
        <v>41</v>
      </c>
      <c r="D19" s="41"/>
      <c r="E19" s="19"/>
      <c r="F19" s="1"/>
      <c r="G19" s="1"/>
      <c r="H19" s="1"/>
      <c r="I19" s="1"/>
      <c r="J19" s="1"/>
      <c r="K19" s="1"/>
    </row>
    <row r="20" spans="1:11" ht="15.75" customHeight="1">
      <c r="A20" s="1"/>
      <c r="B20" s="42"/>
      <c r="C20" s="18" t="s">
        <v>47</v>
      </c>
      <c r="D20" s="40"/>
      <c r="E20" s="19"/>
      <c r="F20" s="1"/>
      <c r="G20" s="1"/>
      <c r="H20" s="1"/>
      <c r="I20" s="1"/>
      <c r="J20" s="1"/>
      <c r="K20" s="1"/>
    </row>
    <row r="21" spans="1:11" ht="15.75" customHeight="1">
      <c r="A21" s="1"/>
      <c r="B21" s="42"/>
      <c r="C21" s="18" t="s">
        <v>46</v>
      </c>
      <c r="D21" s="46"/>
      <c r="E21" s="19"/>
      <c r="F21" s="1"/>
      <c r="G21" s="1"/>
      <c r="H21" s="1"/>
      <c r="I21" s="1"/>
      <c r="J21" s="1"/>
      <c r="K21" s="1"/>
    </row>
    <row r="22" spans="1:11" ht="15.75" customHeight="1">
      <c r="A22" s="1"/>
      <c r="B22" s="42"/>
      <c r="C22" s="18" t="s">
        <v>42</v>
      </c>
      <c r="D22" s="41"/>
      <c r="E22" s="19"/>
      <c r="F22" s="1"/>
      <c r="G22" s="1"/>
      <c r="H22" s="1"/>
      <c r="I22" s="1"/>
      <c r="J22" s="1"/>
      <c r="K22" s="1"/>
    </row>
    <row r="23" spans="1:11" ht="15.75" customHeight="1">
      <c r="A23" s="1"/>
      <c r="B23" s="42"/>
      <c r="C23" s="18"/>
      <c r="D23" s="41"/>
      <c r="E23" s="19"/>
      <c r="F23" s="1"/>
      <c r="G23" s="1"/>
      <c r="H23" s="1"/>
      <c r="I23" s="1"/>
      <c r="J23" s="1"/>
      <c r="K23" s="1"/>
    </row>
    <row r="24" spans="1:11" ht="15.75" customHeight="1">
      <c r="A24" s="1"/>
      <c r="B24" s="42"/>
      <c r="C24" s="18" t="s">
        <v>43</v>
      </c>
      <c r="D24" s="41">
        <f>(D8/D9)*D10</f>
        <v>571200</v>
      </c>
      <c r="E24" s="19"/>
      <c r="F24" s="1"/>
      <c r="G24" s="1"/>
      <c r="H24" s="1"/>
      <c r="I24" s="1"/>
      <c r="J24" s="1"/>
      <c r="K24" s="1"/>
    </row>
    <row r="25" spans="1:11" ht="15.75" customHeight="1">
      <c r="A25" s="1"/>
      <c r="B25" s="42"/>
      <c r="C25" s="18" t="s">
        <v>16</v>
      </c>
      <c r="D25" s="49">
        <f>D11*(1-D10)</f>
        <v>5.9399999999999988E-2</v>
      </c>
      <c r="E25" s="19"/>
      <c r="F25" s="1"/>
      <c r="G25" s="1"/>
      <c r="H25" s="1"/>
      <c r="I25" s="1"/>
      <c r="J25" s="1"/>
      <c r="K25" s="1"/>
    </row>
    <row r="26" spans="1:11" ht="15.75" customHeight="1">
      <c r="A26" s="1"/>
      <c r="B26" s="42"/>
      <c r="C26" s="18" t="s">
        <v>18</v>
      </c>
      <c r="D26" s="41">
        <f>D12*(1-D10)</f>
        <v>1286999.9999999998</v>
      </c>
      <c r="E26" s="19"/>
      <c r="F26" s="1"/>
      <c r="G26" s="1"/>
      <c r="H26" s="1"/>
      <c r="I26" s="1"/>
      <c r="J26" s="1"/>
      <c r="K26" s="1"/>
    </row>
    <row r="27" spans="1:11" ht="15.75" customHeight="1">
      <c r="A27" s="1"/>
      <c r="B27" s="42"/>
      <c r="C27" s="18"/>
      <c r="D27" s="41"/>
      <c r="E27" s="19"/>
      <c r="F27" s="1"/>
      <c r="G27" s="1"/>
      <c r="H27" s="1"/>
      <c r="I27" s="1"/>
      <c r="J27" s="1"/>
      <c r="K27" s="1"/>
    </row>
    <row r="28" spans="1:11" ht="15.75" customHeight="1">
      <c r="A28" s="1"/>
      <c r="B28" s="42"/>
      <c r="C28" s="18" t="s">
        <v>17</v>
      </c>
      <c r="D28" s="45">
        <f>D8+PV(D25,D9,D26,0,1)+PV(D25,D9,D24,0,0)</f>
        <v>237240.54456393421</v>
      </c>
      <c r="E28" s="19"/>
      <c r="F28" s="1"/>
      <c r="G28" s="1"/>
      <c r="H28" s="1"/>
      <c r="I28" s="1"/>
      <c r="J28" s="1"/>
      <c r="K28" s="1"/>
    </row>
    <row r="29" spans="1:11" ht="15.75" customHeight="1">
      <c r="A29" s="1"/>
      <c r="B29" s="42"/>
      <c r="C29" s="46" t="str">
        <f>IF(D28&gt;0,"The company should lease the equipment.","The company should purchase the equipment.")</f>
        <v>The company should lease the equipment.</v>
      </c>
      <c r="D29" s="41"/>
      <c r="E29" s="19"/>
      <c r="F29" s="1"/>
      <c r="G29" s="1"/>
      <c r="H29" s="1"/>
      <c r="I29" s="1"/>
      <c r="J29" s="1"/>
      <c r="K29" s="1"/>
    </row>
    <row r="30" spans="1:11" ht="15.75" customHeight="1">
      <c r="A30" s="1"/>
      <c r="B30" s="42"/>
      <c r="C30" s="46"/>
      <c r="D30" s="41"/>
      <c r="E30" s="19"/>
      <c r="F30" s="1"/>
      <c r="G30" s="1"/>
      <c r="H30" s="1"/>
      <c r="I30" s="1"/>
      <c r="J30" s="1"/>
      <c r="K30" s="1"/>
    </row>
    <row r="31" spans="1:11" ht="15.75" customHeight="1">
      <c r="A31" s="1"/>
      <c r="B31" s="42"/>
      <c r="C31" s="18" t="s">
        <v>44</v>
      </c>
      <c r="D31" s="44">
        <f>D8+PV(D25,D9,D24,0,0)</f>
        <v>5989965.3668512264</v>
      </c>
      <c r="E31" s="19"/>
      <c r="F31" s="1"/>
      <c r="G31" s="1"/>
      <c r="H31" s="1"/>
      <c r="I31" s="1"/>
      <c r="J31" s="1"/>
      <c r="K31" s="1"/>
    </row>
    <row r="32" spans="1:11" ht="15.75" customHeight="1">
      <c r="A32" s="1"/>
      <c r="B32" s="42"/>
      <c r="C32" s="18" t="s">
        <v>18</v>
      </c>
      <c r="D32" s="44">
        <f>PMT(D25,D9,-D31,0,1)</f>
        <v>1340075.4712394506</v>
      </c>
      <c r="E32" s="19"/>
      <c r="F32" s="1"/>
      <c r="G32" s="1"/>
      <c r="H32" s="1"/>
      <c r="I32" s="1"/>
      <c r="J32" s="1"/>
      <c r="K32" s="1"/>
    </row>
    <row r="33" spans="1:11" ht="15.75" customHeight="1">
      <c r="A33" s="1"/>
      <c r="B33" s="42"/>
      <c r="C33" s="18" t="s">
        <v>45</v>
      </c>
      <c r="D33" s="45">
        <f>D32/(1-D10)</f>
        <v>2030417.3806658345</v>
      </c>
      <c r="E33" s="19"/>
      <c r="F33" s="1"/>
      <c r="G33" s="1"/>
      <c r="H33" s="1"/>
      <c r="I33" s="1"/>
      <c r="J33" s="1"/>
      <c r="K33" s="1"/>
    </row>
    <row r="34" spans="1:11" ht="15.75" customHeight="1" thickBot="1">
      <c r="A34" s="1"/>
      <c r="B34" s="20"/>
      <c r="C34" s="21"/>
      <c r="D34" s="24"/>
      <c r="E34" s="22"/>
      <c r="F34" s="1"/>
      <c r="G34" s="1"/>
      <c r="H34" s="1"/>
      <c r="I34" s="1"/>
      <c r="J34" s="1"/>
      <c r="K34" s="1"/>
    </row>
    <row r="35" spans="1:11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/>
  <dimension ref="A1:K90"/>
  <sheetViews>
    <sheetView workbookViewId="0"/>
  </sheetViews>
  <sheetFormatPr defaultRowHeight="12.75"/>
  <cols>
    <col min="2" max="2" width="3.140625" customWidth="1"/>
    <col min="3" max="3" width="27.7109375" customWidth="1"/>
    <col min="4" max="4" width="18.85546875" customWidth="1"/>
    <col min="5" max="5" width="3.140625" customWidth="1"/>
  </cols>
  <sheetData>
    <row r="1" spans="1:11" ht="18">
      <c r="A1" s="1"/>
      <c r="B1" s="1"/>
      <c r="C1" s="39" t="s">
        <v>73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61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2" t="s">
        <v>0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3"/>
      <c r="C6" s="4"/>
      <c r="D6" s="12"/>
      <c r="E6" s="5"/>
      <c r="F6" s="1"/>
      <c r="G6" s="1"/>
      <c r="H6" s="1"/>
      <c r="I6" s="1"/>
      <c r="J6" s="1"/>
      <c r="K6" s="1"/>
    </row>
    <row r="7" spans="1:11" ht="15.75" customHeight="1">
      <c r="A7" s="1"/>
      <c r="B7" s="6"/>
      <c r="C7" s="7" t="s">
        <v>59</v>
      </c>
      <c r="D7" s="60">
        <f ca="1">'#9'!D7</f>
        <v>2600000</v>
      </c>
      <c r="E7" s="8"/>
      <c r="F7" s="1"/>
      <c r="G7" s="1"/>
      <c r="H7" s="1"/>
      <c r="I7" s="1"/>
      <c r="J7" s="1"/>
      <c r="K7" s="1"/>
    </row>
    <row r="8" spans="1:11" ht="15.75" customHeight="1">
      <c r="A8" s="1"/>
      <c r="B8" s="6"/>
      <c r="C8" s="7" t="s">
        <v>37</v>
      </c>
      <c r="D8" s="60">
        <f ca="1">'#9'!D8</f>
        <v>8400000</v>
      </c>
      <c r="E8" s="8"/>
      <c r="F8" s="1"/>
      <c r="G8" s="1"/>
      <c r="H8" s="1"/>
      <c r="I8" s="1"/>
      <c r="J8" s="1"/>
      <c r="K8" s="1"/>
    </row>
    <row r="9" spans="1:11" ht="15.75" customHeight="1">
      <c r="A9" s="1"/>
      <c r="B9" s="6"/>
      <c r="C9" s="7" t="s">
        <v>38</v>
      </c>
      <c r="D9" s="61">
        <f ca="1">'#9'!D9</f>
        <v>5</v>
      </c>
      <c r="E9" s="8"/>
      <c r="F9" s="1"/>
      <c r="G9" s="1"/>
      <c r="H9" s="1"/>
      <c r="I9" s="1"/>
      <c r="J9" s="1"/>
      <c r="K9" s="1"/>
    </row>
    <row r="10" spans="1:11" ht="15.75" customHeight="1">
      <c r="A10" s="1"/>
      <c r="B10" s="6"/>
      <c r="C10" s="7" t="s">
        <v>14</v>
      </c>
      <c r="D10" s="62">
        <f ca="1">'#9'!D10</f>
        <v>0.34</v>
      </c>
      <c r="E10" s="8"/>
      <c r="F10" s="1"/>
      <c r="G10" s="1"/>
      <c r="H10" s="1"/>
      <c r="I10" s="1"/>
      <c r="J10" s="1"/>
      <c r="K10" s="1"/>
    </row>
    <row r="11" spans="1:11" ht="15.75" customHeight="1">
      <c r="A11" s="1"/>
      <c r="B11" s="6"/>
      <c r="C11" s="7" t="s">
        <v>13</v>
      </c>
      <c r="D11" s="62">
        <f ca="1">'#9'!D11</f>
        <v>0.09</v>
      </c>
      <c r="E11" s="8"/>
      <c r="F11" s="1"/>
      <c r="G11" s="1"/>
      <c r="H11" s="1"/>
      <c r="I11" s="1"/>
      <c r="J11" s="1"/>
      <c r="K11" s="1"/>
    </row>
    <row r="12" spans="1:11" ht="15.75" customHeight="1">
      <c r="A12" s="1"/>
      <c r="B12" s="6"/>
      <c r="C12" s="7" t="s">
        <v>39</v>
      </c>
      <c r="D12" s="60">
        <f ca="1">'#9'!D12</f>
        <v>1950000</v>
      </c>
      <c r="E12" s="8"/>
      <c r="F12" s="1"/>
      <c r="G12" s="1"/>
      <c r="H12" s="1"/>
      <c r="I12" s="1"/>
      <c r="J12" s="1"/>
      <c r="K12" s="1"/>
    </row>
    <row r="13" spans="1:11" ht="15.75" customHeight="1">
      <c r="A13" s="1"/>
      <c r="B13" s="6"/>
      <c r="C13" s="7" t="s">
        <v>48</v>
      </c>
      <c r="D13" s="25">
        <v>700000</v>
      </c>
      <c r="E13" s="8"/>
      <c r="F13" s="1"/>
      <c r="G13" s="1"/>
      <c r="H13" s="1"/>
      <c r="I13" s="1"/>
      <c r="J13" s="1"/>
      <c r="K13" s="1"/>
    </row>
    <row r="14" spans="1:11" ht="15.75" customHeight="1" thickBot="1">
      <c r="A14" s="1"/>
      <c r="B14" s="9"/>
      <c r="C14" s="10"/>
      <c r="D14" s="13"/>
      <c r="E14" s="11"/>
      <c r="F14" s="1"/>
      <c r="G14" s="1"/>
      <c r="H14" s="1"/>
      <c r="I14" s="1"/>
      <c r="J14" s="1"/>
      <c r="K14" s="1"/>
    </row>
    <row r="15" spans="1:11" ht="15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.75" customHeight="1">
      <c r="A16" s="1"/>
      <c r="B16" s="1"/>
      <c r="C16" s="2" t="s">
        <v>1</v>
      </c>
      <c r="D16" s="1"/>
      <c r="E16" s="1"/>
      <c r="F16" s="1"/>
      <c r="G16" s="1"/>
      <c r="H16" s="1"/>
      <c r="I16" s="1"/>
      <c r="J16" s="1"/>
      <c r="K16" s="1"/>
    </row>
    <row r="17" spans="1:11" ht="15.75" customHeight="1" thickBo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.75" customHeight="1">
      <c r="A18" s="1"/>
      <c r="B18" s="14"/>
      <c r="C18" s="15"/>
      <c r="D18" s="23"/>
      <c r="E18" s="16"/>
      <c r="F18" s="1"/>
      <c r="G18" s="1"/>
      <c r="H18" s="1"/>
      <c r="I18" s="1"/>
      <c r="J18" s="1"/>
      <c r="K18" s="1"/>
    </row>
    <row r="19" spans="1:11" ht="15.75" customHeight="1">
      <c r="A19" s="1"/>
      <c r="B19" s="42"/>
      <c r="C19" s="18" t="s">
        <v>49</v>
      </c>
      <c r="D19" s="40"/>
      <c r="E19" s="19"/>
      <c r="F19" s="1"/>
      <c r="G19" s="1"/>
      <c r="H19" s="1"/>
      <c r="I19" s="1"/>
      <c r="J19" s="1"/>
      <c r="K19" s="1"/>
    </row>
    <row r="20" spans="1:11" ht="15.75" customHeight="1">
      <c r="A20" s="1"/>
      <c r="B20" s="42"/>
      <c r="C20" s="18" t="s">
        <v>50</v>
      </c>
      <c r="D20" s="41"/>
      <c r="E20" s="19"/>
      <c r="F20" s="1"/>
      <c r="G20" s="1"/>
      <c r="H20" s="1"/>
      <c r="I20" s="1"/>
      <c r="J20" s="1"/>
      <c r="K20" s="1"/>
    </row>
    <row r="21" spans="1:11" ht="15.75" customHeight="1">
      <c r="A21" s="1"/>
      <c r="B21" s="42"/>
      <c r="C21" s="18" t="s">
        <v>51</v>
      </c>
      <c r="D21" s="40"/>
      <c r="E21" s="19"/>
      <c r="F21" s="1"/>
      <c r="G21" s="1"/>
      <c r="H21" s="1"/>
      <c r="I21" s="1"/>
      <c r="J21" s="1"/>
      <c r="K21" s="1"/>
    </row>
    <row r="22" spans="1:11" ht="15.75" customHeight="1">
      <c r="A22" s="1"/>
      <c r="B22" s="42"/>
      <c r="C22" s="18" t="s">
        <v>60</v>
      </c>
      <c r="D22" s="46"/>
      <c r="E22" s="19"/>
      <c r="F22" s="1"/>
      <c r="G22" s="1"/>
      <c r="H22" s="1"/>
      <c r="I22" s="1"/>
      <c r="J22" s="1"/>
      <c r="K22" s="1"/>
    </row>
    <row r="23" spans="1:11" ht="15.75" customHeight="1">
      <c r="A23" s="1"/>
      <c r="B23" s="42"/>
      <c r="C23" s="18" t="s">
        <v>52</v>
      </c>
      <c r="D23" s="41"/>
      <c r="E23" s="19"/>
      <c r="F23" s="1"/>
      <c r="G23" s="1"/>
      <c r="H23" s="1"/>
      <c r="I23" s="1"/>
      <c r="J23" s="1"/>
      <c r="K23" s="1"/>
    </row>
    <row r="24" spans="1:11" ht="15.75" customHeight="1">
      <c r="A24" s="1"/>
      <c r="B24" s="42"/>
      <c r="C24" s="18" t="s">
        <v>53</v>
      </c>
      <c r="D24" s="41"/>
      <c r="E24" s="19"/>
      <c r="F24" s="1"/>
      <c r="G24" s="1"/>
      <c r="H24" s="1"/>
      <c r="I24" s="1"/>
      <c r="J24" s="1"/>
      <c r="K24" s="1"/>
    </row>
    <row r="25" spans="1:11" ht="15.75" customHeight="1">
      <c r="A25" s="1"/>
      <c r="B25" s="42"/>
      <c r="C25" s="18" t="s">
        <v>54</v>
      </c>
      <c r="D25" s="41"/>
      <c r="E25" s="19"/>
      <c r="F25" s="1"/>
      <c r="G25" s="1"/>
      <c r="H25" s="1"/>
      <c r="I25" s="1"/>
      <c r="J25" s="1"/>
      <c r="K25" s="1"/>
    </row>
    <row r="26" spans="1:11" ht="15.75" customHeight="1">
      <c r="A26" s="1"/>
      <c r="B26" s="42"/>
      <c r="C26" s="18" t="s">
        <v>55</v>
      </c>
      <c r="D26" s="41"/>
      <c r="E26" s="19"/>
      <c r="F26" s="1"/>
      <c r="G26" s="1"/>
      <c r="H26" s="1"/>
      <c r="I26" s="1"/>
      <c r="J26" s="1"/>
      <c r="K26" s="1"/>
    </row>
    <row r="27" spans="1:11" ht="15.75" customHeight="1">
      <c r="A27" s="1"/>
      <c r="B27" s="42"/>
      <c r="C27" s="18" t="s">
        <v>56</v>
      </c>
      <c r="D27" s="41"/>
      <c r="E27" s="19"/>
      <c r="F27" s="1"/>
      <c r="G27" s="1"/>
      <c r="H27" s="1"/>
      <c r="I27" s="1"/>
      <c r="J27" s="1"/>
      <c r="K27" s="1"/>
    </row>
    <row r="28" spans="1:11" ht="15.75" customHeight="1">
      <c r="A28" s="1"/>
      <c r="B28" s="42"/>
      <c r="C28" s="18"/>
      <c r="D28" s="41"/>
      <c r="E28" s="19"/>
      <c r="F28" s="1"/>
      <c r="G28" s="1"/>
      <c r="H28" s="1"/>
      <c r="I28" s="1"/>
      <c r="J28" s="1"/>
      <c r="K28" s="1"/>
    </row>
    <row r="29" spans="1:11" ht="15.75" customHeight="1">
      <c r="A29" s="1"/>
      <c r="B29" s="42"/>
      <c r="C29" s="18" t="s">
        <v>43</v>
      </c>
      <c r="D29" s="41">
        <f>(D8/D9)*D10</f>
        <v>571200</v>
      </c>
      <c r="E29" s="19"/>
      <c r="F29" s="1"/>
      <c r="G29" s="1"/>
      <c r="H29" s="1"/>
      <c r="I29" s="1"/>
      <c r="J29" s="1"/>
      <c r="K29" s="1"/>
    </row>
    <row r="30" spans="1:11" ht="15.75" customHeight="1">
      <c r="A30" s="1"/>
      <c r="B30" s="42"/>
      <c r="C30" s="18" t="s">
        <v>16</v>
      </c>
      <c r="D30" s="49">
        <f>D11*(1-D10)</f>
        <v>5.9399999999999988E-2</v>
      </c>
      <c r="E30" s="19"/>
      <c r="F30" s="1"/>
      <c r="G30" s="1"/>
      <c r="H30" s="1"/>
      <c r="I30" s="1"/>
      <c r="J30" s="1"/>
      <c r="K30" s="1"/>
    </row>
    <row r="31" spans="1:11" ht="15.75" customHeight="1">
      <c r="A31" s="1"/>
      <c r="B31" s="42"/>
      <c r="C31" s="18"/>
      <c r="D31" s="41"/>
      <c r="E31" s="19"/>
      <c r="F31" s="1"/>
      <c r="G31" s="1"/>
      <c r="H31" s="1"/>
      <c r="I31" s="1"/>
      <c r="J31" s="1"/>
      <c r="K31" s="1"/>
    </row>
    <row r="32" spans="1:11" ht="15.75" customHeight="1">
      <c r="A32" s="1"/>
      <c r="B32" s="42"/>
      <c r="C32" s="18" t="s">
        <v>44</v>
      </c>
      <c r="D32" s="44">
        <f>D8+PV(D30,D9,D29,D13,0)</f>
        <v>5465401.7114701439</v>
      </c>
      <c r="E32" s="19"/>
      <c r="F32" s="1"/>
      <c r="G32" s="1"/>
      <c r="H32" s="1"/>
      <c r="I32" s="1"/>
      <c r="J32" s="1"/>
      <c r="K32" s="1"/>
    </row>
    <row r="33" spans="1:11" ht="15.75" customHeight="1">
      <c r="A33" s="1"/>
      <c r="B33" s="42"/>
      <c r="C33" s="18" t="s">
        <v>18</v>
      </c>
      <c r="D33" s="44">
        <f>PMT(D30,D9,-D32,0,1)</f>
        <v>1222720.0535320158</v>
      </c>
      <c r="E33" s="19"/>
      <c r="F33" s="1"/>
      <c r="G33" s="1"/>
      <c r="H33" s="1"/>
      <c r="I33" s="1"/>
      <c r="J33" s="1"/>
      <c r="K33" s="1"/>
    </row>
    <row r="34" spans="1:11" ht="15.75" customHeight="1">
      <c r="A34" s="1"/>
      <c r="B34" s="42"/>
      <c r="C34" s="18" t="s">
        <v>45</v>
      </c>
      <c r="D34" s="45">
        <f>D33/(1-D10)</f>
        <v>1852606.1417151757</v>
      </c>
      <c r="E34" s="19"/>
      <c r="F34" s="1"/>
      <c r="G34" s="1"/>
      <c r="H34" s="1"/>
      <c r="I34" s="1"/>
      <c r="J34" s="1"/>
      <c r="K34" s="1"/>
    </row>
    <row r="35" spans="1:11" ht="15.75" customHeight="1" thickBot="1">
      <c r="A35" s="1"/>
      <c r="B35" s="20"/>
      <c r="C35" s="21"/>
      <c r="D35" s="24"/>
      <c r="E35" s="22"/>
      <c r="F35" s="1"/>
      <c r="G35" s="1"/>
      <c r="H35" s="1"/>
      <c r="I35" s="1"/>
      <c r="J35" s="1"/>
      <c r="K35" s="1"/>
    </row>
    <row r="36" spans="1:11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ht="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/>
  <dimension ref="A1:K80"/>
  <sheetViews>
    <sheetView workbookViewId="0"/>
  </sheetViews>
  <sheetFormatPr defaultRowHeight="12.75"/>
  <cols>
    <col min="2" max="2" width="3.140625" customWidth="1"/>
    <col min="3" max="3" width="26.42578125" bestFit="1" customWidth="1"/>
    <col min="4" max="4" width="18.140625" customWidth="1"/>
    <col min="5" max="5" width="3.140625" customWidth="1"/>
  </cols>
  <sheetData>
    <row r="1" spans="1:11" ht="18">
      <c r="A1" s="1"/>
      <c r="B1" s="1"/>
      <c r="C1" s="39" t="s">
        <v>73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81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2" t="s">
        <v>0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3"/>
      <c r="C6" s="4"/>
      <c r="D6" s="12"/>
      <c r="E6" s="5"/>
      <c r="F6" s="1"/>
      <c r="G6" s="1"/>
      <c r="H6" s="1"/>
      <c r="I6" s="1"/>
      <c r="J6" s="1"/>
      <c r="K6" s="1"/>
    </row>
    <row r="7" spans="1:11" ht="15.75" customHeight="1">
      <c r="A7" s="1"/>
      <c r="B7" s="6"/>
      <c r="C7" s="7" t="s">
        <v>59</v>
      </c>
      <c r="D7" s="60">
        <f ca="1">'#9'!D7</f>
        <v>2600000</v>
      </c>
      <c r="E7" s="8"/>
      <c r="F7" s="1"/>
      <c r="G7" s="1"/>
      <c r="H7" s="1"/>
      <c r="I7" s="1"/>
      <c r="J7" s="1"/>
      <c r="K7" s="1"/>
    </row>
    <row r="8" spans="1:11" ht="15.75" customHeight="1">
      <c r="A8" s="1"/>
      <c r="B8" s="6"/>
      <c r="C8" s="7" t="s">
        <v>37</v>
      </c>
      <c r="D8" s="60">
        <f ca="1">'#9'!D8</f>
        <v>8400000</v>
      </c>
      <c r="E8" s="8"/>
      <c r="F8" s="1"/>
      <c r="G8" s="1"/>
      <c r="H8" s="1"/>
      <c r="I8" s="1"/>
      <c r="J8" s="1"/>
      <c r="K8" s="1"/>
    </row>
    <row r="9" spans="1:11" ht="15.75" customHeight="1">
      <c r="A9" s="1"/>
      <c r="B9" s="6"/>
      <c r="C9" s="7" t="s">
        <v>38</v>
      </c>
      <c r="D9" s="61">
        <f ca="1">'#9'!D9</f>
        <v>5</v>
      </c>
      <c r="E9" s="8"/>
      <c r="F9" s="1"/>
      <c r="G9" s="1"/>
      <c r="H9" s="1"/>
      <c r="I9" s="1"/>
      <c r="J9" s="1"/>
      <c r="K9" s="1"/>
    </row>
    <row r="10" spans="1:11" ht="15.75" customHeight="1">
      <c r="A10" s="1"/>
      <c r="B10" s="6"/>
      <c r="C10" s="7" t="s">
        <v>14</v>
      </c>
      <c r="D10" s="62">
        <f ca="1">'#9'!D10</f>
        <v>0.34</v>
      </c>
      <c r="E10" s="8"/>
      <c r="F10" s="1"/>
      <c r="G10" s="1"/>
      <c r="H10" s="1"/>
      <c r="I10" s="1"/>
      <c r="J10" s="1"/>
      <c r="K10" s="1"/>
    </row>
    <row r="11" spans="1:11" ht="15.75" customHeight="1">
      <c r="A11" s="1"/>
      <c r="B11" s="6"/>
      <c r="C11" s="7" t="s">
        <v>13</v>
      </c>
      <c r="D11" s="62">
        <f ca="1">'#9'!D11</f>
        <v>0.09</v>
      </c>
      <c r="E11" s="8"/>
      <c r="F11" s="1"/>
      <c r="G11" s="1"/>
      <c r="H11" s="1"/>
      <c r="I11" s="1"/>
      <c r="J11" s="1"/>
      <c r="K11" s="1"/>
    </row>
    <row r="12" spans="1:11" ht="15.75" customHeight="1">
      <c r="A12" s="1"/>
      <c r="B12" s="6"/>
      <c r="C12" s="7" t="s">
        <v>39</v>
      </c>
      <c r="D12" s="60">
        <f ca="1">'#9'!D12</f>
        <v>1950000</v>
      </c>
      <c r="E12" s="8"/>
      <c r="F12" s="1"/>
      <c r="G12" s="1"/>
      <c r="H12" s="1"/>
      <c r="I12" s="1"/>
      <c r="J12" s="1"/>
      <c r="K12" s="1"/>
    </row>
    <row r="13" spans="1:11" ht="15.75" customHeight="1">
      <c r="A13" s="1"/>
      <c r="B13" s="6"/>
      <c r="C13" s="7" t="s">
        <v>57</v>
      </c>
      <c r="D13" s="25">
        <v>500000</v>
      </c>
      <c r="E13" s="8"/>
      <c r="F13" s="1"/>
      <c r="G13" s="1"/>
      <c r="H13" s="1"/>
      <c r="I13" s="1"/>
      <c r="J13" s="1"/>
      <c r="K13" s="1"/>
    </row>
    <row r="14" spans="1:11" ht="15.75" customHeight="1" thickBot="1">
      <c r="A14" s="1"/>
      <c r="B14" s="9"/>
      <c r="C14" s="10"/>
      <c r="D14" s="13"/>
      <c r="E14" s="11"/>
      <c r="F14" s="1"/>
      <c r="G14" s="1"/>
      <c r="H14" s="1"/>
      <c r="I14" s="1"/>
      <c r="J14" s="1"/>
      <c r="K14" s="1"/>
    </row>
    <row r="15" spans="1:11" ht="15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.75" customHeight="1">
      <c r="A16" s="1"/>
      <c r="B16" s="1"/>
      <c r="C16" s="2" t="s">
        <v>1</v>
      </c>
      <c r="D16" s="1"/>
      <c r="E16" s="1"/>
      <c r="F16" s="1"/>
      <c r="G16" s="1"/>
      <c r="H16" s="1"/>
      <c r="I16" s="1"/>
      <c r="J16" s="1"/>
      <c r="K16" s="1"/>
    </row>
    <row r="17" spans="1:11" ht="15.75" customHeight="1" thickBo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.75" customHeight="1">
      <c r="A18" s="1"/>
      <c r="B18" s="14"/>
      <c r="C18" s="15"/>
      <c r="D18" s="23"/>
      <c r="E18" s="16"/>
      <c r="F18" s="1"/>
      <c r="G18" s="1"/>
      <c r="H18" s="1"/>
      <c r="I18" s="1"/>
      <c r="J18" s="1"/>
      <c r="K18" s="1"/>
    </row>
    <row r="19" spans="1:11" ht="15.75" customHeight="1">
      <c r="A19" s="1"/>
      <c r="B19" s="42"/>
      <c r="C19" s="18" t="s">
        <v>43</v>
      </c>
      <c r="D19" s="41">
        <f>(D8/D9)*D10</f>
        <v>571200</v>
      </c>
      <c r="E19" s="19"/>
      <c r="F19" s="1"/>
      <c r="G19" s="1"/>
      <c r="H19" s="1"/>
      <c r="I19" s="1"/>
      <c r="J19" s="1"/>
      <c r="K19" s="1"/>
    </row>
    <row r="20" spans="1:11" ht="15.75" customHeight="1">
      <c r="A20" s="1"/>
      <c r="B20" s="42"/>
      <c r="C20" s="18" t="s">
        <v>16</v>
      </c>
      <c r="D20" s="49">
        <f>D11*(1-D10)</f>
        <v>5.9399999999999988E-2</v>
      </c>
      <c r="E20" s="19"/>
      <c r="F20" s="1"/>
      <c r="G20" s="1"/>
      <c r="H20" s="1"/>
      <c r="I20" s="1"/>
      <c r="J20" s="1"/>
      <c r="K20" s="1"/>
    </row>
    <row r="21" spans="1:11" ht="15.75" customHeight="1">
      <c r="A21" s="1"/>
      <c r="B21" s="42"/>
      <c r="C21" s="18" t="s">
        <v>18</v>
      </c>
      <c r="D21" s="40">
        <f>D12*(1-D10)</f>
        <v>1286999.9999999998</v>
      </c>
      <c r="E21" s="19"/>
      <c r="F21" s="1"/>
      <c r="G21" s="1"/>
      <c r="H21" s="1"/>
      <c r="I21" s="1"/>
      <c r="J21" s="1"/>
      <c r="K21" s="1"/>
    </row>
    <row r="22" spans="1:11" ht="15.75" customHeight="1">
      <c r="A22" s="1"/>
      <c r="B22" s="42"/>
      <c r="C22" s="18"/>
      <c r="D22" s="41"/>
      <c r="E22" s="19"/>
      <c r="F22" s="1"/>
      <c r="G22" s="1"/>
      <c r="H22" s="1"/>
      <c r="I22" s="1"/>
      <c r="J22" s="1"/>
      <c r="K22" s="1"/>
    </row>
    <row r="23" spans="1:11" ht="15.75" customHeight="1">
      <c r="A23" s="1"/>
      <c r="B23" s="42"/>
      <c r="C23" s="18" t="s">
        <v>17</v>
      </c>
      <c r="D23" s="45">
        <f>(D8-D13)+PV(D20,D9,D21,0,1)+PV(D20,D9,D19,0,0)+PV(D20,D9,0,-D13,0)</f>
        <v>111928.86983613559</v>
      </c>
      <c r="E23" s="19"/>
      <c r="F23" s="1"/>
      <c r="G23" s="1"/>
      <c r="H23" s="1"/>
      <c r="I23" s="1"/>
      <c r="J23" s="1"/>
      <c r="K23" s="1"/>
    </row>
    <row r="24" spans="1:11" ht="15.75" customHeight="1">
      <c r="A24" s="1"/>
      <c r="B24" s="42"/>
      <c r="C24" s="46" t="str">
        <f>IF(D23&gt;0,"The firm should lease the equipment.","The firm should buy the equipment.")</f>
        <v>The firm should lease the equipment.</v>
      </c>
      <c r="D24" s="41"/>
      <c r="E24" s="19"/>
      <c r="F24" s="1"/>
      <c r="G24" s="1"/>
      <c r="H24" s="1"/>
      <c r="I24" s="1"/>
      <c r="J24" s="1"/>
      <c r="K24" s="1"/>
    </row>
    <row r="25" spans="1:11" ht="15.75" customHeight="1" thickBot="1">
      <c r="A25" s="1"/>
      <c r="B25" s="20"/>
      <c r="C25" s="21"/>
      <c r="D25" s="24"/>
      <c r="E25" s="22"/>
      <c r="F25" s="1"/>
      <c r="G25" s="1"/>
      <c r="H25" s="1"/>
      <c r="I25" s="1"/>
      <c r="J25" s="1"/>
      <c r="K25" s="1"/>
    </row>
    <row r="26" spans="1:11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7"/>
  <dimension ref="A1:K59"/>
  <sheetViews>
    <sheetView zoomScaleNormal="100" workbookViewId="0"/>
  </sheetViews>
  <sheetFormatPr defaultRowHeight="12.75"/>
  <cols>
    <col min="2" max="2" width="3.140625" customWidth="1"/>
    <col min="3" max="3" width="30.5703125" bestFit="1" customWidth="1"/>
    <col min="4" max="4" width="18.140625" customWidth="1"/>
    <col min="5" max="5" width="3.140625" customWidth="1"/>
    <col min="6" max="6" width="20.5703125" customWidth="1"/>
    <col min="7" max="7" width="22.7109375" customWidth="1"/>
    <col min="8" max="8" width="4.140625" customWidth="1"/>
  </cols>
  <sheetData>
    <row r="1" spans="1:11" ht="18">
      <c r="A1" s="1"/>
      <c r="B1" s="1"/>
      <c r="C1" s="39" t="s">
        <v>73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82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2" t="s">
        <v>0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3"/>
      <c r="C6" s="4"/>
      <c r="D6" s="12"/>
      <c r="E6" s="5"/>
      <c r="F6" s="1"/>
      <c r="G6" s="1"/>
      <c r="H6" s="1"/>
      <c r="I6" s="1"/>
      <c r="J6" s="1"/>
      <c r="K6" s="1"/>
    </row>
    <row r="7" spans="1:11" ht="15.75" customHeight="1">
      <c r="A7" s="1"/>
      <c r="B7" s="6"/>
      <c r="C7" s="7" t="s">
        <v>85</v>
      </c>
      <c r="D7" s="25">
        <v>375000</v>
      </c>
      <c r="E7" s="8"/>
      <c r="F7" s="1"/>
      <c r="G7" s="1"/>
      <c r="H7" s="1"/>
      <c r="I7" s="1"/>
      <c r="J7" s="1"/>
      <c r="K7" s="1"/>
    </row>
    <row r="8" spans="1:11" ht="15.75" customHeight="1">
      <c r="A8" s="1"/>
      <c r="B8" s="6"/>
      <c r="C8" s="7" t="s">
        <v>11</v>
      </c>
      <c r="D8" s="43">
        <v>6</v>
      </c>
      <c r="E8" s="8"/>
      <c r="F8" s="1"/>
      <c r="G8" s="1"/>
      <c r="H8" s="1"/>
      <c r="I8" s="1"/>
      <c r="J8" s="1"/>
      <c r="K8" s="1"/>
    </row>
    <row r="9" spans="1:11" ht="15.75" customHeight="1">
      <c r="A9" s="1"/>
      <c r="B9" s="6"/>
      <c r="C9" s="7" t="s">
        <v>74</v>
      </c>
      <c r="D9" s="26">
        <v>0.38</v>
      </c>
      <c r="E9" s="8"/>
      <c r="F9" s="1"/>
      <c r="G9" s="1"/>
      <c r="H9" s="1"/>
      <c r="I9" s="1"/>
      <c r="J9" s="1"/>
      <c r="K9" s="1"/>
    </row>
    <row r="10" spans="1:11" ht="15.75" customHeight="1">
      <c r="A10" s="1"/>
      <c r="B10" s="6"/>
      <c r="C10" s="7" t="s">
        <v>134</v>
      </c>
      <c r="D10" s="26">
        <v>0.08</v>
      </c>
      <c r="E10" s="8"/>
      <c r="F10" s="1"/>
      <c r="G10" s="1"/>
      <c r="H10" s="1"/>
      <c r="I10" s="1"/>
      <c r="J10" s="1"/>
      <c r="K10" s="1"/>
    </row>
    <row r="11" spans="1:11" ht="15.75" customHeight="1" thickBot="1">
      <c r="A11" s="1"/>
      <c r="B11" s="9"/>
      <c r="C11" s="10"/>
      <c r="D11" s="13"/>
      <c r="E11" s="11"/>
      <c r="F11" s="1"/>
      <c r="G11" s="1"/>
      <c r="H11" s="1"/>
      <c r="I11" s="1"/>
      <c r="J11" s="1"/>
      <c r="K11" s="1"/>
    </row>
    <row r="12" spans="1:11" ht="15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ht="15.75" customHeight="1">
      <c r="A13" s="1"/>
      <c r="B13" s="1"/>
      <c r="C13" s="2" t="s">
        <v>1</v>
      </c>
      <c r="D13" s="1"/>
      <c r="E13" s="1"/>
      <c r="F13" s="1"/>
      <c r="G13" s="1"/>
      <c r="H13" s="1"/>
      <c r="I13" s="1"/>
      <c r="J13" s="1"/>
      <c r="K13" s="1"/>
    </row>
    <row r="14" spans="1:11" ht="15.75" customHeight="1" thickBo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5.75" customHeight="1">
      <c r="A15" s="1"/>
      <c r="B15" s="14"/>
      <c r="C15" s="15"/>
      <c r="D15" s="23"/>
      <c r="E15" s="16"/>
      <c r="F15" s="1"/>
      <c r="G15" s="1"/>
      <c r="H15" s="1"/>
      <c r="I15" s="1"/>
      <c r="J15" s="1"/>
      <c r="K15" s="1"/>
    </row>
    <row r="16" spans="1:11" ht="15.75" customHeight="1">
      <c r="A16" s="1"/>
      <c r="B16" s="17"/>
      <c r="C16" s="18" t="s">
        <v>18</v>
      </c>
      <c r="D16" s="47">
        <f>D7*(1-D9)</f>
        <v>232500</v>
      </c>
      <c r="E16" s="19"/>
      <c r="F16" s="1"/>
      <c r="G16" s="1"/>
      <c r="H16" s="1"/>
      <c r="I16" s="1"/>
      <c r="J16" s="1"/>
      <c r="K16" s="1"/>
    </row>
    <row r="17" spans="1:11" ht="15.75" customHeight="1">
      <c r="A17" s="1"/>
      <c r="B17" s="17"/>
      <c r="C17" s="18" t="s">
        <v>16</v>
      </c>
      <c r="D17" s="49">
        <f>D10*(1-D9)</f>
        <v>4.9599999999999998E-2</v>
      </c>
      <c r="E17" s="19"/>
      <c r="F17" s="1"/>
      <c r="G17" s="1"/>
      <c r="H17" s="1"/>
      <c r="I17" s="1"/>
      <c r="J17" s="1"/>
      <c r="K17" s="1"/>
    </row>
    <row r="18" spans="1:11" ht="15.75" customHeight="1">
      <c r="A18" s="1"/>
      <c r="B18" s="17"/>
      <c r="C18" s="18"/>
      <c r="D18" s="77"/>
      <c r="E18" s="19"/>
      <c r="F18" s="1"/>
      <c r="G18" s="1"/>
      <c r="H18" s="1"/>
      <c r="I18" s="1"/>
      <c r="J18" s="1"/>
      <c r="K18" s="1"/>
    </row>
    <row r="19" spans="1:11" ht="15.75" customHeight="1">
      <c r="A19" s="1"/>
      <c r="B19" s="75"/>
      <c r="C19" s="18" t="s">
        <v>135</v>
      </c>
      <c r="D19" s="71">
        <f>PV(D17,D8,-D16)</f>
        <v>1181609.4922431752</v>
      </c>
      <c r="E19" s="19"/>
      <c r="F19" s="1"/>
      <c r="G19" s="1"/>
      <c r="H19" s="1"/>
      <c r="I19" s="1"/>
      <c r="J19" s="1"/>
      <c r="K19" s="1"/>
    </row>
    <row r="20" spans="1:11" ht="15.75" customHeight="1" thickBot="1">
      <c r="A20" s="1"/>
      <c r="B20" s="55"/>
      <c r="C20" s="21"/>
      <c r="D20" s="24"/>
      <c r="E20" s="22"/>
      <c r="F20" s="1"/>
      <c r="G20" s="1"/>
      <c r="H20" s="1"/>
      <c r="I20" s="1"/>
      <c r="J20" s="1"/>
      <c r="K20" s="1"/>
    </row>
    <row r="21" spans="1:11" ht="15.75" customHeight="1">
      <c r="A21" s="1"/>
      <c r="B21" s="56"/>
      <c r="C21" s="1"/>
      <c r="D21" s="1"/>
      <c r="E21" s="1"/>
      <c r="F21" s="1"/>
      <c r="G21" s="1"/>
      <c r="H21" s="1"/>
      <c r="I21" s="1"/>
      <c r="J21" s="1"/>
      <c r="K21" s="1"/>
    </row>
    <row r="22" spans="1:11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.75" customHeight="1"/>
    <row r="56" spans="1:11" ht="15.75" customHeight="1"/>
    <row r="57" spans="1:11" ht="15.75" customHeight="1"/>
    <row r="58" spans="1:11" ht="15.75" customHeight="1"/>
    <row r="59" spans="1:11" ht="15.75" customHeight="1"/>
  </sheetData>
  <phoneticPr fontId="0" type="noConversion"/>
  <pageMargins left="0.75" right="0.75" top="1" bottom="1" header="0.5" footer="0.5"/>
  <pageSetup scale="87" orientation="portrait" horizontalDpi="360" verticalDpi="360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Chapter 21</vt:lpstr>
      <vt:lpstr>#1-5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2004-07-01T23:49:00Z</cp:lastPrinted>
  <dcterms:created xsi:type="dcterms:W3CDTF">2002-05-30T22:47:51Z</dcterms:created>
  <dcterms:modified xsi:type="dcterms:W3CDTF">2012-11-06T10:56:06Z</dcterms:modified>
</cp:coreProperties>
</file>