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60" yWindow="30" windowWidth="12000" windowHeight="7365"/>
  </bookViews>
  <sheets>
    <sheet name="Chapter 6" sheetId="27" r:id="rId1"/>
    <sheet name="#1" sheetId="39" r:id="rId2"/>
    <sheet name="#2" sheetId="40" r:id="rId3"/>
    <sheet name="#3" sheetId="13" r:id="rId4"/>
    <sheet name="#4" sheetId="15" r:id="rId5"/>
    <sheet name="#5" sheetId="16" r:id="rId6"/>
    <sheet name="#6" sheetId="41" r:id="rId7"/>
    <sheet name="#7" sheetId="17" r:id="rId8"/>
    <sheet name="#8" sheetId="42" r:id="rId9"/>
    <sheet name="#9" sheetId="44" r:id="rId10"/>
    <sheet name="#10" sheetId="21" r:id="rId11"/>
    <sheet name="#11" sheetId="23" r:id="rId12"/>
    <sheet name="#12" sheetId="24" r:id="rId13"/>
    <sheet name="#13" sheetId="25" r:id="rId14"/>
    <sheet name="#14" sheetId="36" r:id="rId15"/>
    <sheet name="#15" sheetId="45" r:id="rId16"/>
    <sheet name="#16" sheetId="46" r:id="rId17"/>
    <sheet name="#17" sheetId="47" r:id="rId18"/>
    <sheet name="#18" sheetId="48" r:id="rId19"/>
    <sheet name="#19" sheetId="49" r:id="rId20"/>
    <sheet name="#20" sheetId="52" r:id="rId21"/>
    <sheet name="#21" sheetId="67" r:id="rId22"/>
    <sheet name="#22" sheetId="53" r:id="rId23"/>
    <sheet name="#23" sheetId="54" r:id="rId24"/>
    <sheet name="#24" sheetId="68" r:id="rId25"/>
    <sheet name="#25" sheetId="57" r:id="rId26"/>
    <sheet name="#26" sheetId="58" r:id="rId27"/>
    <sheet name="#27" sheetId="59" r:id="rId28"/>
    <sheet name="#28" sheetId="32" r:id="rId29"/>
    <sheet name="#29" sheetId="34" r:id="rId30"/>
    <sheet name="#30" sheetId="60" r:id="rId31"/>
    <sheet name="#31" sheetId="38" r:id="rId32"/>
    <sheet name="#32" sheetId="33" r:id="rId33"/>
    <sheet name="#33" sheetId="35" r:id="rId34"/>
    <sheet name="#34" sheetId="64" r:id="rId35"/>
    <sheet name="#35" sheetId="62" r:id="rId36"/>
    <sheet name="#36" sheetId="63" r:id="rId37"/>
    <sheet name="#37" sheetId="65" r:id="rId38"/>
    <sheet name="#38" sheetId="61" r:id="rId39"/>
  </sheets>
  <calcPr calcId="114210"/>
</workbook>
</file>

<file path=xl/calcChain.xml><?xml version="1.0" encoding="utf-8"?>
<calcChain xmlns="http://schemas.openxmlformats.org/spreadsheetml/2006/main">
  <c r="D32" i="62"/>
  <c r="D35" i="52"/>
  <c r="H63" i="61"/>
  <c r="G63"/>
  <c r="F63"/>
  <c r="D41" i="53"/>
  <c r="D42"/>
  <c r="D39" i="23"/>
  <c r="D14" i="65"/>
  <c r="D11" i="35"/>
  <c r="D12"/>
  <c r="D25" i="34"/>
  <c r="D24"/>
  <c r="D23"/>
  <c r="D22"/>
  <c r="D11" i="57"/>
  <c r="H49" i="68"/>
  <c r="D49"/>
  <c r="H48"/>
  <c r="D48"/>
  <c r="D47"/>
  <c r="H41"/>
  <c r="G41"/>
  <c r="F41"/>
  <c r="E41"/>
  <c r="H39"/>
  <c r="G39"/>
  <c r="F39"/>
  <c r="E39"/>
  <c r="H38"/>
  <c r="G38"/>
  <c r="F38"/>
  <c r="E38"/>
  <c r="D34"/>
  <c r="D33"/>
  <c r="D35"/>
  <c r="H47"/>
  <c r="D51"/>
  <c r="E40"/>
  <c r="E42"/>
  <c r="G40"/>
  <c r="G42"/>
  <c r="F40"/>
  <c r="F42"/>
  <c r="H40"/>
  <c r="H42"/>
  <c r="F43"/>
  <c r="F44"/>
  <c r="F45"/>
  <c r="F51"/>
  <c r="H43"/>
  <c r="H44"/>
  <c r="H45"/>
  <c r="H51"/>
  <c r="G43"/>
  <c r="G44"/>
  <c r="G45"/>
  <c r="G51"/>
  <c r="E43"/>
  <c r="E44"/>
  <c r="E45"/>
  <c r="E51"/>
  <c r="D53"/>
  <c r="D19" i="49"/>
  <c r="D24" i="41"/>
  <c r="H11" i="40"/>
  <c r="G11"/>
  <c r="F11"/>
  <c r="E11"/>
  <c r="D23" i="67"/>
  <c r="H23"/>
  <c r="D24"/>
  <c r="H24"/>
  <c r="F25"/>
  <c r="H25"/>
  <c r="H26"/>
  <c r="F26"/>
  <c r="F27"/>
  <c r="F38"/>
  <c r="D27"/>
  <c r="D30"/>
  <c r="H30"/>
  <c r="D31"/>
  <c r="F31"/>
  <c r="H31"/>
  <c r="F32"/>
  <c r="H32"/>
  <c r="H33"/>
  <c r="H34"/>
  <c r="H35"/>
  <c r="F33"/>
  <c r="F34"/>
  <c r="F35"/>
  <c r="D38"/>
  <c r="F35" i="57"/>
  <c r="H35"/>
  <c r="F34"/>
  <c r="H34"/>
  <c r="D47"/>
  <c r="H47"/>
  <c r="D46"/>
  <c r="H46"/>
  <c r="F47"/>
  <c r="H49"/>
  <c r="F46"/>
  <c r="H48"/>
  <c r="D38"/>
  <c r="F38"/>
  <c r="D39"/>
  <c r="D40"/>
  <c r="F39"/>
  <c r="F36"/>
  <c r="E43" i="61"/>
  <c r="D47"/>
  <c r="H51"/>
  <c r="H56"/>
  <c r="D52"/>
  <c r="E52"/>
  <c r="G51"/>
  <c r="G56"/>
  <c r="F51"/>
  <c r="F56"/>
  <c r="E51"/>
  <c r="E56"/>
  <c r="D51"/>
  <c r="D56"/>
  <c r="D49" i="65"/>
  <c r="D50"/>
  <c r="D51"/>
  <c r="F51"/>
  <c r="G51"/>
  <c r="F50"/>
  <c r="G50"/>
  <c r="D44"/>
  <c r="D45"/>
  <c r="D46"/>
  <c r="D33"/>
  <c r="F33"/>
  <c r="G33"/>
  <c r="E23" i="59"/>
  <c r="F23"/>
  <c r="E28"/>
  <c r="F28"/>
  <c r="G28"/>
  <c r="H28"/>
  <c r="I28"/>
  <c r="E24"/>
  <c r="F24"/>
  <c r="E30"/>
  <c r="F30"/>
  <c r="G30"/>
  <c r="H30"/>
  <c r="I30"/>
  <c r="E27"/>
  <c r="D44"/>
  <c r="D49"/>
  <c r="E29"/>
  <c r="D46"/>
  <c r="D51"/>
  <c r="D37"/>
  <c r="D36"/>
  <c r="D39"/>
  <c r="I37"/>
  <c r="D45"/>
  <c r="D50"/>
  <c r="E22" i="54"/>
  <c r="F22"/>
  <c r="G22"/>
  <c r="H22"/>
  <c r="I22"/>
  <c r="I26"/>
  <c r="E28"/>
  <c r="F28"/>
  <c r="G28"/>
  <c r="H28"/>
  <c r="I28"/>
  <c r="H26"/>
  <c r="G26"/>
  <c r="F26"/>
  <c r="E25"/>
  <c r="E26"/>
  <c r="D42"/>
  <c r="D44"/>
  <c r="D34"/>
  <c r="D35"/>
  <c r="I35"/>
  <c r="D31" i="65"/>
  <c r="F31"/>
  <c r="D32"/>
  <c r="F32"/>
  <c r="G32"/>
  <c r="D33" i="64"/>
  <c r="E33"/>
  <c r="D34"/>
  <c r="E34"/>
  <c r="D35"/>
  <c r="E35"/>
  <c r="D36"/>
  <c r="E36"/>
  <c r="D45"/>
  <c r="D46"/>
  <c r="D47"/>
  <c r="D48"/>
  <c r="E45"/>
  <c r="E46"/>
  <c r="E47"/>
  <c r="E48"/>
  <c r="D26"/>
  <c r="D27"/>
  <c r="D28"/>
  <c r="D30"/>
  <c r="H33" i="63"/>
  <c r="E28"/>
  <c r="F28"/>
  <c r="G28"/>
  <c r="E29"/>
  <c r="F29"/>
  <c r="H36"/>
  <c r="G33"/>
  <c r="G36"/>
  <c r="F33"/>
  <c r="F36"/>
  <c r="E33"/>
  <c r="E34"/>
  <c r="E36"/>
  <c r="D42"/>
  <c r="D44"/>
  <c r="E30"/>
  <c r="F30"/>
  <c r="G30"/>
  <c r="H30"/>
  <c r="D23" i="62"/>
  <c r="D29"/>
  <c r="D35"/>
  <c r="D24"/>
  <c r="D30"/>
  <c r="D36"/>
  <c r="D25"/>
  <c r="D31"/>
  <c r="D37"/>
  <c r="D26"/>
  <c r="D38"/>
  <c r="D62" i="61"/>
  <c r="E62"/>
  <c r="F62"/>
  <c r="G62"/>
  <c r="H62"/>
  <c r="D67"/>
  <c r="D35"/>
  <c r="D71"/>
  <c r="D73"/>
  <c r="D72"/>
  <c r="E71"/>
  <c r="E67"/>
  <c r="E72"/>
  <c r="F71"/>
  <c r="D40"/>
  <c r="D41"/>
  <c r="E75"/>
  <c r="F67"/>
  <c r="G67"/>
  <c r="H67"/>
  <c r="D46"/>
  <c r="D48"/>
  <c r="H75"/>
  <c r="D36"/>
  <c r="D17" i="38"/>
  <c r="D15"/>
  <c r="D14"/>
  <c r="D13"/>
  <c r="D12"/>
  <c r="D10"/>
  <c r="H52"/>
  <c r="D9"/>
  <c r="D8"/>
  <c r="D7"/>
  <c r="D23" i="60"/>
  <c r="D24"/>
  <c r="D25"/>
  <c r="D26"/>
  <c r="D27"/>
  <c r="D28"/>
  <c r="D30"/>
  <c r="D23" i="58"/>
  <c r="D26"/>
  <c r="D28"/>
  <c r="D50" i="57"/>
  <c r="D33"/>
  <c r="D36"/>
  <c r="F50"/>
  <c r="H33"/>
  <c r="D21" i="53"/>
  <c r="E24"/>
  <c r="F24"/>
  <c r="G24"/>
  <c r="H24"/>
  <c r="I24"/>
  <c r="J24"/>
  <c r="K24"/>
  <c r="E25"/>
  <c r="E26"/>
  <c r="F25"/>
  <c r="G25"/>
  <c r="H25"/>
  <c r="I25"/>
  <c r="J25"/>
  <c r="K25"/>
  <c r="F26"/>
  <c r="G26"/>
  <c r="H26"/>
  <c r="I26"/>
  <c r="J26"/>
  <c r="K26"/>
  <c r="D32"/>
  <c r="D34"/>
  <c r="D26" i="52"/>
  <c r="D27"/>
  <c r="D34"/>
  <c r="D21"/>
  <c r="D22"/>
  <c r="D20" i="49"/>
  <c r="D22"/>
  <c r="D23"/>
  <c r="D24"/>
  <c r="D15" i="48"/>
  <c r="E25" i="47"/>
  <c r="F25"/>
  <c r="G25"/>
  <c r="E26"/>
  <c r="F26"/>
  <c r="I27"/>
  <c r="D20"/>
  <c r="D21"/>
  <c r="D22"/>
  <c r="I33"/>
  <c r="I34"/>
  <c r="H27"/>
  <c r="G27"/>
  <c r="F27"/>
  <c r="E27"/>
  <c r="D33"/>
  <c r="D34"/>
  <c r="D35"/>
  <c r="D19" i="46"/>
  <c r="D22"/>
  <c r="D20"/>
  <c r="D23"/>
  <c r="D25" i="45"/>
  <c r="D21"/>
  <c r="D23"/>
  <c r="D25" i="44"/>
  <c r="D26"/>
  <c r="D27"/>
  <c r="D21"/>
  <c r="D22"/>
  <c r="D19" i="42"/>
  <c r="D21"/>
  <c r="D19" i="41"/>
  <c r="D20"/>
  <c r="D21"/>
  <c r="D26"/>
  <c r="D19" i="13"/>
  <c r="D14" i="15"/>
  <c r="D13"/>
  <c r="D11"/>
  <c r="D10"/>
  <c r="D9"/>
  <c r="D8"/>
  <c r="D7"/>
  <c r="D29" i="40"/>
  <c r="D30"/>
  <c r="E21"/>
  <c r="E22"/>
  <c r="E23"/>
  <c r="E30"/>
  <c r="F21"/>
  <c r="F22"/>
  <c r="F23"/>
  <c r="F30"/>
  <c r="G21"/>
  <c r="G22"/>
  <c r="G23"/>
  <c r="G30"/>
  <c r="H21"/>
  <c r="H22"/>
  <c r="H23"/>
  <c r="H30"/>
  <c r="D20" i="39"/>
  <c r="D21"/>
  <c r="D22"/>
  <c r="D24" i="38"/>
  <c r="D39"/>
  <c r="D40"/>
  <c r="H73"/>
  <c r="I73"/>
  <c r="G73"/>
  <c r="G85"/>
  <c r="F73"/>
  <c r="F85"/>
  <c r="E73"/>
  <c r="E85"/>
  <c r="I39"/>
  <c r="H27"/>
  <c r="I27"/>
  <c r="G27"/>
  <c r="F27"/>
  <c r="E27"/>
  <c r="I52"/>
  <c r="G52"/>
  <c r="E52"/>
  <c r="H29"/>
  <c r="F29"/>
  <c r="D34" i="33"/>
  <c r="D27"/>
  <c r="D28"/>
  <c r="E27"/>
  <c r="E28"/>
  <c r="F27"/>
  <c r="F28"/>
  <c r="G27"/>
  <c r="G28"/>
  <c r="D35"/>
  <c r="E28" i="38"/>
  <c r="F28"/>
  <c r="G28"/>
  <c r="H28"/>
  <c r="I28"/>
  <c r="E30"/>
  <c r="E34"/>
  <c r="F30"/>
  <c r="F34"/>
  <c r="G30"/>
  <c r="G34"/>
  <c r="H30"/>
  <c r="I30"/>
  <c r="I34"/>
  <c r="H31"/>
  <c r="H34"/>
  <c r="I40"/>
  <c r="E53"/>
  <c r="E57"/>
  <c r="F53"/>
  <c r="F57"/>
  <c r="G53"/>
  <c r="H53"/>
  <c r="I53"/>
  <c r="G57"/>
  <c r="H57"/>
  <c r="I57"/>
  <c r="D62"/>
  <c r="I62"/>
  <c r="D63"/>
  <c r="I63"/>
  <c r="D64"/>
  <c r="E74"/>
  <c r="F74"/>
  <c r="G74"/>
  <c r="H74"/>
  <c r="I74"/>
  <c r="E76"/>
  <c r="E80"/>
  <c r="F76"/>
  <c r="G76"/>
  <c r="G80"/>
  <c r="H76"/>
  <c r="I76"/>
  <c r="I80"/>
  <c r="F80"/>
  <c r="H80"/>
  <c r="D85"/>
  <c r="I85"/>
  <c r="D86"/>
  <c r="I86"/>
  <c r="D28" i="36"/>
  <c r="D29"/>
  <c r="D30"/>
  <c r="D34"/>
  <c r="F28"/>
  <c r="F29"/>
  <c r="F30"/>
  <c r="F40" i="35"/>
  <c r="G40"/>
  <c r="G42"/>
  <c r="D44"/>
  <c r="D45"/>
  <c r="F42"/>
  <c r="F45"/>
  <c r="F52"/>
  <c r="H52"/>
  <c r="H28"/>
  <c r="H27"/>
  <c r="I52"/>
  <c r="I28"/>
  <c r="I27"/>
  <c r="I29"/>
  <c r="I33"/>
  <c r="I51"/>
  <c r="I53"/>
  <c r="J52"/>
  <c r="J28"/>
  <c r="J27"/>
  <c r="J25"/>
  <c r="J32"/>
  <c r="D51"/>
  <c r="F28"/>
  <c r="F27"/>
  <c r="G28"/>
  <c r="G27"/>
  <c r="D32"/>
  <c r="D33"/>
  <c r="I25"/>
  <c r="H25"/>
  <c r="G25"/>
  <c r="F25"/>
  <c r="D25"/>
  <c r="D26" i="34"/>
  <c r="D27"/>
  <c r="D28"/>
  <c r="D29"/>
  <c r="D30"/>
  <c r="D21"/>
  <c r="D47" i="32"/>
  <c r="E35"/>
  <c r="F35"/>
  <c r="G35"/>
  <c r="F47"/>
  <c r="H35"/>
  <c r="G47"/>
  <c r="I35"/>
  <c r="I36"/>
  <c r="I37"/>
  <c r="I38"/>
  <c r="I42"/>
  <c r="H36"/>
  <c r="H37"/>
  <c r="H38"/>
  <c r="H39"/>
  <c r="H40"/>
  <c r="H41"/>
  <c r="G36"/>
  <c r="G37"/>
  <c r="G38"/>
  <c r="G42"/>
  <c r="F36"/>
  <c r="F37"/>
  <c r="F38"/>
  <c r="F42"/>
  <c r="E36"/>
  <c r="E37"/>
  <c r="E38"/>
  <c r="E33"/>
  <c r="E42"/>
  <c r="D48"/>
  <c r="D49"/>
  <c r="D24" i="23"/>
  <c r="D25"/>
  <c r="D26"/>
  <c r="D27"/>
  <c r="D14" i="25"/>
  <c r="D9"/>
  <c r="D25" i="24"/>
  <c r="D26"/>
  <c r="D12" i="25"/>
  <c r="D28" i="24"/>
  <c r="D29"/>
  <c r="D11" i="25"/>
  <c r="D23"/>
  <c r="D28" i="21"/>
  <c r="D29"/>
  <c r="D30"/>
  <c r="D26"/>
  <c r="D32"/>
  <c r="D33"/>
  <c r="D34"/>
  <c r="D13" i="16"/>
  <c r="D12"/>
  <c r="D11"/>
  <c r="D10"/>
  <c r="D9"/>
  <c r="D8"/>
  <c r="D7"/>
  <c r="D25"/>
  <c r="D23" i="15"/>
  <c r="D24" i="16"/>
  <c r="D26"/>
  <c r="D21" i="17"/>
  <c r="D23"/>
  <c r="D25"/>
  <c r="D22"/>
  <c r="G45" i="35"/>
  <c r="G52"/>
  <c r="G44"/>
  <c r="D34" i="65"/>
  <c r="D35"/>
  <c r="D36"/>
  <c r="D37"/>
  <c r="D37" i="64"/>
  <c r="D38"/>
  <c r="D39"/>
  <c r="D40"/>
  <c r="G29" i="35"/>
  <c r="G33"/>
  <c r="G51"/>
  <c r="G53"/>
  <c r="F29"/>
  <c r="F33"/>
  <c r="F51"/>
  <c r="J29"/>
  <c r="H29"/>
  <c r="H33"/>
  <c r="H51"/>
  <c r="H53"/>
  <c r="F29" i="33"/>
  <c r="F30"/>
  <c r="F31"/>
  <c r="E29"/>
  <c r="D29"/>
  <c r="D30"/>
  <c r="D31"/>
  <c r="G29"/>
  <c r="D41" i="38"/>
  <c r="H47" i="32"/>
  <c r="E47"/>
  <c r="H42"/>
  <c r="H43"/>
  <c r="H46"/>
  <c r="H49"/>
  <c r="F33"/>
  <c r="G33"/>
  <c r="H33"/>
  <c r="I33"/>
  <c r="I48"/>
  <c r="G24" i="59"/>
  <c r="F29"/>
  <c r="D47"/>
  <c r="D53"/>
  <c r="H50" i="57"/>
  <c r="H39"/>
  <c r="D37" i="54"/>
  <c r="H27" i="67"/>
  <c r="H38"/>
  <c r="D23" i="52"/>
  <c r="D29" i="23"/>
  <c r="D30"/>
  <c r="D25" i="41"/>
  <c r="D29"/>
  <c r="F24" i="16"/>
  <c r="F23"/>
  <c r="D42" i="23"/>
  <c r="D35"/>
  <c r="D40"/>
  <c r="D33"/>
  <c r="D43"/>
  <c r="D36"/>
  <c r="D41"/>
  <c r="D34"/>
  <c r="E73" i="61"/>
  <c r="D53"/>
  <c r="D60"/>
  <c r="D52" i="65"/>
  <c r="F34"/>
  <c r="D49" i="64"/>
  <c r="D50"/>
  <c r="D51"/>
  <c r="D52"/>
  <c r="E37"/>
  <c r="E38"/>
  <c r="E39"/>
  <c r="E40"/>
  <c r="D42"/>
  <c r="D57"/>
  <c r="E49"/>
  <c r="F53" i="35"/>
  <c r="H85" i="38"/>
  <c r="E29"/>
  <c r="G29"/>
  <c r="I29"/>
  <c r="F52"/>
  <c r="D45"/>
  <c r="D46"/>
  <c r="D47"/>
  <c r="E51"/>
  <c r="D68"/>
  <c r="D69"/>
  <c r="D70"/>
  <c r="E75"/>
  <c r="E77"/>
  <c r="D31" i="34"/>
  <c r="D33"/>
  <c r="F39" i="32"/>
  <c r="F40"/>
  <c r="F41"/>
  <c r="F43"/>
  <c r="F46"/>
  <c r="F49"/>
  <c r="G39"/>
  <c r="G40"/>
  <c r="G41"/>
  <c r="G43"/>
  <c r="G46"/>
  <c r="G49"/>
  <c r="E39"/>
  <c r="I39"/>
  <c r="I47"/>
  <c r="E31" i="59"/>
  <c r="H38" i="57"/>
  <c r="H40"/>
  <c r="H36"/>
  <c r="D44" i="53"/>
  <c r="D45"/>
  <c r="D47"/>
  <c r="J27"/>
  <c r="H27"/>
  <c r="H28"/>
  <c r="H29"/>
  <c r="H30"/>
  <c r="H34"/>
  <c r="F27"/>
  <c r="K27"/>
  <c r="K28"/>
  <c r="K29"/>
  <c r="K30"/>
  <c r="K34"/>
  <c r="I27"/>
  <c r="G27"/>
  <c r="G28"/>
  <c r="G29"/>
  <c r="G30"/>
  <c r="G34"/>
  <c r="E27"/>
  <c r="D32" i="67"/>
  <c r="D33"/>
  <c r="D34"/>
  <c r="D35"/>
  <c r="D28" i="52"/>
  <c r="D29"/>
  <c r="D30"/>
  <c r="D31"/>
  <c r="D36"/>
  <c r="D87" i="38"/>
  <c r="F31"/>
  <c r="E28" i="47"/>
  <c r="D25" i="46"/>
  <c r="F31" i="36"/>
  <c r="F32"/>
  <c r="F33"/>
  <c r="F34"/>
  <c r="D31"/>
  <c r="D32"/>
  <c r="D33"/>
  <c r="D35"/>
  <c r="D37"/>
  <c r="D38"/>
  <c r="D45" i="23"/>
  <c r="D38" i="21"/>
  <c r="D28" i="44"/>
  <c r="D29"/>
  <c r="D30"/>
  <c r="D32"/>
  <c r="D23"/>
  <c r="D35"/>
  <c r="D27" i="41"/>
  <c r="F25" i="16"/>
  <c r="D21" i="13"/>
  <c r="H24" i="40"/>
  <c r="H25"/>
  <c r="H26"/>
  <c r="H28"/>
  <c r="H31"/>
  <c r="F24"/>
  <c r="F25"/>
  <c r="F26"/>
  <c r="F28"/>
  <c r="F31"/>
  <c r="G24"/>
  <c r="G25"/>
  <c r="G26"/>
  <c r="G28"/>
  <c r="G31"/>
  <c r="E24"/>
  <c r="D31"/>
  <c r="D23" i="39"/>
  <c r="D24"/>
  <c r="D25"/>
  <c r="D27"/>
  <c r="D29"/>
  <c r="E31" i="38"/>
  <c r="E32"/>
  <c r="E33"/>
  <c r="E35"/>
  <c r="E38"/>
  <c r="E41"/>
  <c r="G31"/>
  <c r="I31"/>
  <c r="I40" i="32"/>
  <c r="I41"/>
  <c r="I43"/>
  <c r="I46"/>
  <c r="E30" i="33"/>
  <c r="E31"/>
  <c r="G32" i="38"/>
  <c r="I32"/>
  <c r="I33"/>
  <c r="I35"/>
  <c r="I38"/>
  <c r="I41"/>
  <c r="F32"/>
  <c r="H32"/>
  <c r="H33"/>
  <c r="H35"/>
  <c r="H38"/>
  <c r="H41"/>
  <c r="H50"/>
  <c r="G51"/>
  <c r="I50"/>
  <c r="F50"/>
  <c r="F51"/>
  <c r="D8" i="25"/>
  <c r="D21"/>
  <c r="D25"/>
  <c r="D32" i="24"/>
  <c r="E40" i="32"/>
  <c r="E41"/>
  <c r="E43"/>
  <c r="E46"/>
  <c r="E49"/>
  <c r="G30" i="33"/>
  <c r="G31"/>
  <c r="G75" i="38"/>
  <c r="G77"/>
  <c r="F75"/>
  <c r="F77"/>
  <c r="E25" i="40"/>
  <c r="E26"/>
  <c r="E28"/>
  <c r="E31"/>
  <c r="D24" i="15"/>
  <c r="D26"/>
  <c r="D25"/>
  <c r="J33" i="35"/>
  <c r="J51"/>
  <c r="J53"/>
  <c r="E29" i="47"/>
  <c r="E30"/>
  <c r="E31"/>
  <c r="E35"/>
  <c r="H25"/>
  <c r="J28" i="53"/>
  <c r="J29"/>
  <c r="J30"/>
  <c r="J34"/>
  <c r="F28"/>
  <c r="F29"/>
  <c r="F30"/>
  <c r="F34"/>
  <c r="G29" i="63"/>
  <c r="F35"/>
  <c r="F35" i="65"/>
  <c r="F36"/>
  <c r="F37"/>
  <c r="F27" i="59"/>
  <c r="F31"/>
  <c r="G23"/>
  <c r="F52" i="61"/>
  <c r="E57"/>
  <c r="D41" i="57"/>
  <c r="D42"/>
  <c r="D43"/>
  <c r="D52"/>
  <c r="C62"/>
  <c r="F40" i="67"/>
  <c r="F42"/>
  <c r="F39"/>
  <c r="F41"/>
  <c r="D52" i="35"/>
  <c r="D53"/>
  <c r="D28" i="41"/>
  <c r="D31"/>
  <c r="D49" i="53"/>
  <c r="E58" i="61"/>
  <c r="E61"/>
  <c r="F28" i="47"/>
  <c r="G26"/>
  <c r="H26"/>
  <c r="I26"/>
  <c r="I28" i="53"/>
  <c r="I29"/>
  <c r="I30"/>
  <c r="I34"/>
  <c r="E28"/>
  <c r="E29"/>
  <c r="E30"/>
  <c r="E34"/>
  <c r="H28" i="63"/>
  <c r="H34"/>
  <c r="G34"/>
  <c r="E50" i="64"/>
  <c r="E51"/>
  <c r="E52"/>
  <c r="F27" i="54"/>
  <c r="F25"/>
  <c r="D55" i="59"/>
  <c r="G29"/>
  <c r="H24"/>
  <c r="D53" i="65"/>
  <c r="D54"/>
  <c r="D55"/>
  <c r="H39" i="67"/>
  <c r="H41"/>
  <c r="H40"/>
  <c r="H42"/>
  <c r="F28" i="16"/>
  <c r="F30"/>
  <c r="F26"/>
  <c r="F32"/>
  <c r="D40" i="62"/>
  <c r="D31" i="58"/>
  <c r="D33"/>
  <c r="F38"/>
  <c r="D37" i="61"/>
  <c r="G72"/>
  <c r="H71"/>
  <c r="H73"/>
  <c r="F72"/>
  <c r="E53"/>
  <c r="E60"/>
  <c r="E64"/>
  <c r="E35" i="63"/>
  <c r="E37"/>
  <c r="F34"/>
  <c r="F37"/>
  <c r="G31" i="65"/>
  <c r="G34"/>
  <c r="D45" i="54"/>
  <c r="E27"/>
  <c r="D43"/>
  <c r="F49" i="65"/>
  <c r="D57" i="61"/>
  <c r="D58"/>
  <c r="D61"/>
  <c r="D64"/>
  <c r="F40" i="57"/>
  <c r="D55" i="35"/>
  <c r="D47"/>
  <c r="D48"/>
  <c r="F29" i="54"/>
  <c r="F30"/>
  <c r="F31"/>
  <c r="F32"/>
  <c r="F37"/>
  <c r="D38" i="52"/>
  <c r="D33" i="33"/>
  <c r="D37"/>
  <c r="D38"/>
  <c r="D40"/>
  <c r="G33" i="38"/>
  <c r="G35"/>
  <c r="G38"/>
  <c r="G41"/>
  <c r="H51"/>
  <c r="H54"/>
  <c r="E50"/>
  <c r="G50"/>
  <c r="F62"/>
  <c r="I51"/>
  <c r="H75"/>
  <c r="H77"/>
  <c r="H78"/>
  <c r="H79"/>
  <c r="H81"/>
  <c r="H84"/>
  <c r="H87"/>
  <c r="I75"/>
  <c r="I77"/>
  <c r="I78"/>
  <c r="I79"/>
  <c r="I81"/>
  <c r="I84"/>
  <c r="I87"/>
  <c r="F33"/>
  <c r="F35"/>
  <c r="F38"/>
  <c r="F41"/>
  <c r="I49" i="32"/>
  <c r="E32" i="59"/>
  <c r="E33"/>
  <c r="E34"/>
  <c r="E39"/>
  <c r="H41" i="57"/>
  <c r="H42"/>
  <c r="H43"/>
  <c r="H52"/>
  <c r="H44" i="67"/>
  <c r="F35" i="36"/>
  <c r="F37"/>
  <c r="F38"/>
  <c r="C40"/>
  <c r="D36" i="44"/>
  <c r="D38"/>
  <c r="D39"/>
  <c r="D37"/>
  <c r="D41"/>
  <c r="D28" i="15"/>
  <c r="D33" i="40"/>
  <c r="D39" i="67"/>
  <c r="D41"/>
  <c r="D40"/>
  <c r="D42"/>
  <c r="D65" i="61"/>
  <c r="D66"/>
  <c r="D68"/>
  <c r="D77"/>
  <c r="E38" i="63"/>
  <c r="E39"/>
  <c r="E40"/>
  <c r="D51" i="32"/>
  <c r="D52"/>
  <c r="D54" i="64"/>
  <c r="D58"/>
  <c r="D36" i="53"/>
  <c r="F41" i="57"/>
  <c r="F42"/>
  <c r="F43"/>
  <c r="F52"/>
  <c r="G35" i="65"/>
  <c r="G36"/>
  <c r="G37"/>
  <c r="D39"/>
  <c r="F73" i="61"/>
  <c r="G71"/>
  <c r="G73"/>
  <c r="I24" i="59"/>
  <c r="I29"/>
  <c r="H29"/>
  <c r="F29" i="47"/>
  <c r="F30"/>
  <c r="F31"/>
  <c r="F35"/>
  <c r="F78" i="38"/>
  <c r="F79"/>
  <c r="F81"/>
  <c r="F84"/>
  <c r="F87"/>
  <c r="H23" i="59"/>
  <c r="G27"/>
  <c r="G31"/>
  <c r="I25" i="47"/>
  <c r="I28"/>
  <c r="H28"/>
  <c r="E78" i="38"/>
  <c r="E79"/>
  <c r="E81"/>
  <c r="E84"/>
  <c r="E87"/>
  <c r="F54"/>
  <c r="H62"/>
  <c r="D47" i="54"/>
  <c r="E29"/>
  <c r="D35" i="35"/>
  <c r="D36"/>
  <c r="I54" i="38"/>
  <c r="F52" i="65"/>
  <c r="G49"/>
  <c r="G52"/>
  <c r="F38" i="63"/>
  <c r="F39"/>
  <c r="F40"/>
  <c r="F44"/>
  <c r="E65" i="61"/>
  <c r="E66"/>
  <c r="E68"/>
  <c r="E77"/>
  <c r="G27" i="54"/>
  <c r="G25"/>
  <c r="F46" i="67"/>
  <c r="F44"/>
  <c r="G52" i="61"/>
  <c r="F57"/>
  <c r="F58"/>
  <c r="F61"/>
  <c r="F53"/>
  <c r="F60"/>
  <c r="F32" i="59"/>
  <c r="F33"/>
  <c r="F34"/>
  <c r="F39"/>
  <c r="H29" i="63"/>
  <c r="H35"/>
  <c r="H37"/>
  <c r="G35"/>
  <c r="G37"/>
  <c r="G78" i="38"/>
  <c r="G79"/>
  <c r="G81"/>
  <c r="G84"/>
  <c r="G87"/>
  <c r="E62"/>
  <c r="E54"/>
  <c r="H46" i="67"/>
  <c r="G28" i="47"/>
  <c r="G54" i="38"/>
  <c r="D43"/>
  <c r="F64" i="61"/>
  <c r="F65"/>
  <c r="F66"/>
  <c r="F68"/>
  <c r="F77"/>
  <c r="G62" i="38"/>
  <c r="G29" i="54"/>
  <c r="G30"/>
  <c r="G31"/>
  <c r="G32"/>
  <c r="G37"/>
  <c r="H38" i="63"/>
  <c r="H39"/>
  <c r="H40"/>
  <c r="H44"/>
  <c r="D62" i="57"/>
  <c r="F62"/>
  <c r="D54"/>
  <c r="D89" i="38"/>
  <c r="E44" i="63"/>
  <c r="G29" i="47"/>
  <c r="G30"/>
  <c r="G31"/>
  <c r="G35"/>
  <c r="G38" i="63"/>
  <c r="G39"/>
  <c r="G40"/>
  <c r="G44"/>
  <c r="G55" i="38"/>
  <c r="G56"/>
  <c r="G58"/>
  <c r="G61"/>
  <c r="E55"/>
  <c r="E56"/>
  <c r="E58"/>
  <c r="E61"/>
  <c r="E64"/>
  <c r="H52" i="61"/>
  <c r="G57"/>
  <c r="G58"/>
  <c r="G61"/>
  <c r="G53"/>
  <c r="G60"/>
  <c r="G53" i="65"/>
  <c r="G54"/>
  <c r="G55"/>
  <c r="I55" i="38"/>
  <c r="I56"/>
  <c r="I58"/>
  <c r="I61"/>
  <c r="I64"/>
  <c r="H55"/>
  <c r="H56"/>
  <c r="H58"/>
  <c r="H61"/>
  <c r="H64"/>
  <c r="F55"/>
  <c r="F56"/>
  <c r="F58"/>
  <c r="F61"/>
  <c r="F64"/>
  <c r="H29" i="47"/>
  <c r="H30"/>
  <c r="H31"/>
  <c r="H35"/>
  <c r="G32" i="59"/>
  <c r="G33"/>
  <c r="G34"/>
  <c r="G39"/>
  <c r="D46" i="67"/>
  <c r="D44"/>
  <c r="H27" i="54"/>
  <c r="H25"/>
  <c r="F53" i="65"/>
  <c r="F54"/>
  <c r="F55"/>
  <c r="E30" i="54"/>
  <c r="E31"/>
  <c r="E32"/>
  <c r="E37"/>
  <c r="I29" i="47"/>
  <c r="I30"/>
  <c r="I31"/>
  <c r="I35"/>
  <c r="H27" i="59"/>
  <c r="H31"/>
  <c r="I23"/>
  <c r="I27"/>
  <c r="I31"/>
  <c r="G64" i="38"/>
  <c r="D66"/>
  <c r="H29" i="54"/>
  <c r="H30"/>
  <c r="H31"/>
  <c r="H32"/>
  <c r="H37"/>
  <c r="G64" i="61"/>
  <c r="D57" i="65"/>
  <c r="D59"/>
  <c r="H32" i="59"/>
  <c r="H33"/>
  <c r="H34"/>
  <c r="H39"/>
  <c r="I32"/>
  <c r="I33"/>
  <c r="I34"/>
  <c r="I39"/>
  <c r="D41"/>
  <c r="I25" i="54"/>
  <c r="I27"/>
  <c r="G65" i="61"/>
  <c r="G66"/>
  <c r="G68"/>
  <c r="G77"/>
  <c r="H57"/>
  <c r="H58"/>
  <c r="H61"/>
  <c r="H53"/>
  <c r="H60"/>
  <c r="D46" i="63"/>
  <c r="H64" i="61"/>
  <c r="H65"/>
  <c r="H66"/>
  <c r="H68"/>
  <c r="I29" i="54"/>
  <c r="H77" i="61"/>
  <c r="D79"/>
  <c r="I30" i="54"/>
  <c r="I31"/>
  <c r="I32"/>
  <c r="I37"/>
  <c r="D39"/>
</calcChain>
</file>

<file path=xl/sharedStrings.xml><?xml version="1.0" encoding="utf-8"?>
<sst xmlns="http://schemas.openxmlformats.org/spreadsheetml/2006/main" count="1166" uniqueCount="453">
  <si>
    <t>Question 1</t>
  </si>
  <si>
    <t>Input area:</t>
  </si>
  <si>
    <t>Output area:</t>
  </si>
  <si>
    <t>Question 2</t>
  </si>
  <si>
    <t>Question 3</t>
  </si>
  <si>
    <t>Depreciation</t>
  </si>
  <si>
    <t>Tax rate</t>
  </si>
  <si>
    <t>Variable cost</t>
  </si>
  <si>
    <t>EBT</t>
  </si>
  <si>
    <t>Question 4</t>
  </si>
  <si>
    <t>Sales</t>
  </si>
  <si>
    <t>OCF</t>
  </si>
  <si>
    <t>Depreciation tax shield</t>
  </si>
  <si>
    <t>Question 5</t>
  </si>
  <si>
    <t>Costs</t>
  </si>
  <si>
    <t>MACRS</t>
  </si>
  <si>
    <t>Question 6</t>
  </si>
  <si>
    <t>Asset investment</t>
  </si>
  <si>
    <t>Estimated annual sales</t>
  </si>
  <si>
    <t>to zero over tax life</t>
  </si>
  <si>
    <t>Required return</t>
  </si>
  <si>
    <t>NPV</t>
  </si>
  <si>
    <t>Initial investment in NWC</t>
  </si>
  <si>
    <t xml:space="preserve">Fixed asset value at end </t>
  </si>
  <si>
    <t>Year</t>
  </si>
  <si>
    <t>Cash flow</t>
  </si>
  <si>
    <t>Question 13</t>
  </si>
  <si>
    <t>Book value</t>
  </si>
  <si>
    <t>Aftertax salvage value</t>
  </si>
  <si>
    <t>Question 14</t>
  </si>
  <si>
    <t>Operating cost per year</t>
  </si>
  <si>
    <t>Initial investment</t>
  </si>
  <si>
    <t>Discount rate</t>
  </si>
  <si>
    <t>Pretax salvage value</t>
  </si>
  <si>
    <t>*Depreciation straight-line</t>
  </si>
  <si>
    <t>*Depreciation staight-line</t>
  </si>
  <si>
    <t>over life</t>
  </si>
  <si>
    <t>Annual depreciation charge</t>
  </si>
  <si>
    <t>Question 15</t>
  </si>
  <si>
    <t>Working capital reduction</t>
  </si>
  <si>
    <t>Question 16</t>
  </si>
  <si>
    <t>Cost savings per year</t>
  </si>
  <si>
    <t>Question 17</t>
  </si>
  <si>
    <t>EAC</t>
  </si>
  <si>
    <t>Question 18</t>
  </si>
  <si>
    <t>Techron I :</t>
  </si>
  <si>
    <t>Cost</t>
  </si>
  <si>
    <t>Operating costs per year</t>
  </si>
  <si>
    <t>Life</t>
  </si>
  <si>
    <t>Techron II :</t>
  </si>
  <si>
    <t>Both:</t>
  </si>
  <si>
    <t>Salvage value</t>
  </si>
  <si>
    <t xml:space="preserve">*Depreciation straight-line </t>
  </si>
  <si>
    <t>Both cases:</t>
  </si>
  <si>
    <t>Techron I:</t>
  </si>
  <si>
    <t>Techron II:</t>
  </si>
  <si>
    <t xml:space="preserve">The two milling machines have unequal lives, so they can only be compared by </t>
  </si>
  <si>
    <t>expressing both on an equivalent annual basis which is what the EAC method does.</t>
  </si>
  <si>
    <t xml:space="preserve">Cost </t>
  </si>
  <si>
    <t xml:space="preserve">Variable production cost </t>
  </si>
  <si>
    <t xml:space="preserve">    per carton</t>
  </si>
  <si>
    <t>Question 20</t>
  </si>
  <si>
    <t>Inventory cost</t>
  </si>
  <si>
    <t>Inventory cost per year</t>
  </si>
  <si>
    <t>MACRS five year class</t>
  </si>
  <si>
    <t>Question 21</t>
  </si>
  <si>
    <t>Pretax annual operating cost</t>
  </si>
  <si>
    <t>System B:</t>
  </si>
  <si>
    <t>System A:</t>
  </si>
  <si>
    <t>If the system will not be replaced when it wears</t>
  </si>
  <si>
    <t>Question 22</t>
  </si>
  <si>
    <t>Question 23</t>
  </si>
  <si>
    <t>Initial NWC</t>
  </si>
  <si>
    <t>IRR</t>
  </si>
  <si>
    <t>Input boxes in tan</t>
  </si>
  <si>
    <t>Output boxes in yellow</t>
  </si>
  <si>
    <t>Given data in blue</t>
  </si>
  <si>
    <t>Calculations in red</t>
  </si>
  <si>
    <t>Answers in green</t>
  </si>
  <si>
    <t>Taxes</t>
  </si>
  <si>
    <t>Variable costs</t>
  </si>
  <si>
    <t>Fixed costs</t>
  </si>
  <si>
    <t xml:space="preserve">*3 yr MACRS </t>
  </si>
  <si>
    <t>Installation cost</t>
  </si>
  <si>
    <t>NPV w/o OCF</t>
  </si>
  <si>
    <t>Cost savings</t>
  </si>
  <si>
    <t xml:space="preserve">Thus, you prefer the </t>
  </si>
  <si>
    <t>because it has the lower</t>
  </si>
  <si>
    <t>(less negative) annual cost.</t>
  </si>
  <si>
    <t>Quantity</t>
  </si>
  <si>
    <t>Installation costs</t>
  </si>
  <si>
    <t>Net working capital</t>
  </si>
  <si>
    <t>Initial cash outlay</t>
  </si>
  <si>
    <t>Necessary OCF</t>
  </si>
  <si>
    <t>OCF net of dep. tax shield</t>
  </si>
  <si>
    <t>Bid price</t>
  </si>
  <si>
    <t>Machine cost</t>
  </si>
  <si>
    <t xml:space="preserve">out, then </t>
  </si>
  <si>
    <t>Operating life</t>
  </si>
  <si>
    <t>lower EAC.</t>
  </si>
  <si>
    <t xml:space="preserve">should be chosen because it has the </t>
  </si>
  <si>
    <t xml:space="preserve">If the system is replaced, </t>
  </si>
  <si>
    <t>Additional NWC/year</t>
  </si>
  <si>
    <t>Year 1 unit sales</t>
  </si>
  <si>
    <t>Year 2 unit sales</t>
  </si>
  <si>
    <t>Year 3 unit sales</t>
  </si>
  <si>
    <t>Year 4 unit sales</t>
  </si>
  <si>
    <t>Year 5 unit sales</t>
  </si>
  <si>
    <t>Variable cost per unit</t>
  </si>
  <si>
    <t>Unit price</t>
  </si>
  <si>
    <t>Equipment cost</t>
  </si>
  <si>
    <t>Salvage value (% of price)</t>
  </si>
  <si>
    <t>MACRS depreciation</t>
  </si>
  <si>
    <t>Ending book value</t>
  </si>
  <si>
    <t>EBIT</t>
  </si>
  <si>
    <t>Net income</t>
  </si>
  <si>
    <t>Operating cash flow</t>
  </si>
  <si>
    <t>Net cash flows</t>
  </si>
  <si>
    <t>Change in NWC</t>
  </si>
  <si>
    <t>Capital spending</t>
  </si>
  <si>
    <t>Total cash flow</t>
  </si>
  <si>
    <t>Net present value</t>
  </si>
  <si>
    <t>Internal rate of return</t>
  </si>
  <si>
    <t>Question 25</t>
  </si>
  <si>
    <t>Question 26</t>
  </si>
  <si>
    <t>Installed cost</t>
  </si>
  <si>
    <t>NPV net of OCF</t>
  </si>
  <si>
    <t>Pretax cost savings</t>
  </si>
  <si>
    <t>Price per carton</t>
  </si>
  <si>
    <t>a.</t>
  </si>
  <si>
    <t>b.</t>
  </si>
  <si>
    <t>Breakeven quantity</t>
  </si>
  <si>
    <t>c.</t>
  </si>
  <si>
    <t>Breakeven fixed costs</t>
  </si>
  <si>
    <t>Question 27</t>
  </si>
  <si>
    <t>Input Area:</t>
  </si>
  <si>
    <t>Old cost</t>
  </si>
  <si>
    <t>New machine cost</t>
  </si>
  <si>
    <t>Life of machine</t>
  </si>
  <si>
    <t>Old machine depreciation</t>
  </si>
  <si>
    <t>MV old machine</t>
  </si>
  <si>
    <t>Old machine value in 2 yrs</t>
  </si>
  <si>
    <t>Saved operating costs</t>
  </si>
  <si>
    <t>Output Area:</t>
  </si>
  <si>
    <t>New computer:</t>
  </si>
  <si>
    <t>Operating CF</t>
  </si>
  <si>
    <t>Old Computer:</t>
  </si>
  <si>
    <t>Difference:</t>
  </si>
  <si>
    <t>New computer</t>
  </si>
  <si>
    <t>Old computer</t>
  </si>
  <si>
    <t>Question 19</t>
  </si>
  <si>
    <t>Machine A:</t>
  </si>
  <si>
    <t>Machine B:</t>
  </si>
  <si>
    <t>Machine A</t>
  </si>
  <si>
    <t>Machine B</t>
  </si>
  <si>
    <t>Tax</t>
  </si>
  <si>
    <t>+ Dep</t>
  </si>
  <si>
    <t xml:space="preserve">should be chosen since it has the </t>
  </si>
  <si>
    <t>Year 1 depreciation CF</t>
  </si>
  <si>
    <t>Year 2 depreciation CF</t>
  </si>
  <si>
    <t>Year 3 depreciation CF</t>
  </si>
  <si>
    <t>Year 4 depreciation CF</t>
  </si>
  <si>
    <t>Question 29</t>
  </si>
  <si>
    <t>Question 28</t>
  </si>
  <si>
    <t>Contract quantity</t>
  </si>
  <si>
    <t>Equipment</t>
  </si>
  <si>
    <t>Variable costs/unit</t>
  </si>
  <si>
    <t>Mkt. sales in Year 1</t>
  </si>
  <si>
    <t>Mkt. sales in Year 2</t>
  </si>
  <si>
    <t>Mkt. sales in Year 3</t>
  </si>
  <si>
    <t>Mkt. sales in Year 4</t>
  </si>
  <si>
    <t>Market price</t>
  </si>
  <si>
    <t>Project NPV</t>
  </si>
  <si>
    <t>Market sales</t>
  </si>
  <si>
    <t>Net income (and OCF)</t>
  </si>
  <si>
    <t>NPV of market sales</t>
  </si>
  <si>
    <t>NPV of OCF</t>
  </si>
  <si>
    <t>Units sold</t>
  </si>
  <si>
    <t>Cost per unit</t>
  </si>
  <si>
    <t>Price per unit</t>
  </si>
  <si>
    <t>Year 0</t>
  </si>
  <si>
    <t>Year 1</t>
  </si>
  <si>
    <t>Year 2</t>
  </si>
  <si>
    <t>Year 3</t>
  </si>
  <si>
    <t>Year 4</t>
  </si>
  <si>
    <t>Investment</t>
  </si>
  <si>
    <t>Sales revenue</t>
  </si>
  <si>
    <t>Operating costs</t>
  </si>
  <si>
    <t>?</t>
  </si>
  <si>
    <t>NWC</t>
  </si>
  <si>
    <t>Incremental cash flow</t>
  </si>
  <si>
    <t>Question 8</t>
  </si>
  <si>
    <t>Acquisition costs</t>
  </si>
  <si>
    <t>*MACRS class for taxes</t>
  </si>
  <si>
    <t>Book Value</t>
  </si>
  <si>
    <t>Aftertax cash flow</t>
  </si>
  <si>
    <t>Question 7</t>
  </si>
  <si>
    <t>Question 10</t>
  </si>
  <si>
    <t>Question 9</t>
  </si>
  <si>
    <t>Operating expenses</t>
  </si>
  <si>
    <t>Total</t>
  </si>
  <si>
    <t>Question 11</t>
  </si>
  <si>
    <t>Question 12</t>
  </si>
  <si>
    <t>Annual cash flows:</t>
  </si>
  <si>
    <t>Project A</t>
  </si>
  <si>
    <t>Project B</t>
  </si>
  <si>
    <t>.</t>
  </si>
  <si>
    <t>Inflation rate</t>
  </si>
  <si>
    <t>Real cash
flows</t>
  </si>
  <si>
    <t>Nominal cash 
flows</t>
  </si>
  <si>
    <t>Real required return</t>
  </si>
  <si>
    <t>Nominal required return</t>
  </si>
  <si>
    <t>Project A NPV</t>
  </si>
  <si>
    <t>Project B NPV</t>
  </si>
  <si>
    <t>Bottles sold</t>
  </si>
  <si>
    <t>Real sales price/bottle</t>
  </si>
  <si>
    <t>Cost/bottle</t>
  </si>
  <si>
    <t>Price increase</t>
  </si>
  <si>
    <t>Cost increase</t>
  </si>
  <si>
    <t>Year 1 aftertax revenue</t>
  </si>
  <si>
    <t>Year 1 aftertax costs</t>
  </si>
  <si>
    <t>PV of future aftertax revenue</t>
  </si>
  <si>
    <t>PV of future aftertax costs</t>
  </si>
  <si>
    <t>Value of company</t>
  </si>
  <si>
    <t>Year 1 nominal revenue</t>
  </si>
  <si>
    <t>Year 1 nominal expense</t>
  </si>
  <si>
    <t>Revenue &amp; Expense growth rate</t>
  </si>
  <si>
    <t>Nominal salvage value</t>
  </si>
  <si>
    <t>Nominal discount rate</t>
  </si>
  <si>
    <t>Expenses</t>
  </si>
  <si>
    <t>Total nominal cash flow</t>
  </si>
  <si>
    <t>Year 5</t>
  </si>
  <si>
    <t>Tax on sale</t>
  </si>
  <si>
    <t>Real cash flow</t>
  </si>
  <si>
    <t>Real cash flow growth rate</t>
  </si>
  <si>
    <t>Maintenance cost</t>
  </si>
  <si>
    <t>Cost of new machine</t>
  </si>
  <si>
    <t>Old machine book value</t>
  </si>
  <si>
    <t>Old machine market value</t>
  </si>
  <si>
    <t>Years of operation</t>
  </si>
  <si>
    <t>Purchase new machine</t>
  </si>
  <si>
    <t>Taxes on old machine</t>
  </si>
  <si>
    <t>Incremental cash flows</t>
  </si>
  <si>
    <t>Operating expense</t>
  </si>
  <si>
    <t xml:space="preserve">Pretax salvage value </t>
  </si>
  <si>
    <t>Saved salaries</t>
  </si>
  <si>
    <t>Reduction in NWC</t>
  </si>
  <si>
    <t>Requried return</t>
  </si>
  <si>
    <t>Sale of equipment</t>
  </si>
  <si>
    <t>Initial cost</t>
  </si>
  <si>
    <t>Growth rate in revenues</t>
  </si>
  <si>
    <t>Growth rate in costs</t>
  </si>
  <si>
    <t>Nominal operating revenues</t>
  </si>
  <si>
    <t>Nominal production costs</t>
  </si>
  <si>
    <t>In nominal dollars:</t>
  </si>
  <si>
    <t>Revenues</t>
  </si>
  <si>
    <t>Year 6</t>
  </si>
  <si>
    <t>Year 7</t>
  </si>
  <si>
    <t>NPV using real cash flows:</t>
  </si>
  <si>
    <t>PV of revenue</t>
  </si>
  <si>
    <t>PV of revenue aftertax</t>
  </si>
  <si>
    <t>PV of costs</t>
  </si>
  <si>
    <t>PV of costs aftertax</t>
  </si>
  <si>
    <t>PV of depreciation tax shield</t>
  </si>
  <si>
    <t>Years project lasts</t>
  </si>
  <si>
    <t>Question 24</t>
  </si>
  <si>
    <t>Growth rate in quantity sold</t>
  </si>
  <si>
    <t>First year quantity sold</t>
  </si>
  <si>
    <t>Quantity sold</t>
  </si>
  <si>
    <t>Original cost of land</t>
  </si>
  <si>
    <t>Year 1 sales</t>
  </si>
  <si>
    <t>Year 2 sales</t>
  </si>
  <si>
    <t>Year 3 sales</t>
  </si>
  <si>
    <t>Year 4 sales</t>
  </si>
  <si>
    <t>Sales price</t>
  </si>
  <si>
    <t>Equipment costs</t>
  </si>
  <si>
    <t>Marketing study</t>
  </si>
  <si>
    <t>Year 1 depreciation</t>
  </si>
  <si>
    <t>Year 2 depreciation</t>
  </si>
  <si>
    <t>Year 3 depreciation</t>
  </si>
  <si>
    <t>Year 4 depreciation</t>
  </si>
  <si>
    <t>Sale price</t>
  </si>
  <si>
    <t>Old machine:</t>
  </si>
  <si>
    <t>Current MV</t>
  </si>
  <si>
    <t>Current BV</t>
  </si>
  <si>
    <t>Annual maintenance</t>
  </si>
  <si>
    <t>Salvage value in 5 years</t>
  </si>
  <si>
    <t>BV in 5 years</t>
  </si>
  <si>
    <t>New machine:</t>
  </si>
  <si>
    <t>Replacement machine</t>
  </si>
  <si>
    <t>cost in 5 years</t>
  </si>
  <si>
    <t>Buy new machine</t>
  </si>
  <si>
    <t xml:space="preserve">Taxes on sale </t>
  </si>
  <si>
    <t>Sell machine</t>
  </si>
  <si>
    <t>Buy new machine:</t>
  </si>
  <si>
    <t>Keep old machine:</t>
  </si>
  <si>
    <t xml:space="preserve">You should </t>
  </si>
  <si>
    <t>since the NPV of the decision is greater (less negative).</t>
  </si>
  <si>
    <t>Lost sale of old</t>
  </si>
  <si>
    <t>Taxes on sale of old</t>
  </si>
  <si>
    <t>Note that the NPV of the differential cash flow method is the same</t>
  </si>
  <si>
    <t>as the difference between the NPVs of the individual decision</t>
  </si>
  <si>
    <t>we calculated earlier, that is:</t>
  </si>
  <si>
    <t>Keep old machine</t>
  </si>
  <si>
    <t>Buy new machine -</t>
  </si>
  <si>
    <t>=</t>
  </si>
  <si>
    <t>Either method will give you the same answer.</t>
  </si>
  <si>
    <t>XX40:</t>
  </si>
  <si>
    <t>RH45:</t>
  </si>
  <si>
    <t>Real aftertax cash flow</t>
  </si>
  <si>
    <t xml:space="preserve">NPV </t>
  </si>
  <si>
    <t>Real discount rate</t>
  </si>
  <si>
    <t xml:space="preserve">The two copiers have unequal lives, so they can only be compared by </t>
  </si>
  <si>
    <t>We also must be sure to use the real interest rate since the cash flows are stated</t>
  </si>
  <si>
    <t xml:space="preserve">in real terms. Thus, you prefer the </t>
  </si>
  <si>
    <t>because it has the lower (less negative) annual cost.</t>
  </si>
  <si>
    <t>Cost of machine</t>
  </si>
  <si>
    <t>Price of keyboard</t>
  </si>
  <si>
    <t>Annual increase in price</t>
  </si>
  <si>
    <t>Production cost</t>
  </si>
  <si>
    <t>Annual increase in cost</t>
  </si>
  <si>
    <t>Quantity sold per year</t>
  </si>
  <si>
    <t>Question 30</t>
  </si>
  <si>
    <t>Question 31</t>
  </si>
  <si>
    <t>Question 32</t>
  </si>
  <si>
    <t>Question 35</t>
  </si>
  <si>
    <t>Question 34</t>
  </si>
  <si>
    <t>Question 33</t>
  </si>
  <si>
    <t>Price</t>
  </si>
  <si>
    <t>New Inventory</t>
  </si>
  <si>
    <t>Lost sales</t>
  </si>
  <si>
    <t>Price of lost sales</t>
  </si>
  <si>
    <t>VC on lost sales</t>
  </si>
  <si>
    <t>Old inventory</t>
  </si>
  <si>
    <t>Inventory</t>
  </si>
  <si>
    <t>Old Inventory</t>
  </si>
  <si>
    <t>Total cost</t>
  </si>
  <si>
    <t>VC</t>
  </si>
  <si>
    <t>Dep.</t>
  </si>
  <si>
    <t>NI</t>
  </si>
  <si>
    <t>+Dep.</t>
  </si>
  <si>
    <t>Beginning</t>
  </si>
  <si>
    <t>Ending</t>
  </si>
  <si>
    <t>Change</t>
  </si>
  <si>
    <t>Total Cash flow</t>
  </si>
  <si>
    <t>Year 1 quantity</t>
  </si>
  <si>
    <t>Year 2 quantity</t>
  </si>
  <si>
    <t>Year 3 quantity</t>
  </si>
  <si>
    <t>Year 4 quantity</t>
  </si>
  <si>
    <t>Year 5 quantity</t>
  </si>
  <si>
    <t>Year 5 aftertax salvage value</t>
  </si>
  <si>
    <t>Sell equipment</t>
  </si>
  <si>
    <t>Salvage value:</t>
  </si>
  <si>
    <t>Purchase today</t>
  </si>
  <si>
    <t>Purchase in 2 years</t>
  </si>
  <si>
    <t>Question 37</t>
  </si>
  <si>
    <t>Year 1 revenues</t>
  </si>
  <si>
    <t>Year 1 labor costs</t>
  </si>
  <si>
    <t>Year 1 other costs</t>
  </si>
  <si>
    <t>Lease cost</t>
  </si>
  <si>
    <t>Revenue increase</t>
  </si>
  <si>
    <t>Labor increase</t>
  </si>
  <si>
    <t>Other cost increase</t>
  </si>
  <si>
    <t>Real values today:</t>
  </si>
  <si>
    <t>Labor costs</t>
  </si>
  <si>
    <t>Other costs</t>
  </si>
  <si>
    <t>Aftertax present values:</t>
  </si>
  <si>
    <t>Lease payments</t>
  </si>
  <si>
    <t>Pretax present values:</t>
  </si>
  <si>
    <t>Question 38</t>
  </si>
  <si>
    <t>Required investment</t>
  </si>
  <si>
    <t>Real product price</t>
  </si>
  <si>
    <t>Real labor cost/hour</t>
  </si>
  <si>
    <t>Real increase in labor cost</t>
  </si>
  <si>
    <t>Real energy cost/unit</t>
  </si>
  <si>
    <t>Real increase in energy cost</t>
  </si>
  <si>
    <t>Labor input, in hours</t>
  </si>
  <si>
    <t>Energy input, in physical units</t>
  </si>
  <si>
    <t>Real labor cost each year</t>
  </si>
  <si>
    <t>Real energy cost each year</t>
  </si>
  <si>
    <t>Labor cost</t>
  </si>
  <si>
    <t>Energy cost</t>
  </si>
  <si>
    <t>Nominal depreciation each year</t>
  </si>
  <si>
    <t>Physical production, in units</t>
  </si>
  <si>
    <t>Question 36</t>
  </si>
  <si>
    <t>Purchase price of warehouse</t>
  </si>
  <si>
    <t>Rent for building</t>
  </si>
  <si>
    <t>Product A:</t>
  </si>
  <si>
    <t>Building modifications</t>
  </si>
  <si>
    <t>Product B:</t>
  </si>
  <si>
    <t>Pretax revenues</t>
  </si>
  <si>
    <t>Pretax expenditures</t>
  </si>
  <si>
    <t>Restoration costs</t>
  </si>
  <si>
    <t>Rent building:</t>
  </si>
  <si>
    <t>Years for project</t>
  </si>
  <si>
    <t>Rent</t>
  </si>
  <si>
    <t>Year 1-14</t>
  </si>
  <si>
    <t>Year 15</t>
  </si>
  <si>
    <t>Revenue</t>
  </si>
  <si>
    <t>Expenditures</t>
  </si>
  <si>
    <t>Restoration cost</t>
  </si>
  <si>
    <t>Headache only:</t>
  </si>
  <si>
    <t>Real price</t>
  </si>
  <si>
    <t>Units sold per year</t>
  </si>
  <si>
    <t>Real cost of production</t>
  </si>
  <si>
    <t>Headache and arthritis:</t>
  </si>
  <si>
    <t>Real pretax salvage</t>
  </si>
  <si>
    <t>Both pills:</t>
  </si>
  <si>
    <t>Life (years)</t>
  </si>
  <si>
    <t>Production costs</t>
  </si>
  <si>
    <t xml:space="preserve">Choose the </t>
  </si>
  <si>
    <t>pill since it has the greater NPV.</t>
  </si>
  <si>
    <t>Incremental
analysis</t>
  </si>
  <si>
    <t>Alternate solution:</t>
  </si>
  <si>
    <t>PV of revenues</t>
  </si>
  <si>
    <t>PV of variable costs</t>
  </si>
  <si>
    <t>PV of fixed costs</t>
  </si>
  <si>
    <t>PV of depreciation</t>
  </si>
  <si>
    <t>Land</t>
  </si>
  <si>
    <t>Aftertax PV of fixed costs</t>
  </si>
  <si>
    <t>Aftertax PV of depreciation</t>
  </si>
  <si>
    <t xml:space="preserve">    tax shield</t>
  </si>
  <si>
    <t>Aftertax PV of revenues</t>
  </si>
  <si>
    <t>Aftertax PV of variable costs</t>
  </si>
  <si>
    <t>Initial cash outlay:</t>
  </si>
  <si>
    <t>Year 2 capital spending</t>
  </si>
  <si>
    <t>Market value</t>
  </si>
  <si>
    <t>Book value of equipment in five years</t>
  </si>
  <si>
    <t>New table</t>
  </si>
  <si>
    <t>Old table</t>
  </si>
  <si>
    <t>Differential:</t>
  </si>
  <si>
    <t>Sell (buy) old machine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</si>
  <si>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</si>
  <si>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</si>
  <si>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</si>
  <si>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</si>
  <si>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6</t>
  </si>
  <si>
    <t>Annual pretax cost savings</t>
  </si>
  <si>
    <t>Taxes on salvage</t>
  </si>
  <si>
    <t>Problems 1-38</t>
  </si>
  <si>
    <t>Current land value</t>
  </si>
  <si>
    <t>Land value in 4 years</t>
  </si>
  <si>
    <t xml:space="preserve">Year 1 depreciation </t>
  </si>
  <si>
    <t xml:space="preserve">Year 2 depreciation </t>
  </si>
  <si>
    <t xml:space="preserve">Year 3 depreciation </t>
  </si>
  <si>
    <t xml:space="preserve">Year 4 depreciation </t>
  </si>
  <si>
    <t>Old book value</t>
  </si>
  <si>
    <t>Differential NPV:</t>
  </si>
  <si>
    <t>Rent vs. product A</t>
  </si>
  <si>
    <t>Rent vs. Product B</t>
  </si>
  <si>
    <t>should be chosen, because it has the less</t>
  </si>
  <si>
    <t>negative NPV.</t>
  </si>
  <si>
    <t>New salvage value</t>
  </si>
</sst>
</file>

<file path=xl/styles.xml><?xml version="1.0" encoding="utf-8"?>
<styleSheet xmlns="http://schemas.openxmlformats.org/spreadsheetml/2006/main">
  <numFmts count="18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"/>
    <numFmt numFmtId="166" formatCode="#,##0.0000_);[Red]\(#,##0.0000\)"/>
    <numFmt numFmtId="167" formatCode="#,##0.0000"/>
    <numFmt numFmtId="168" formatCode="_(&quot;$&quot;* #,##0_);_(&quot;$&quot;* \(#,##0\);_(&quot;$&quot;* &quot;-&quot;??_);_(@_)"/>
    <numFmt numFmtId="169" formatCode="_(* #,##0_);_(* \(#,##0\);_(* &quot;-&quot;??_);_(@_)"/>
    <numFmt numFmtId="170" formatCode="_(&quot;$&quot;* #,##0_);_(&quot;$&quot;* \(#,##0\);_(&quot;$&quot;* &quot;-&quot;???_);_(@_)"/>
    <numFmt numFmtId="171" formatCode="_(&quot;$&quot;* #,##0.00_);_(&quot;$&quot;* \(#,##0.00\);_(&quot;$&quot;* &quot;-&quot;?????_);_(@_)"/>
    <numFmt numFmtId="172" formatCode="_(&quot;$&quot;* #,##0.00_);_(&quot;$&quot;* \(#,##0.00\);_(&quot;$&quot;* &quot;-&quot;_);_(@_)"/>
    <numFmt numFmtId="173" formatCode="_(&quot;$&quot;* #,##0.0_);_(&quot;$&quot;* \(#,##0.0\);_(&quot;$&quot;* &quot;-&quot;??_);_(@_)"/>
    <numFmt numFmtId="174" formatCode="_(* #,##0.0000_);_(* \(#,##0.0000\);_(* &quot;-&quot;????_);_(@_)"/>
    <numFmt numFmtId="175" formatCode="_(* #,##0.0_);_(* \(#,##0.0\);_(* &quot;-&quot;?_);_(@_)"/>
  </numFmts>
  <fonts count="42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0"/>
      <color indexed="48"/>
      <name val="Arial"/>
      <family val="2"/>
    </font>
    <font>
      <sz val="12"/>
      <color indexed="48"/>
      <name val="Arial"/>
      <family val="2"/>
    </font>
    <font>
      <sz val="12"/>
      <color indexed="8"/>
      <name val="Arial"/>
      <family val="2"/>
    </font>
    <font>
      <sz val="10"/>
      <color indexed="50"/>
      <name val="Arial"/>
      <family val="2"/>
    </font>
    <font>
      <sz val="10"/>
      <color indexed="8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u/>
      <sz val="12"/>
      <color indexed="8"/>
      <name val="Arial"/>
      <family val="2"/>
    </font>
    <font>
      <sz val="10"/>
      <color indexed="10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i/>
      <sz val="12"/>
      <color indexed="8"/>
      <name val="Arial"/>
      <family val="2"/>
    </font>
    <font>
      <i/>
      <u/>
      <sz val="12"/>
      <color indexed="8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Symbol"/>
      <family val="1"/>
      <charset val="2"/>
    </font>
    <font>
      <sz val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i/>
      <u/>
      <sz val="12"/>
      <name val="Arial"/>
      <family val="2"/>
    </font>
    <font>
      <u val="singleAccounting"/>
      <sz val="12"/>
      <name val="Arial"/>
      <family val="2"/>
    </font>
    <font>
      <i/>
      <u/>
      <sz val="12"/>
      <name val="Arial"/>
      <family val="2"/>
    </font>
    <font>
      <u val="singleAccounting"/>
      <sz val="12"/>
      <color indexed="8"/>
      <name val="Arial"/>
      <family val="2"/>
    </font>
    <font>
      <i/>
      <sz val="12"/>
      <color indexed="10"/>
      <name val="Arial"/>
      <family val="2"/>
    </font>
    <font>
      <u/>
      <sz val="12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sz val="11"/>
      <color indexed="8"/>
      <name val="Calibri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0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6" fontId="6" fillId="2" borderId="0" xfId="0" applyNumberFormat="1" applyFont="1" applyFill="1" applyBorder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8" xfId="0" applyFont="1" applyFill="1" applyBorder="1"/>
    <xf numFmtId="0" fontId="7" fillId="2" borderId="0" xfId="0" applyFont="1" applyFill="1" applyBorder="1"/>
    <xf numFmtId="0" fontId="0" fillId="0" borderId="0" xfId="0" applyFill="1" applyBorder="1"/>
    <xf numFmtId="0" fontId="9" fillId="3" borderId="1" xfId="0" applyFont="1" applyFill="1" applyBorder="1"/>
    <xf numFmtId="0" fontId="9" fillId="3" borderId="2" xfId="0" applyFont="1" applyFill="1" applyBorder="1"/>
    <xf numFmtId="0" fontId="9" fillId="3" borderId="3" xfId="0" applyFont="1" applyFill="1" applyBorder="1"/>
    <xf numFmtId="0" fontId="9" fillId="3" borderId="4" xfId="0" applyFont="1" applyFill="1" applyBorder="1"/>
    <xf numFmtId="0" fontId="7" fillId="3" borderId="0" xfId="0" applyFont="1" applyFill="1" applyBorder="1"/>
    <xf numFmtId="0" fontId="9" fillId="3" borderId="0" xfId="0" applyFont="1" applyFill="1" applyBorder="1"/>
    <xf numFmtId="0" fontId="9" fillId="3" borderId="5" xfId="0" applyFont="1" applyFill="1" applyBorder="1"/>
    <xf numFmtId="0" fontId="7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8" xfId="0" applyFont="1" applyFill="1" applyBorder="1"/>
    <xf numFmtId="0" fontId="9" fillId="0" borderId="0" xfId="0" applyFont="1"/>
    <xf numFmtId="38" fontId="6" fillId="2" borderId="0" xfId="0" applyNumberFormat="1" applyFont="1" applyFill="1" applyBorder="1"/>
    <xf numFmtId="0" fontId="7" fillId="2" borderId="7" xfId="0" applyFont="1" applyFill="1" applyBorder="1"/>
    <xf numFmtId="9" fontId="6" fillId="2" borderId="0" xfId="0" applyNumberFormat="1" applyFont="1" applyFill="1" applyBorder="1"/>
    <xf numFmtId="0" fontId="9" fillId="0" borderId="0" xfId="0" applyFont="1" applyFill="1" applyBorder="1"/>
    <xf numFmtId="0" fontId="7" fillId="0" borderId="0" xfId="0" applyFont="1" applyFill="1" applyBorder="1"/>
    <xf numFmtId="164" fontId="7" fillId="3" borderId="0" xfId="0" applyNumberFormat="1" applyFont="1" applyFill="1" applyBorder="1"/>
    <xf numFmtId="164" fontId="10" fillId="3" borderId="0" xfId="0" applyNumberFormat="1" applyFont="1" applyFill="1" applyBorder="1"/>
    <xf numFmtId="8" fontId="7" fillId="3" borderId="0" xfId="0" applyNumberFormat="1" applyFont="1" applyFill="1" applyBorder="1"/>
    <xf numFmtId="8" fontId="7" fillId="0" borderId="0" xfId="0" applyNumberFormat="1" applyFont="1" applyFill="1" applyBorder="1"/>
    <xf numFmtId="6" fontId="7" fillId="0" borderId="0" xfId="0" applyNumberFormat="1" applyFont="1" applyFill="1" applyBorder="1"/>
    <xf numFmtId="165" fontId="10" fillId="0" borderId="0" xfId="0" applyNumberFormat="1" applyFont="1" applyFill="1" applyBorder="1"/>
    <xf numFmtId="0" fontId="8" fillId="0" borderId="0" xfId="0" applyFont="1" applyFill="1" applyBorder="1"/>
    <xf numFmtId="6" fontId="7" fillId="3" borderId="7" xfId="0" applyNumberFormat="1" applyFont="1" applyFill="1" applyBorder="1"/>
    <xf numFmtId="164" fontId="5" fillId="2" borderId="5" xfId="0" applyNumberFormat="1" applyFont="1" applyFill="1" applyBorder="1"/>
    <xf numFmtId="0" fontId="0" fillId="2" borderId="5" xfId="0" applyFill="1" applyBorder="1"/>
    <xf numFmtId="0" fontId="4" fillId="2" borderId="8" xfId="0" applyFont="1" applyFill="1" applyBorder="1"/>
    <xf numFmtId="8" fontId="7" fillId="3" borderId="8" xfId="0" applyNumberFormat="1" applyFont="1" applyFill="1" applyBorder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/>
    <xf numFmtId="0" fontId="4" fillId="0" borderId="0" xfId="0" applyFont="1" applyFill="1" applyBorder="1"/>
    <xf numFmtId="165" fontId="7" fillId="0" borderId="0" xfId="0" applyNumberFormat="1" applyFont="1" applyFill="1" applyBorder="1"/>
    <xf numFmtId="164" fontId="10" fillId="0" borderId="0" xfId="0" applyNumberFormat="1" applyFont="1" applyFill="1" applyBorder="1"/>
    <xf numFmtId="165" fontId="7" fillId="3" borderId="7" xfId="0" applyNumberFormat="1" applyFont="1" applyFill="1" applyBorder="1"/>
    <xf numFmtId="0" fontId="7" fillId="3" borderId="8" xfId="0" applyFont="1" applyFill="1" applyBorder="1"/>
    <xf numFmtId="1" fontId="7" fillId="3" borderId="0" xfId="0" applyNumberFormat="1" applyFont="1" applyFill="1" applyBorder="1"/>
    <xf numFmtId="0" fontId="7" fillId="3" borderId="7" xfId="0" applyFont="1" applyFill="1" applyBorder="1"/>
    <xf numFmtId="6" fontId="10" fillId="3" borderId="0" xfId="0" applyNumberFormat="1" applyFont="1" applyFill="1" applyBorder="1"/>
    <xf numFmtId="8" fontId="7" fillId="3" borderId="7" xfId="0" applyNumberFormat="1" applyFont="1" applyFill="1" applyBorder="1"/>
    <xf numFmtId="0" fontId="0" fillId="3" borderId="0" xfId="0" applyFill="1" applyBorder="1"/>
    <xf numFmtId="10" fontId="0" fillId="0" borderId="0" xfId="0" applyNumberFormat="1"/>
    <xf numFmtId="2" fontId="0" fillId="0" borderId="0" xfId="0" applyNumberFormat="1"/>
    <xf numFmtId="1" fontId="6" fillId="2" borderId="0" xfId="0" applyNumberFormat="1" applyFont="1" applyFill="1" applyBorder="1"/>
    <xf numFmtId="6" fontId="7" fillId="3" borderId="0" xfId="0" applyNumberFormat="1" applyFont="1" applyFill="1" applyBorder="1" applyAlignment="1">
      <alignment horizontal="right"/>
    </xf>
    <xf numFmtId="8" fontId="10" fillId="3" borderId="0" xfId="0" applyNumberFormat="1" applyFont="1" applyFill="1" applyBorder="1"/>
    <xf numFmtId="1" fontId="6" fillId="2" borderId="7" xfId="0" applyNumberFormat="1" applyFont="1" applyFill="1" applyBorder="1"/>
    <xf numFmtId="8" fontId="7" fillId="3" borderId="0" xfId="0" applyNumberFormat="1" applyFont="1" applyFill="1" applyBorder="1" applyAlignment="1">
      <alignment horizontal="right"/>
    </xf>
    <xf numFmtId="6" fontId="7" fillId="3" borderId="7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0" fillId="2" borderId="7" xfId="0" applyFill="1" applyBorder="1"/>
    <xf numFmtId="0" fontId="4" fillId="3" borderId="0" xfId="0" applyFont="1" applyFill="1" applyBorder="1"/>
    <xf numFmtId="164" fontId="7" fillId="3" borderId="7" xfId="0" applyNumberFormat="1" applyFont="1" applyFill="1" applyBorder="1"/>
    <xf numFmtId="0" fontId="7" fillId="3" borderId="1" xfId="0" applyFont="1" applyFill="1" applyBorder="1"/>
    <xf numFmtId="0" fontId="7" fillId="3" borderId="2" xfId="0" applyFont="1" applyFill="1" applyBorder="1"/>
    <xf numFmtId="0" fontId="7" fillId="3" borderId="4" xfId="0" applyFont="1" applyFill="1" applyBorder="1"/>
    <xf numFmtId="0" fontId="7" fillId="3" borderId="6" xfId="0" applyFont="1" applyFill="1" applyBorder="1"/>
    <xf numFmtId="0" fontId="4" fillId="3" borderId="3" xfId="0" applyFont="1" applyFill="1" applyBorder="1"/>
    <xf numFmtId="0" fontId="10" fillId="3" borderId="0" xfId="0" applyFont="1" applyFill="1" applyBorder="1"/>
    <xf numFmtId="0" fontId="11" fillId="3" borderId="0" xfId="0" applyFont="1" applyFill="1" applyBorder="1"/>
    <xf numFmtId="8" fontId="11" fillId="3" borderId="9" xfId="0" applyNumberFormat="1" applyFont="1" applyFill="1" applyBorder="1"/>
    <xf numFmtId="0" fontId="7" fillId="3" borderId="0" xfId="0" applyFont="1" applyFill="1" applyBorder="1" applyAlignment="1">
      <alignment horizontal="center"/>
    </xf>
    <xf numFmtId="164" fontId="10" fillId="3" borderId="0" xfId="0" applyNumberFormat="1" applyFont="1" applyFill="1" applyBorder="1" applyAlignment="1">
      <alignment horizontal="center"/>
    </xf>
    <xf numFmtId="42" fontId="7" fillId="3" borderId="0" xfId="0" applyNumberFormat="1" applyFont="1" applyFill="1" applyBorder="1"/>
    <xf numFmtId="42" fontId="12" fillId="3" borderId="0" xfId="0" applyNumberFormat="1" applyFont="1" applyFill="1" applyBorder="1"/>
    <xf numFmtId="41" fontId="12" fillId="3" borderId="0" xfId="0" applyNumberFormat="1" applyFont="1" applyFill="1" applyBorder="1"/>
    <xf numFmtId="42" fontId="11" fillId="3" borderId="9" xfId="0" applyNumberFormat="1" applyFont="1" applyFill="1" applyBorder="1"/>
    <xf numFmtId="41" fontId="12" fillId="3" borderId="10" xfId="0" applyNumberFormat="1" applyFont="1" applyFill="1" applyBorder="1"/>
    <xf numFmtId="9" fontId="13" fillId="2" borderId="0" xfId="0" applyNumberFormat="1" applyFont="1" applyFill="1" applyBorder="1"/>
    <xf numFmtId="42" fontId="13" fillId="2" borderId="0" xfId="0" applyNumberFormat="1" applyFont="1" applyFill="1" applyBorder="1"/>
    <xf numFmtId="164" fontId="13" fillId="2" borderId="0" xfId="0" applyNumberFormat="1" applyFont="1" applyFill="1" applyBorder="1"/>
    <xf numFmtId="44" fontId="12" fillId="3" borderId="0" xfId="0" applyNumberFormat="1" applyFont="1" applyFill="1" applyBorder="1"/>
    <xf numFmtId="44" fontId="11" fillId="3" borderId="0" xfId="0" applyNumberFormat="1" applyFont="1" applyFill="1" applyBorder="1"/>
    <xf numFmtId="0" fontId="14" fillId="3" borderId="0" xfId="0" applyFont="1" applyFill="1" applyBorder="1" applyAlignment="1">
      <alignment horizontal="right"/>
    </xf>
    <xf numFmtId="164" fontId="14" fillId="3" borderId="0" xfId="0" applyNumberFormat="1" applyFont="1" applyFill="1" applyBorder="1" applyAlignment="1">
      <alignment horizontal="right"/>
    </xf>
    <xf numFmtId="41" fontId="13" fillId="2" borderId="0" xfId="0" applyNumberFormat="1" applyFont="1" applyFill="1" applyBorder="1"/>
    <xf numFmtId="9" fontId="13" fillId="2" borderId="0" xfId="0" applyNumberFormat="1" applyFont="1" applyFill="1" applyBorder="1" applyAlignment="1">
      <alignment horizontal="right"/>
    </xf>
    <xf numFmtId="3" fontId="13" fillId="2" borderId="0" xfId="0" applyNumberFormat="1" applyFont="1" applyFill="1" applyBorder="1"/>
    <xf numFmtId="167" fontId="13" fillId="2" borderId="0" xfId="0" applyNumberFormat="1" applyFont="1" applyFill="1" applyBorder="1"/>
    <xf numFmtId="44" fontId="15" fillId="3" borderId="0" xfId="0" applyNumberFormat="1" applyFont="1" applyFill="1" applyBorder="1"/>
    <xf numFmtId="1" fontId="13" fillId="2" borderId="0" xfId="0" applyNumberFormat="1" applyFont="1" applyFill="1" applyBorder="1"/>
    <xf numFmtId="42" fontId="12" fillId="3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16" fillId="4" borderId="0" xfId="0" applyNumberFormat="1" applyFont="1" applyFill="1" applyBorder="1" applyAlignment="1"/>
    <xf numFmtId="0" fontId="17" fillId="4" borderId="0" xfId="0" applyFont="1" applyFill="1" applyBorder="1"/>
    <xf numFmtId="0" fontId="18" fillId="4" borderId="0" xfId="0" applyFont="1" applyFill="1" applyBorder="1" applyAlignment="1">
      <alignment horizontal="center"/>
    </xf>
    <xf numFmtId="0" fontId="7" fillId="4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21" fillId="4" borderId="0" xfId="0" applyFont="1" applyFill="1" applyBorder="1"/>
    <xf numFmtId="0" fontId="22" fillId="4" borderId="0" xfId="0" applyFont="1" applyFill="1" applyBorder="1"/>
    <xf numFmtId="0" fontId="11" fillId="4" borderId="0" xfId="0" applyFont="1" applyFill="1" applyBorder="1"/>
    <xf numFmtId="0" fontId="0" fillId="4" borderId="0" xfId="0" applyFill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0" fontId="4" fillId="3" borderId="4" xfId="0" applyFont="1" applyFill="1" applyBorder="1"/>
    <xf numFmtId="168" fontId="12" fillId="3" borderId="0" xfId="2" applyNumberFormat="1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0" fontId="4" fillId="3" borderId="7" xfId="0" applyFont="1" applyFill="1" applyBorder="1"/>
    <xf numFmtId="0" fontId="4" fillId="3" borderId="8" xfId="0" applyFont="1" applyFill="1" applyBorder="1"/>
    <xf numFmtId="42" fontId="12" fillId="3" borderId="11" xfId="0" applyNumberFormat="1" applyFont="1" applyFill="1" applyBorder="1"/>
    <xf numFmtId="42" fontId="12" fillId="2" borderId="0" xfId="0" applyNumberFormat="1" applyFont="1" applyFill="1" applyBorder="1"/>
    <xf numFmtId="9" fontId="12" fillId="2" borderId="0" xfId="0" applyNumberFormat="1" applyFont="1" applyFill="1" applyBorder="1" applyAlignment="1">
      <alignment horizontal="right"/>
    </xf>
    <xf numFmtId="41" fontId="12" fillId="2" borderId="0" xfId="0" applyNumberFormat="1" applyFont="1" applyFill="1" applyBorder="1"/>
    <xf numFmtId="44" fontId="11" fillId="3" borderId="9" xfId="0" applyNumberFormat="1" applyFont="1" applyFill="1" applyBorder="1"/>
    <xf numFmtId="9" fontId="12" fillId="2" borderId="0" xfId="0" applyNumberFormat="1" applyFont="1" applyFill="1" applyBorder="1"/>
    <xf numFmtId="164" fontId="12" fillId="2" borderId="0" xfId="0" applyNumberFormat="1" applyFont="1" applyFill="1" applyBorder="1"/>
    <xf numFmtId="0" fontId="7" fillId="3" borderId="0" xfId="0" applyFont="1" applyFill="1" applyBorder="1" applyAlignment="1">
      <alignment horizontal="right"/>
    </xf>
    <xf numFmtId="42" fontId="4" fillId="3" borderId="0" xfId="0" applyNumberFormat="1" applyFont="1" applyFill="1" applyBorder="1" applyAlignment="1">
      <alignment horizontal="right"/>
    </xf>
    <xf numFmtId="10" fontId="11" fillId="3" borderId="9" xfId="0" applyNumberFormat="1" applyFont="1" applyFill="1" applyBorder="1"/>
    <xf numFmtId="6" fontId="14" fillId="3" borderId="0" xfId="0" applyNumberFormat="1" applyFont="1" applyFill="1" applyBorder="1" applyAlignment="1">
      <alignment horizontal="right"/>
    </xf>
    <xf numFmtId="0" fontId="12" fillId="3" borderId="0" xfId="0" applyFont="1" applyFill="1" applyBorder="1"/>
    <xf numFmtId="44" fontId="11" fillId="3" borderId="9" xfId="0" applyNumberFormat="1" applyFont="1" applyFill="1" applyBorder="1" applyAlignment="1">
      <alignment horizontal="right"/>
    </xf>
    <xf numFmtId="41" fontId="12" fillId="3" borderId="0" xfId="0" applyNumberFormat="1" applyFont="1" applyFill="1" applyBorder="1" applyAlignment="1">
      <alignment horizontal="right"/>
    </xf>
    <xf numFmtId="1" fontId="12" fillId="2" borderId="0" xfId="0" applyNumberFormat="1" applyFont="1" applyFill="1" applyBorder="1"/>
    <xf numFmtId="44" fontId="12" fillId="3" borderId="0" xfId="0" applyNumberFormat="1" applyFont="1" applyFill="1" applyBorder="1" applyAlignment="1">
      <alignment horizontal="right"/>
    </xf>
    <xf numFmtId="8" fontId="12" fillId="3" borderId="0" xfId="0" applyNumberFormat="1" applyFont="1" applyFill="1" applyBorder="1" applyAlignment="1">
      <alignment horizontal="right"/>
    </xf>
    <xf numFmtId="8" fontId="12" fillId="3" borderId="0" xfId="0" applyNumberFormat="1" applyFont="1" applyFill="1" applyBorder="1" applyAlignment="1">
      <alignment horizontal="center"/>
    </xf>
    <xf numFmtId="38" fontId="13" fillId="2" borderId="0" xfId="0" applyNumberFormat="1" applyFont="1" applyFill="1" applyBorder="1"/>
    <xf numFmtId="6" fontId="13" fillId="2" borderId="0" xfId="0" applyNumberFormat="1" applyFont="1" applyFill="1" applyBorder="1"/>
    <xf numFmtId="165" fontId="13" fillId="2" borderId="0" xfId="0" applyNumberFormat="1" applyFont="1" applyFill="1" applyBorder="1"/>
    <xf numFmtId="44" fontId="7" fillId="3" borderId="0" xfId="0" applyNumberFormat="1" applyFont="1" applyFill="1" applyBorder="1" applyAlignment="1">
      <alignment horizontal="right"/>
    </xf>
    <xf numFmtId="8" fontId="14" fillId="3" borderId="0" xfId="0" applyNumberFormat="1" applyFont="1" applyFill="1" applyBorder="1" applyAlignment="1">
      <alignment horizontal="right"/>
    </xf>
    <xf numFmtId="44" fontId="12" fillId="2" borderId="0" xfId="0" applyNumberFormat="1" applyFont="1" applyFill="1" applyBorder="1"/>
    <xf numFmtId="38" fontId="12" fillId="2" borderId="0" xfId="0" applyNumberFormat="1" applyFont="1" applyFill="1" applyBorder="1"/>
    <xf numFmtId="6" fontId="12" fillId="2" borderId="0" xfId="0" applyNumberFormat="1" applyFont="1" applyFill="1" applyBorder="1"/>
    <xf numFmtId="9" fontId="13" fillId="2" borderId="0" xfId="6" applyFont="1" applyFill="1" applyBorder="1"/>
    <xf numFmtId="170" fontId="13" fillId="2" borderId="0" xfId="0" applyNumberFormat="1" applyFont="1" applyFill="1" applyBorder="1"/>
    <xf numFmtId="10" fontId="13" fillId="2" borderId="0" xfId="6" applyNumberFormat="1" applyFont="1" applyFill="1" applyBorder="1"/>
    <xf numFmtId="0" fontId="7" fillId="3" borderId="3" xfId="0" applyFont="1" applyFill="1" applyBorder="1"/>
    <xf numFmtId="0" fontId="14" fillId="3" borderId="0" xfId="0" applyFont="1" applyFill="1" applyBorder="1" applyAlignment="1">
      <alignment horizontal="center"/>
    </xf>
    <xf numFmtId="0" fontId="14" fillId="3" borderId="0" xfId="0" applyFont="1" applyFill="1" applyBorder="1"/>
    <xf numFmtId="0" fontId="24" fillId="3" borderId="0" xfId="0" applyFont="1" applyFill="1" applyBorder="1"/>
    <xf numFmtId="42" fontId="12" fillId="3" borderId="11" xfId="0" applyNumberFormat="1" applyFont="1" applyFill="1" applyBorder="1" applyAlignment="1">
      <alignment horizontal="right"/>
    </xf>
    <xf numFmtId="168" fontId="12" fillId="3" borderId="11" xfId="0" applyNumberFormat="1" applyFont="1" applyFill="1" applyBorder="1" applyAlignment="1">
      <alignment horizontal="right"/>
    </xf>
    <xf numFmtId="44" fontId="11" fillId="3" borderId="0" xfId="0" applyNumberFormat="1" applyFont="1" applyFill="1" applyBorder="1" applyAlignment="1">
      <alignment horizontal="right"/>
    </xf>
    <xf numFmtId="10" fontId="11" fillId="3" borderId="9" xfId="6" applyNumberFormat="1" applyFont="1" applyFill="1" applyBorder="1" applyAlignment="1">
      <alignment horizontal="right"/>
    </xf>
    <xf numFmtId="171" fontId="11" fillId="3" borderId="9" xfId="0" applyNumberFormat="1" applyFont="1" applyFill="1" applyBorder="1" applyAlignment="1">
      <alignment horizontal="right"/>
    </xf>
    <xf numFmtId="0" fontId="25" fillId="2" borderId="0" xfId="0" applyFont="1" applyFill="1" applyBorder="1"/>
    <xf numFmtId="44" fontId="26" fillId="2" borderId="0" xfId="2" applyFont="1" applyFill="1" applyBorder="1"/>
    <xf numFmtId="0" fontId="23" fillId="3" borderId="4" xfId="0" applyFont="1" applyFill="1" applyBorder="1"/>
    <xf numFmtId="44" fontId="12" fillId="3" borderId="0" xfId="2" applyFont="1" applyFill="1" applyBorder="1" applyAlignment="1">
      <alignment horizontal="right"/>
    </xf>
    <xf numFmtId="169" fontId="11" fillId="3" borderId="9" xfId="0" applyNumberFormat="1" applyFont="1" applyFill="1" applyBorder="1" applyAlignment="1">
      <alignment horizontal="right"/>
    </xf>
    <xf numFmtId="44" fontId="27" fillId="3" borderId="0" xfId="0" applyNumberFormat="1" applyFont="1" applyFill="1" applyBorder="1" applyAlignment="1">
      <alignment horizontal="right"/>
    </xf>
    <xf numFmtId="44" fontId="11" fillId="3" borderId="9" xfId="2" applyFont="1" applyFill="1" applyBorder="1" applyAlignment="1">
      <alignment horizontal="right"/>
    </xf>
    <xf numFmtId="172" fontId="11" fillId="3" borderId="9" xfId="0" applyNumberFormat="1" applyFont="1" applyFill="1" applyBorder="1"/>
    <xf numFmtId="3" fontId="13" fillId="2" borderId="0" xfId="0" applyNumberFormat="1" applyFont="1" applyFill="1" applyBorder="1" applyAlignment="1">
      <alignment horizontal="right"/>
    </xf>
    <xf numFmtId="0" fontId="6" fillId="2" borderId="2" xfId="0" applyFont="1" applyFill="1" applyBorder="1"/>
    <xf numFmtId="168" fontId="13" fillId="2" borderId="0" xfId="2" applyNumberFormat="1" applyFont="1" applyFill="1" applyBorder="1"/>
    <xf numFmtId="41" fontId="13" fillId="2" borderId="0" xfId="2" applyNumberFormat="1" applyFont="1" applyFill="1" applyBorder="1"/>
    <xf numFmtId="0" fontId="6" fillId="2" borderId="7" xfId="0" applyFont="1" applyFill="1" applyBorder="1"/>
    <xf numFmtId="0" fontId="10" fillId="3" borderId="2" xfId="0" applyFont="1" applyFill="1" applyBorder="1"/>
    <xf numFmtId="0" fontId="0" fillId="3" borderId="3" xfId="0" applyFill="1" applyBorder="1"/>
    <xf numFmtId="0" fontId="0" fillId="3" borderId="5" xfId="0" applyFill="1" applyBorder="1"/>
    <xf numFmtId="0" fontId="3" fillId="3" borderId="4" xfId="0" applyFont="1" applyFill="1" applyBorder="1"/>
    <xf numFmtId="0" fontId="3" fillId="3" borderId="0" xfId="0" applyFont="1" applyFill="1" applyBorder="1"/>
    <xf numFmtId="0" fontId="4" fillId="3" borderId="0" xfId="0" applyFont="1" applyFill="1" applyBorder="1" applyAlignment="1">
      <alignment horizontal="center"/>
    </xf>
    <xf numFmtId="168" fontId="12" fillId="3" borderId="0" xfId="0" applyNumberFormat="1" applyFont="1" applyFill="1" applyBorder="1"/>
    <xf numFmtId="42" fontId="12" fillId="3" borderId="10" xfId="0" applyNumberFormat="1" applyFont="1" applyFill="1" applyBorder="1"/>
    <xf numFmtId="168" fontId="12" fillId="3" borderId="11" xfId="1" applyNumberFormat="1" applyFont="1" applyFill="1" applyBorder="1"/>
    <xf numFmtId="0" fontId="12" fillId="3" borderId="11" xfId="0" applyFont="1" applyFill="1" applyBorder="1"/>
    <xf numFmtId="44" fontId="10" fillId="3" borderId="0" xfId="2" applyFont="1" applyFill="1" applyBorder="1"/>
    <xf numFmtId="44" fontId="12" fillId="3" borderId="0" xfId="1" applyNumberFormat="1" applyFont="1" applyFill="1" applyBorder="1"/>
    <xf numFmtId="44" fontId="11" fillId="3" borderId="9" xfId="1" applyNumberFormat="1" applyFont="1" applyFill="1" applyBorder="1"/>
    <xf numFmtId="43" fontId="10" fillId="3" borderId="0" xfId="1" applyFont="1" applyFill="1" applyBorder="1"/>
    <xf numFmtId="168" fontId="10" fillId="3" borderId="0" xfId="0" applyNumberFormat="1" applyFont="1" applyFill="1" applyBorder="1"/>
    <xf numFmtId="42" fontId="12" fillId="3" borderId="11" xfId="1" applyNumberFormat="1" applyFont="1" applyFill="1" applyBorder="1"/>
    <xf numFmtId="8" fontId="12" fillId="3" borderId="11" xfId="1" applyNumberFormat="1" applyFont="1" applyFill="1" applyBorder="1"/>
    <xf numFmtId="6" fontId="12" fillId="3" borderId="11" xfId="1" applyNumberFormat="1" applyFont="1" applyFill="1" applyBorder="1"/>
    <xf numFmtId="8" fontId="10" fillId="3" borderId="0" xfId="1" applyNumberFormat="1" applyFont="1" applyFill="1" applyBorder="1"/>
    <xf numFmtId="42" fontId="12" fillId="3" borderId="0" xfId="1" applyNumberFormat="1" applyFont="1" applyFill="1" applyBorder="1"/>
    <xf numFmtId="6" fontId="12" fillId="3" borderId="0" xfId="0" applyNumberFormat="1" applyFont="1" applyFill="1" applyBorder="1"/>
    <xf numFmtId="0" fontId="10" fillId="3" borderId="7" xfId="0" applyFont="1" applyFill="1" applyBorder="1"/>
    <xf numFmtId="0" fontId="0" fillId="3" borderId="8" xfId="0" applyFill="1" applyBorder="1"/>
    <xf numFmtId="0" fontId="25" fillId="0" borderId="0" xfId="0" applyFont="1"/>
    <xf numFmtId="0" fontId="29" fillId="3" borderId="4" xfId="0" applyFont="1" applyFill="1" applyBorder="1"/>
    <xf numFmtId="0" fontId="29" fillId="3" borderId="0" xfId="0" applyFont="1" applyFill="1" applyBorder="1"/>
    <xf numFmtId="0" fontId="29" fillId="3" borderId="0" xfId="0" applyFont="1" applyFill="1" applyBorder="1" applyAlignment="1">
      <alignment horizontal="right"/>
    </xf>
    <xf numFmtId="0" fontId="29" fillId="3" borderId="5" xfId="0" applyFont="1" applyFill="1" applyBorder="1"/>
    <xf numFmtId="44" fontId="30" fillId="3" borderId="0" xfId="0" applyNumberFormat="1" applyFont="1" applyFill="1" applyBorder="1" applyAlignment="1">
      <alignment horizontal="right"/>
    </xf>
    <xf numFmtId="42" fontId="30" fillId="3" borderId="0" xfId="0" applyNumberFormat="1" applyFont="1" applyFill="1" applyBorder="1"/>
    <xf numFmtId="44" fontId="30" fillId="3" borderId="0" xfId="0" applyNumberFormat="1" applyFont="1" applyFill="1" applyBorder="1"/>
    <xf numFmtId="0" fontId="29" fillId="3" borderId="0" xfId="0" quotePrefix="1" applyFont="1" applyFill="1" applyBorder="1"/>
    <xf numFmtId="41" fontId="30" fillId="3" borderId="0" xfId="0" applyNumberFormat="1" applyFont="1" applyFill="1" applyBorder="1"/>
    <xf numFmtId="41" fontId="30" fillId="3" borderId="10" xfId="0" applyNumberFormat="1" applyFont="1" applyFill="1" applyBorder="1"/>
    <xf numFmtId="169" fontId="30" fillId="3" borderId="10" xfId="0" applyNumberFormat="1" applyFont="1" applyFill="1" applyBorder="1"/>
    <xf numFmtId="0" fontId="0" fillId="3" borderId="0" xfId="0" applyFill="1"/>
    <xf numFmtId="43" fontId="30" fillId="3" borderId="0" xfId="0" applyNumberFormat="1" applyFont="1" applyFill="1" applyBorder="1"/>
    <xf numFmtId="0" fontId="30" fillId="3" borderId="0" xfId="0" applyFont="1" applyFill="1" applyBorder="1"/>
    <xf numFmtId="0" fontId="25" fillId="3" borderId="5" xfId="0" applyFont="1" applyFill="1" applyBorder="1"/>
    <xf numFmtId="0" fontId="0" fillId="3" borderId="2" xfId="0" applyFill="1" applyBorder="1"/>
    <xf numFmtId="0" fontId="25" fillId="3" borderId="0" xfId="0" applyFont="1" applyFill="1" applyBorder="1" applyAlignment="1">
      <alignment horizontal="right"/>
    </xf>
    <xf numFmtId="0" fontId="25" fillId="3" borderId="0" xfId="0" applyFont="1" applyFill="1" applyBorder="1"/>
    <xf numFmtId="0" fontId="31" fillId="3" borderId="0" xfId="2" applyNumberFormat="1" applyFont="1" applyFill="1" applyBorder="1" applyAlignment="1">
      <alignment horizontal="center"/>
    </xf>
    <xf numFmtId="0" fontId="31" fillId="3" borderId="0" xfId="0" applyNumberFormat="1" applyFont="1" applyFill="1" applyBorder="1" applyAlignment="1">
      <alignment horizontal="center"/>
    </xf>
    <xf numFmtId="0" fontId="12" fillId="3" borderId="0" xfId="0" applyFont="1" applyFill="1" applyBorder="1" applyAlignment="1">
      <alignment horizontal="right"/>
    </xf>
    <xf numFmtId="169" fontId="12" fillId="3" borderId="10" xfId="0" applyNumberFormat="1" applyFont="1" applyFill="1" applyBorder="1" applyAlignment="1">
      <alignment horizontal="right"/>
    </xf>
    <xf numFmtId="172" fontId="12" fillId="3" borderId="0" xfId="0" applyNumberFormat="1" applyFont="1" applyFill="1" applyBorder="1"/>
    <xf numFmtId="172" fontId="12" fillId="2" borderId="0" xfId="0" applyNumberFormat="1" applyFont="1" applyFill="1" applyBorder="1"/>
    <xf numFmtId="0" fontId="7" fillId="3" borderId="0" xfId="0" applyFont="1" applyFill="1" applyBorder="1" applyAlignment="1">
      <alignment horizontal="left"/>
    </xf>
    <xf numFmtId="41" fontId="12" fillId="3" borderId="10" xfId="0" applyNumberFormat="1" applyFont="1" applyFill="1" applyBorder="1" applyAlignment="1">
      <alignment horizontal="right"/>
    </xf>
    <xf numFmtId="0" fontId="24" fillId="2" borderId="0" xfId="0" applyFont="1" applyFill="1" applyBorder="1" applyAlignment="1">
      <alignment horizontal="center"/>
    </xf>
    <xf numFmtId="42" fontId="32" fillId="2" borderId="0" xfId="0" applyNumberFormat="1" applyFont="1" applyFill="1" applyBorder="1" applyAlignment="1">
      <alignment horizontal="center"/>
    </xf>
    <xf numFmtId="42" fontId="13" fillId="2" borderId="0" xfId="0" applyNumberFormat="1" applyFont="1" applyFill="1" applyBorder="1" applyAlignment="1">
      <alignment horizontal="center"/>
    </xf>
    <xf numFmtId="43" fontId="13" fillId="2" borderId="0" xfId="0" applyNumberFormat="1" applyFont="1" applyFill="1" applyBorder="1"/>
    <xf numFmtId="41" fontId="12" fillId="3" borderId="0" xfId="0" applyNumberFormat="1" applyFont="1" applyFill="1" applyBorder="1" applyAlignment="1">
      <alignment horizontal="left"/>
    </xf>
    <xf numFmtId="43" fontId="12" fillId="3" borderId="0" xfId="0" applyNumberFormat="1" applyFont="1" applyFill="1" applyBorder="1"/>
    <xf numFmtId="172" fontId="11" fillId="3" borderId="0" xfId="0" applyNumberFormat="1" applyFont="1" applyFill="1" applyBorder="1"/>
    <xf numFmtId="1" fontId="7" fillId="3" borderId="0" xfId="0" applyNumberFormat="1" applyFont="1" applyFill="1" applyBorder="1" applyAlignment="1">
      <alignment horizontal="center"/>
    </xf>
    <xf numFmtId="166" fontId="13" fillId="2" borderId="0" xfId="0" applyNumberFormat="1" applyFont="1" applyFill="1" applyBorder="1"/>
    <xf numFmtId="165" fontId="7" fillId="3" borderId="0" xfId="0" applyNumberFormat="1" applyFont="1" applyFill="1" applyBorder="1"/>
    <xf numFmtId="165" fontId="10" fillId="3" borderId="7" xfId="0" applyNumberFormat="1" applyFont="1" applyFill="1" applyBorder="1"/>
    <xf numFmtId="0" fontId="8" fillId="3" borderId="8" xfId="0" applyFont="1" applyFill="1" applyBorder="1"/>
    <xf numFmtId="42" fontId="31" fillId="3" borderId="0" xfId="0" applyNumberFormat="1" applyFont="1" applyFill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/>
    <xf numFmtId="0" fontId="3" fillId="2" borderId="2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169" fontId="3" fillId="2" borderId="0" xfId="1" applyNumberFormat="1" applyFont="1" applyFill="1" applyBorder="1" applyAlignment="1">
      <alignment horizontal="right"/>
    </xf>
    <xf numFmtId="0" fontId="10" fillId="0" borderId="0" xfId="0" applyFont="1"/>
    <xf numFmtId="42" fontId="13" fillId="2" borderId="0" xfId="1" applyNumberFormat="1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3" borderId="2" xfId="0" applyFont="1" applyFill="1" applyBorder="1"/>
    <xf numFmtId="0" fontId="6" fillId="3" borderId="0" xfId="0" applyFont="1" applyFill="1" applyBorder="1"/>
    <xf numFmtId="0" fontId="3" fillId="2" borderId="0" xfId="0" applyFont="1" applyFill="1" applyBorder="1" applyAlignment="1">
      <alignment horizontal="right" wrapText="1"/>
    </xf>
    <xf numFmtId="10" fontId="12" fillId="3" borderId="0" xfId="6" applyNumberFormat="1" applyFont="1" applyFill="1" applyBorder="1"/>
    <xf numFmtId="10" fontId="11" fillId="3" borderId="0" xfId="0" applyNumberFormat="1" applyFont="1" applyFill="1" applyBorder="1"/>
    <xf numFmtId="41" fontId="0" fillId="0" borderId="0" xfId="0" applyNumberFormat="1"/>
    <xf numFmtId="41" fontId="5" fillId="2" borderId="4" xfId="0" applyNumberFormat="1" applyFont="1" applyFill="1" applyBorder="1"/>
    <xf numFmtId="41" fontId="5" fillId="2" borderId="5" xfId="0" applyNumberFormat="1" applyFont="1" applyFill="1" applyBorder="1"/>
    <xf numFmtId="0" fontId="7" fillId="2" borderId="0" xfId="0" applyNumberFormat="1" applyFont="1" applyFill="1" applyBorder="1"/>
    <xf numFmtId="44" fontId="13" fillId="2" borderId="0" xfId="6" applyNumberFormat="1" applyFont="1" applyFill="1" applyBorder="1"/>
    <xf numFmtId="44" fontId="13" fillId="2" borderId="0" xfId="0" applyNumberFormat="1" applyFont="1" applyFill="1" applyBorder="1"/>
    <xf numFmtId="42" fontId="30" fillId="3" borderId="0" xfId="0" applyNumberFormat="1" applyFont="1" applyFill="1" applyBorder="1" applyAlignment="1">
      <alignment horizontal="right"/>
    </xf>
    <xf numFmtId="168" fontId="13" fillId="2" borderId="0" xfId="6" applyNumberFormat="1" applyFont="1" applyFill="1" applyBorder="1"/>
    <xf numFmtId="168" fontId="13" fillId="2" borderId="0" xfId="0" applyNumberFormat="1" applyFont="1" applyFill="1" applyBorder="1"/>
    <xf numFmtId="42" fontId="13" fillId="2" borderId="0" xfId="6" applyNumberFormat="1" applyFont="1" applyFill="1" applyBorder="1"/>
    <xf numFmtId="0" fontId="23" fillId="3" borderId="0" xfId="0" applyFont="1" applyFill="1" applyBorder="1"/>
    <xf numFmtId="0" fontId="24" fillId="3" borderId="0" xfId="0" applyFont="1" applyFill="1" applyBorder="1" applyAlignment="1">
      <alignment horizontal="center"/>
    </xf>
    <xf numFmtId="0" fontId="32" fillId="3" borderId="0" xfId="0" applyFont="1" applyFill="1" applyBorder="1" applyAlignment="1">
      <alignment horizontal="center"/>
    </xf>
    <xf numFmtId="0" fontId="30" fillId="3" borderId="10" xfId="0" applyFont="1" applyFill="1" applyBorder="1"/>
    <xf numFmtId="42" fontId="30" fillId="3" borderId="10" xfId="0" applyNumberFormat="1" applyFont="1" applyFill="1" applyBorder="1"/>
    <xf numFmtId="0" fontId="30" fillId="3" borderId="11" xfId="0" applyFont="1" applyFill="1" applyBorder="1"/>
    <xf numFmtId="168" fontId="30" fillId="3" borderId="0" xfId="0" applyNumberFormat="1" applyFont="1" applyFill="1" applyBorder="1"/>
    <xf numFmtId="168" fontId="30" fillId="3" borderId="11" xfId="0" applyNumberFormat="1" applyFont="1" applyFill="1" applyBorder="1"/>
    <xf numFmtId="0" fontId="23" fillId="2" borderId="0" xfId="0" applyFont="1" applyFill="1" applyBorder="1"/>
    <xf numFmtId="42" fontId="13" fillId="2" borderId="0" xfId="0" applyNumberFormat="1" applyFont="1" applyFill="1" applyBorder="1" applyAlignment="1">
      <alignment horizontal="right"/>
    </xf>
    <xf numFmtId="0" fontId="7" fillId="3" borderId="10" xfId="0" applyFont="1" applyFill="1" applyBorder="1"/>
    <xf numFmtId="168" fontId="12" fillId="3" borderId="0" xfId="0" applyNumberFormat="1" applyFont="1" applyFill="1" applyBorder="1" applyAlignment="1">
      <alignment horizontal="right"/>
    </xf>
    <xf numFmtId="168" fontId="33" fillId="3" borderId="0" xfId="0" applyNumberFormat="1" applyFont="1" applyFill="1" applyBorder="1" applyAlignment="1">
      <alignment horizontal="center"/>
    </xf>
    <xf numFmtId="172" fontId="12" fillId="3" borderId="11" xfId="0" applyNumberFormat="1" applyFont="1" applyFill="1" applyBorder="1"/>
    <xf numFmtId="43" fontId="12" fillId="3" borderId="10" xfId="0" applyNumberFormat="1" applyFont="1" applyFill="1" applyBorder="1"/>
    <xf numFmtId="44" fontId="12" fillId="3" borderId="0" xfId="0" applyNumberFormat="1" applyFont="1" applyFill="1" applyBorder="1" applyAlignment="1">
      <alignment horizontal="center"/>
    </xf>
    <xf numFmtId="44" fontId="7" fillId="3" borderId="0" xfId="0" applyNumberFormat="1" applyFont="1" applyFill="1" applyBorder="1" applyAlignment="1">
      <alignment horizontal="center"/>
    </xf>
    <xf numFmtId="41" fontId="13" fillId="2" borderId="0" xfId="6" applyNumberFormat="1" applyFont="1" applyFill="1" applyBorder="1"/>
    <xf numFmtId="44" fontId="12" fillId="3" borderId="0" xfId="0" applyNumberFormat="1" applyFont="1" applyFill="1" applyBorder="1" applyAlignment="1">
      <alignment horizontal="left"/>
    </xf>
    <xf numFmtId="44" fontId="11" fillId="3" borderId="9" xfId="0" applyNumberFormat="1" applyFont="1" applyFill="1" applyBorder="1" applyAlignment="1">
      <alignment horizontal="center"/>
    </xf>
    <xf numFmtId="0" fontId="5" fillId="2" borderId="0" xfId="0" applyFont="1" applyFill="1" applyBorder="1"/>
    <xf numFmtId="41" fontId="13" fillId="2" borderId="0" xfId="0" applyNumberFormat="1" applyFont="1" applyFill="1" applyBorder="1" applyAlignment="1">
      <alignment horizontal="right"/>
    </xf>
    <xf numFmtId="43" fontId="12" fillId="3" borderId="10" xfId="0" applyNumberFormat="1" applyFont="1" applyFill="1" applyBorder="1" applyAlignment="1">
      <alignment horizontal="right"/>
    </xf>
    <xf numFmtId="43" fontId="12" fillId="3" borderId="0" xfId="0" applyNumberFormat="1" applyFont="1" applyFill="1" applyBorder="1" applyAlignment="1">
      <alignment horizontal="right"/>
    </xf>
    <xf numFmtId="44" fontId="9" fillId="3" borderId="0" xfId="0" applyNumberFormat="1" applyFont="1" applyFill="1" applyBorder="1"/>
    <xf numFmtId="168" fontId="12" fillId="3" borderId="11" xfId="0" applyNumberFormat="1" applyFont="1" applyFill="1" applyBorder="1"/>
    <xf numFmtId="169" fontId="12" fillId="3" borderId="0" xfId="0" applyNumberFormat="1" applyFont="1" applyFill="1" applyBorder="1"/>
    <xf numFmtId="44" fontId="4" fillId="3" borderId="0" xfId="0" applyNumberFormat="1" applyFont="1" applyFill="1" applyBorder="1"/>
    <xf numFmtId="0" fontId="23" fillId="3" borderId="0" xfId="0" quotePrefix="1" applyFont="1" applyFill="1" applyBorder="1"/>
    <xf numFmtId="172" fontId="13" fillId="2" borderId="0" xfId="0" applyNumberFormat="1" applyFont="1" applyFill="1" applyBorder="1"/>
    <xf numFmtId="41" fontId="25" fillId="0" borderId="0" xfId="0" applyNumberFormat="1" applyFont="1"/>
    <xf numFmtId="0" fontId="25" fillId="2" borderId="1" xfId="0" applyFont="1" applyFill="1" applyBorder="1"/>
    <xf numFmtId="0" fontId="25" fillId="2" borderId="2" xfId="0" applyFont="1" applyFill="1" applyBorder="1"/>
    <xf numFmtId="0" fontId="25" fillId="2" borderId="3" xfId="0" applyFont="1" applyFill="1" applyBorder="1"/>
    <xf numFmtId="0" fontId="25" fillId="2" borderId="4" xfId="0" applyFont="1" applyFill="1" applyBorder="1"/>
    <xf numFmtId="42" fontId="26" fillId="2" borderId="0" xfId="0" applyNumberFormat="1" applyFont="1" applyFill="1" applyBorder="1"/>
    <xf numFmtId="0" fontId="25" fillId="2" borderId="5" xfId="0" applyFont="1" applyFill="1" applyBorder="1"/>
    <xf numFmtId="41" fontId="26" fillId="2" borderId="0" xfId="0" applyNumberFormat="1" applyFont="1" applyFill="1" applyBorder="1"/>
    <xf numFmtId="41" fontId="25" fillId="2" borderId="5" xfId="0" applyNumberFormat="1" applyFont="1" applyFill="1" applyBorder="1"/>
    <xf numFmtId="9" fontId="26" fillId="2" borderId="0" xfId="6" applyFont="1" applyFill="1" applyBorder="1"/>
    <xf numFmtId="9" fontId="26" fillId="2" borderId="0" xfId="6" applyNumberFormat="1" applyFont="1" applyFill="1" applyBorder="1"/>
    <xf numFmtId="0" fontId="25" fillId="2" borderId="6" xfId="0" applyFont="1" applyFill="1" applyBorder="1"/>
    <xf numFmtId="0" fontId="25" fillId="2" borderId="7" xfId="0" applyFont="1" applyFill="1" applyBorder="1"/>
    <xf numFmtId="9" fontId="25" fillId="2" borderId="7" xfId="6" applyNumberFormat="1" applyFont="1" applyFill="1" applyBorder="1"/>
    <xf numFmtId="0" fontId="25" fillId="2" borderId="8" xfId="0" applyFont="1" applyFill="1" applyBorder="1"/>
    <xf numFmtId="42" fontId="26" fillId="2" borderId="0" xfId="6" applyNumberFormat="1" applyFont="1" applyFill="1" applyBorder="1"/>
    <xf numFmtId="0" fontId="25" fillId="3" borderId="1" xfId="0" applyFont="1" applyFill="1" applyBorder="1"/>
    <xf numFmtId="0" fontId="3" fillId="3" borderId="2" xfId="0" applyFont="1" applyFill="1" applyBorder="1"/>
    <xf numFmtId="0" fontId="25" fillId="3" borderId="2" xfId="0" applyFont="1" applyFill="1" applyBorder="1"/>
    <xf numFmtId="0" fontId="25" fillId="3" borderId="4" xfId="0" applyFont="1" applyFill="1" applyBorder="1"/>
    <xf numFmtId="0" fontId="34" fillId="3" borderId="0" xfId="0" applyFont="1" applyFill="1" applyBorder="1" applyAlignment="1">
      <alignment horizontal="center"/>
    </xf>
    <xf numFmtId="0" fontId="25" fillId="3" borderId="0" xfId="0" quotePrefix="1" applyFont="1" applyFill="1" applyBorder="1"/>
    <xf numFmtId="0" fontId="25" fillId="3" borderId="6" xfId="0" applyFont="1" applyFill="1" applyBorder="1"/>
    <xf numFmtId="0" fontId="25" fillId="3" borderId="7" xfId="0" applyFont="1" applyFill="1" applyBorder="1"/>
    <xf numFmtId="9" fontId="13" fillId="2" borderId="0" xfId="6" applyFont="1" applyFill="1" applyBorder="1" applyAlignment="1">
      <alignment horizontal="right"/>
    </xf>
    <xf numFmtId="172" fontId="13" fillId="2" borderId="0" xfId="6" applyNumberFormat="1" applyFont="1" applyFill="1" applyBorder="1"/>
    <xf numFmtId="41" fontId="6" fillId="2" borderId="0" xfId="0" applyNumberFormat="1" applyFont="1" applyFill="1" applyBorder="1"/>
    <xf numFmtId="41" fontId="5" fillId="2" borderId="0" xfId="0" applyNumberFormat="1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41" fontId="0" fillId="2" borderId="0" xfId="0" applyNumberFormat="1" applyFill="1" applyBorder="1"/>
    <xf numFmtId="0" fontId="0" fillId="2" borderId="8" xfId="0" applyFill="1" applyBorder="1"/>
    <xf numFmtId="0" fontId="23" fillId="2" borderId="0" xfId="0" applyFont="1" applyFill="1" applyBorder="1" applyAlignment="1">
      <alignment horizontal="right"/>
    </xf>
    <xf numFmtId="42" fontId="23" fillId="2" borderId="0" xfId="0" applyNumberFormat="1" applyFont="1" applyFill="1" applyBorder="1" applyAlignment="1">
      <alignment horizontal="right"/>
    </xf>
    <xf numFmtId="169" fontId="12" fillId="3" borderId="0" xfId="0" applyNumberFormat="1" applyFont="1" applyFill="1" applyBorder="1" applyAlignment="1">
      <alignment horizontal="right"/>
    </xf>
    <xf numFmtId="0" fontId="12" fillId="3" borderId="0" xfId="2" applyNumberFormat="1" applyFont="1" applyFill="1" applyBorder="1" applyAlignment="1">
      <alignment horizontal="center"/>
    </xf>
    <xf numFmtId="44" fontId="35" fillId="3" borderId="0" xfId="0" applyNumberFormat="1" applyFont="1" applyFill="1" applyBorder="1" applyAlignment="1">
      <alignment horizontal="right"/>
    </xf>
    <xf numFmtId="44" fontId="13" fillId="2" borderId="0" xfId="0" applyNumberFormat="1" applyFont="1" applyFill="1" applyBorder="1" applyAlignment="1">
      <alignment horizontal="right"/>
    </xf>
    <xf numFmtId="44" fontId="33" fillId="3" borderId="0" xfId="0" applyNumberFormat="1" applyFont="1" applyFill="1" applyBorder="1" applyAlignment="1">
      <alignment horizontal="right"/>
    </xf>
    <xf numFmtId="0" fontId="33" fillId="3" borderId="0" xfId="0" applyFont="1" applyFill="1" applyBorder="1" applyAlignment="1">
      <alignment horizontal="right"/>
    </xf>
    <xf numFmtId="8" fontId="11" fillId="3" borderId="0" xfId="0" applyNumberFormat="1" applyFont="1" applyFill="1" applyBorder="1" applyAlignment="1">
      <alignment horizontal="left"/>
    </xf>
    <xf numFmtId="0" fontId="23" fillId="3" borderId="0" xfId="0" applyFont="1" applyFill="1" applyBorder="1" applyAlignment="1">
      <alignment horizontal="right"/>
    </xf>
    <xf numFmtId="0" fontId="23" fillId="3" borderId="0" xfId="0" applyFont="1" applyFill="1" applyBorder="1" applyAlignment="1">
      <alignment horizontal="right" wrapText="1"/>
    </xf>
    <xf numFmtId="0" fontId="12" fillId="3" borderId="10" xfId="0" applyFont="1" applyFill="1" applyBorder="1"/>
    <xf numFmtId="0" fontId="36" fillId="3" borderId="0" xfId="0" applyFont="1" applyFill="1" applyBorder="1"/>
    <xf numFmtId="0" fontId="37" fillId="3" borderId="0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42" fontId="12" fillId="3" borderId="0" xfId="0" applyNumberFormat="1" applyFont="1" applyFill="1" applyBorder="1" applyAlignment="1">
      <alignment horizontal="center"/>
    </xf>
    <xf numFmtId="41" fontId="12" fillId="3" borderId="0" xfId="0" applyNumberFormat="1" applyFont="1" applyFill="1" applyBorder="1" applyAlignment="1">
      <alignment horizontal="center"/>
    </xf>
    <xf numFmtId="44" fontId="0" fillId="0" borderId="0" xfId="0" applyNumberFormat="1"/>
    <xf numFmtId="0" fontId="23" fillId="3" borderId="0" xfId="0" applyFont="1" applyFill="1" applyBorder="1" applyAlignment="1">
      <alignment horizontal="left"/>
    </xf>
    <xf numFmtId="173" fontId="23" fillId="3" borderId="0" xfId="2" applyNumberFormat="1" applyFont="1" applyFill="1" applyBorder="1"/>
    <xf numFmtId="173" fontId="23" fillId="3" borderId="0" xfId="0" applyNumberFormat="1" applyFont="1" applyFill="1" applyBorder="1"/>
    <xf numFmtId="0" fontId="0" fillId="3" borderId="4" xfId="0" applyFill="1" applyBorder="1"/>
    <xf numFmtId="0" fontId="0" fillId="3" borderId="6" xfId="0" applyFill="1" applyBorder="1"/>
    <xf numFmtId="0" fontId="0" fillId="3" borderId="7" xfId="0" applyFill="1" applyBorder="1"/>
    <xf numFmtId="174" fontId="13" fillId="2" borderId="0" xfId="6" applyNumberFormat="1" applyFont="1" applyFill="1" applyBorder="1"/>
    <xf numFmtId="0" fontId="38" fillId="4" borderId="0" xfId="0" applyFont="1" applyFill="1" applyBorder="1"/>
    <xf numFmtId="172" fontId="12" fillId="3" borderId="0" xfId="0" applyNumberFormat="1" applyFont="1" applyFill="1" applyBorder="1" applyAlignment="1">
      <alignment horizontal="right"/>
    </xf>
    <xf numFmtId="41" fontId="39" fillId="2" borderId="0" xfId="0" applyNumberFormat="1" applyFont="1" applyFill="1" applyBorder="1"/>
    <xf numFmtId="44" fontId="29" fillId="3" borderId="0" xfId="0" applyNumberFormat="1" applyFont="1" applyFill="1" applyBorder="1"/>
    <xf numFmtId="0" fontId="1" fillId="0" borderId="0" xfId="4"/>
    <xf numFmtId="0" fontId="2" fillId="0" borderId="0" xfId="4" applyFont="1"/>
    <xf numFmtId="0" fontId="4" fillId="0" borderId="0" xfId="4" applyFont="1"/>
    <xf numFmtId="0" fontId="3" fillId="0" borderId="0" xfId="4" applyFont="1"/>
    <xf numFmtId="0" fontId="5" fillId="2" borderId="1" xfId="4" applyFont="1" applyFill="1" applyBorder="1"/>
    <xf numFmtId="0" fontId="5" fillId="2" borderId="2" xfId="4" applyFont="1" applyFill="1" applyBorder="1"/>
    <xf numFmtId="0" fontId="5" fillId="2" borderId="3" xfId="4" applyFont="1" applyFill="1" applyBorder="1"/>
    <xf numFmtId="0" fontId="5" fillId="2" borderId="4" xfId="4" applyFont="1" applyFill="1" applyBorder="1"/>
    <xf numFmtId="0" fontId="7" fillId="2" borderId="0" xfId="4" applyFont="1" applyFill="1" applyBorder="1"/>
    <xf numFmtId="42" fontId="13" fillId="2" borderId="0" xfId="4" applyNumberFormat="1" applyFont="1" applyFill="1" applyBorder="1"/>
    <xf numFmtId="0" fontId="5" fillId="2" borderId="5" xfId="4" applyFont="1" applyFill="1" applyBorder="1"/>
    <xf numFmtId="41" fontId="13" fillId="2" borderId="0" xfId="4" applyNumberFormat="1" applyFont="1" applyFill="1" applyBorder="1"/>
    <xf numFmtId="0" fontId="5" fillId="2" borderId="6" xfId="4" applyFont="1" applyFill="1" applyBorder="1"/>
    <xf numFmtId="0" fontId="7" fillId="2" borderId="7" xfId="4" applyFont="1" applyFill="1" applyBorder="1"/>
    <xf numFmtId="1" fontId="6" fillId="2" borderId="7" xfId="4" applyNumberFormat="1" applyFont="1" applyFill="1" applyBorder="1"/>
    <xf numFmtId="0" fontId="5" fillId="2" borderId="8" xfId="4" applyFont="1" applyFill="1" applyBorder="1"/>
    <xf numFmtId="0" fontId="9" fillId="3" borderId="1" xfId="4" applyFont="1" applyFill="1" applyBorder="1"/>
    <xf numFmtId="0" fontId="9" fillId="3" borderId="2" xfId="4" applyFont="1" applyFill="1" applyBorder="1"/>
    <xf numFmtId="0" fontId="9" fillId="3" borderId="3" xfId="4" applyFont="1" applyFill="1" applyBorder="1"/>
    <xf numFmtId="0" fontId="9" fillId="0" borderId="0" xfId="4" applyFont="1" applyFill="1" applyBorder="1"/>
    <xf numFmtId="0" fontId="9" fillId="3" borderId="4" xfId="4" applyFont="1" applyFill="1" applyBorder="1"/>
    <xf numFmtId="0" fontId="23" fillId="3" borderId="0" xfId="4" applyFont="1" applyFill="1" applyBorder="1"/>
    <xf numFmtId="0" fontId="9" fillId="3" borderId="0" xfId="4" applyFont="1" applyFill="1" applyBorder="1"/>
    <xf numFmtId="0" fontId="9" fillId="3" borderId="5" xfId="4" applyFont="1" applyFill="1" applyBorder="1"/>
    <xf numFmtId="0" fontId="7" fillId="3" borderId="0" xfId="4" applyFont="1" applyFill="1" applyBorder="1"/>
    <xf numFmtId="42" fontId="12" fillId="3" borderId="0" xfId="4" applyNumberFormat="1" applyFont="1" applyFill="1" applyBorder="1"/>
    <xf numFmtId="41" fontId="12" fillId="3" borderId="10" xfId="4" applyNumberFormat="1" applyFont="1" applyFill="1" applyBorder="1"/>
    <xf numFmtId="0" fontId="24" fillId="3" borderId="0" xfId="4" applyFont="1" applyFill="1" applyBorder="1" applyAlignment="1">
      <alignment horizontal="center"/>
    </xf>
    <xf numFmtId="41" fontId="12" fillId="3" borderId="0" xfId="4" applyNumberFormat="1" applyFont="1" applyFill="1" applyBorder="1"/>
    <xf numFmtId="42" fontId="12" fillId="3" borderId="11" xfId="4" applyNumberFormat="1" applyFont="1" applyFill="1" applyBorder="1"/>
    <xf numFmtId="41" fontId="7" fillId="3" borderId="0" xfId="4" applyNumberFormat="1" applyFont="1" applyFill="1" applyBorder="1"/>
    <xf numFmtId="41" fontId="7" fillId="3" borderId="10" xfId="4" applyNumberFormat="1" applyFont="1" applyFill="1" applyBorder="1"/>
    <xf numFmtId="168" fontId="12" fillId="3" borderId="0" xfId="4" applyNumberFormat="1" applyFont="1" applyFill="1" applyBorder="1"/>
    <xf numFmtId="44" fontId="11" fillId="3" borderId="9" xfId="4" applyNumberFormat="1" applyFont="1" applyFill="1" applyBorder="1"/>
    <xf numFmtId="0" fontId="9" fillId="3" borderId="6" xfId="4" applyFont="1" applyFill="1" applyBorder="1"/>
    <xf numFmtId="0" fontId="7" fillId="3" borderId="7" xfId="4" applyFont="1" applyFill="1" applyBorder="1"/>
    <xf numFmtId="0" fontId="9" fillId="3" borderId="8" xfId="4" applyFont="1" applyFill="1" applyBorder="1"/>
    <xf numFmtId="0" fontId="1" fillId="0" borderId="0" xfId="4" applyFill="1" applyBorder="1"/>
    <xf numFmtId="0" fontId="9" fillId="0" borderId="0" xfId="4" applyFont="1"/>
    <xf numFmtId="42" fontId="39" fillId="2" borderId="0" xfId="6" applyNumberFormat="1" applyFont="1" applyFill="1" applyBorder="1"/>
    <xf numFmtId="169" fontId="12" fillId="3" borderId="10" xfId="0" applyNumberFormat="1" applyFont="1" applyFill="1" applyBorder="1"/>
    <xf numFmtId="169" fontId="7" fillId="3" borderId="10" xfId="0" applyNumberFormat="1" applyFont="1" applyFill="1" applyBorder="1"/>
    <xf numFmtId="168" fontId="39" fillId="2" borderId="0" xfId="2" applyNumberFormat="1" applyFont="1" applyFill="1" applyBorder="1"/>
    <xf numFmtId="44" fontId="11" fillId="3" borderId="9" xfId="2" applyFont="1" applyFill="1" applyBorder="1"/>
    <xf numFmtId="172" fontId="39" fillId="2" borderId="0" xfId="0" applyNumberFormat="1" applyFont="1" applyFill="1" applyBorder="1"/>
    <xf numFmtId="44" fontId="39" fillId="3" borderId="0" xfId="0" applyNumberFormat="1" applyFont="1" applyFill="1" applyBorder="1"/>
    <xf numFmtId="42" fontId="0" fillId="0" borderId="0" xfId="0" applyNumberFormat="1"/>
    <xf numFmtId="41" fontId="7" fillId="3" borderId="10" xfId="0" applyNumberFormat="1" applyFont="1" applyFill="1" applyBorder="1"/>
    <xf numFmtId="175" fontId="0" fillId="0" borderId="0" xfId="0" applyNumberFormat="1"/>
    <xf numFmtId="10" fontId="26" fillId="2" borderId="0" xfId="6" applyNumberFormat="1" applyFont="1" applyFill="1" applyBorder="1"/>
  </cellXfs>
  <cellStyles count="9">
    <cellStyle name="Comma" xfId="1" builtinId="3"/>
    <cellStyle name="Currency" xfId="2" builtinId="4"/>
    <cellStyle name="Currency 2" xfId="3"/>
    <cellStyle name="Normal" xfId="0" builtinId="0"/>
    <cellStyle name="Normal 2" xfId="4"/>
    <cellStyle name="Normal 3" xfId="5"/>
    <cellStyle name="Percent" xfId="6" builtinId="5"/>
    <cellStyle name="Percent 2" xfId="7"/>
    <cellStyle name="Percent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100"/>
    <col min="4" max="4" width="42.5703125" style="100" customWidth="1"/>
    <col min="5" max="16384" width="9.140625" style="100"/>
  </cols>
  <sheetData>
    <row r="1" spans="1:29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</row>
    <row r="2" spans="1:29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</row>
    <row r="3" spans="1:29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</row>
    <row r="4" spans="1:29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</row>
    <row r="5" spans="1:29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</row>
    <row r="6" spans="1:29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</row>
    <row r="7" spans="1:29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</row>
    <row r="8" spans="1:29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</row>
    <row r="9" spans="1:29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</row>
    <row r="10" spans="1:29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</row>
    <row r="11" spans="1:29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</row>
    <row r="12" spans="1:29" ht="59.25">
      <c r="A12" s="98"/>
      <c r="B12" s="98"/>
      <c r="C12" s="98"/>
      <c r="D12" s="101" t="s">
        <v>436</v>
      </c>
      <c r="E12" s="98"/>
      <c r="F12" s="102"/>
      <c r="G12" s="98"/>
      <c r="H12" s="98"/>
      <c r="I12" s="98"/>
      <c r="J12" s="98"/>
      <c r="K12" s="98"/>
      <c r="L12" s="98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</row>
    <row r="13" spans="1:29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</row>
    <row r="14" spans="1:29" ht="23.25">
      <c r="A14" s="98"/>
      <c r="B14" s="98"/>
      <c r="C14" s="98"/>
      <c r="D14" s="103" t="s">
        <v>439</v>
      </c>
      <c r="E14" s="98"/>
      <c r="F14" s="98"/>
      <c r="G14" s="98"/>
      <c r="H14" s="98"/>
      <c r="I14" s="98"/>
      <c r="J14" s="98"/>
      <c r="K14" s="98"/>
      <c r="L14" s="98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</row>
    <row r="15" spans="1:29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</row>
    <row r="16" spans="1:29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</row>
    <row r="17" spans="1:29" ht="15">
      <c r="A17" s="98"/>
      <c r="B17" s="98"/>
      <c r="C17" s="98"/>
      <c r="D17" s="104"/>
      <c r="E17" s="98"/>
      <c r="F17" s="98"/>
      <c r="G17" s="98"/>
      <c r="H17" s="98"/>
      <c r="I17" s="98"/>
      <c r="J17" s="98"/>
      <c r="K17" s="98"/>
      <c r="L17" s="98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</row>
    <row r="18" spans="1:29" ht="15.75">
      <c r="A18" s="98"/>
      <c r="B18" s="98"/>
      <c r="C18" s="98"/>
      <c r="D18" s="105" t="s">
        <v>74</v>
      </c>
      <c r="E18" s="98"/>
      <c r="F18" s="98"/>
      <c r="G18" s="98"/>
      <c r="H18" s="98"/>
      <c r="I18" s="98"/>
      <c r="J18" s="98"/>
      <c r="K18" s="98"/>
      <c r="L18" s="98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</row>
    <row r="19" spans="1:29" ht="15.75">
      <c r="A19" s="98"/>
      <c r="B19" s="98"/>
      <c r="C19" s="98"/>
      <c r="D19" s="106" t="s">
        <v>75</v>
      </c>
      <c r="E19" s="98"/>
      <c r="F19" s="98"/>
      <c r="G19" s="98"/>
      <c r="H19" s="98"/>
      <c r="I19" s="98"/>
      <c r="J19" s="98"/>
      <c r="K19" s="98"/>
      <c r="L19" s="98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</row>
    <row r="20" spans="1:29" ht="15.75">
      <c r="A20" s="98"/>
      <c r="B20" s="98"/>
      <c r="C20" s="98"/>
      <c r="D20" s="107" t="s">
        <v>76</v>
      </c>
      <c r="E20" s="98"/>
      <c r="F20" s="98"/>
      <c r="G20" s="98"/>
      <c r="H20" s="98"/>
      <c r="I20" s="98"/>
      <c r="J20" s="98"/>
      <c r="K20" s="98"/>
      <c r="L20" s="98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</row>
    <row r="21" spans="1:29" ht="15.75">
      <c r="A21" s="98"/>
      <c r="B21" s="98"/>
      <c r="C21" s="98"/>
      <c r="D21" s="108" t="s">
        <v>77</v>
      </c>
      <c r="E21" s="98"/>
      <c r="F21" s="98"/>
      <c r="G21" s="98"/>
      <c r="H21" s="98"/>
      <c r="I21" s="98"/>
      <c r="J21" s="98"/>
      <c r="K21" s="98"/>
      <c r="L21" s="98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</row>
    <row r="22" spans="1:29" ht="15.75">
      <c r="A22" s="98"/>
      <c r="B22" s="98"/>
      <c r="C22" s="98"/>
      <c r="D22" s="109" t="s">
        <v>78</v>
      </c>
      <c r="E22" s="98"/>
      <c r="F22" s="98"/>
      <c r="G22" s="98"/>
      <c r="H22" s="98"/>
      <c r="I22" s="98"/>
      <c r="J22" s="98"/>
      <c r="K22" s="98"/>
      <c r="L22" s="98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</row>
    <row r="23" spans="1:29" ht="15">
      <c r="A23" s="98"/>
      <c r="B23" s="98"/>
      <c r="C23" s="98"/>
      <c r="D23" s="104"/>
      <c r="E23" s="98"/>
      <c r="F23" s="98"/>
      <c r="G23" s="98"/>
      <c r="H23" s="98"/>
      <c r="I23" s="98"/>
      <c r="J23" s="98"/>
      <c r="K23" s="98"/>
      <c r="L23" s="98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</row>
    <row r="24" spans="1:29">
      <c r="A24" s="98"/>
      <c r="B24" s="98"/>
      <c r="C24" s="98"/>
      <c r="D24" s="354" t="s">
        <v>432</v>
      </c>
      <c r="E24" s="98"/>
      <c r="F24" s="98"/>
      <c r="G24" s="98"/>
      <c r="H24" s="98"/>
      <c r="I24" s="98"/>
      <c r="J24" s="98"/>
      <c r="K24" s="98"/>
      <c r="L24" s="98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</row>
    <row r="25" spans="1:29">
      <c r="A25" s="98"/>
      <c r="B25" s="98"/>
      <c r="C25" s="98"/>
      <c r="D25" s="354" t="s">
        <v>433</v>
      </c>
      <c r="E25" s="98"/>
      <c r="F25" s="98"/>
      <c r="G25" s="98"/>
      <c r="H25" s="98"/>
      <c r="I25" s="98"/>
      <c r="J25" s="98"/>
      <c r="K25" s="98"/>
      <c r="L25" s="98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</row>
    <row r="26" spans="1:29">
      <c r="A26" s="98"/>
      <c r="B26" s="98"/>
      <c r="C26" s="98"/>
      <c r="D26" s="354" t="s">
        <v>434</v>
      </c>
      <c r="E26" s="98"/>
      <c r="F26" s="98"/>
      <c r="G26" s="98"/>
      <c r="H26" s="98"/>
      <c r="I26" s="98"/>
      <c r="J26" s="98"/>
      <c r="K26" s="98"/>
      <c r="L26" s="98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</row>
    <row r="27" spans="1:29">
      <c r="A27" s="98"/>
      <c r="B27" s="98"/>
      <c r="C27" s="98"/>
      <c r="D27" s="354" t="s">
        <v>435</v>
      </c>
      <c r="E27" s="98"/>
      <c r="F27" s="98"/>
      <c r="G27" s="98"/>
      <c r="H27" s="98"/>
      <c r="I27" s="98"/>
      <c r="J27" s="98"/>
      <c r="K27" s="98"/>
      <c r="L27" s="98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</row>
    <row r="28" spans="1:29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</row>
    <row r="29" spans="1:29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</row>
    <row r="30" spans="1:29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</row>
    <row r="31" spans="1:29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</row>
    <row r="32" spans="1:29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</row>
    <row r="33" spans="1:29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</row>
    <row r="34" spans="1:29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</row>
    <row r="35" spans="1:29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</row>
    <row r="36" spans="1:29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</row>
    <row r="37" spans="1:29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</row>
    <row r="38" spans="1:29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</row>
    <row r="39" spans="1:29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</row>
    <row r="40" spans="1:29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</row>
    <row r="41" spans="1:29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</row>
    <row r="42" spans="1:29">
      <c r="A42" s="110"/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</row>
    <row r="43" spans="1:29">
      <c r="A43" s="110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</row>
    <row r="44" spans="1:29">
      <c r="A44" s="110"/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</row>
    <row r="45" spans="1:29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</row>
    <row r="46" spans="1:29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</row>
    <row r="47" spans="1:29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</row>
    <row r="48" spans="1:29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</row>
    <row r="49" spans="1:12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</row>
    <row r="50" spans="1:12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</row>
    <row r="51" spans="1:12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</row>
    <row r="52" spans="1:12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</row>
    <row r="53" spans="1:12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</row>
    <row r="54" spans="1:12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</row>
    <row r="55" spans="1:12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</row>
    <row r="56" spans="1:12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</row>
    <row r="57" spans="1:12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</row>
    <row r="58" spans="1:12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</row>
    <row r="59" spans="1:12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</row>
    <row r="60" spans="1:12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</row>
    <row r="61" spans="1:12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</row>
    <row r="62" spans="1:12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</row>
    <row r="63" spans="1:12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</row>
    <row r="64" spans="1:12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</row>
    <row r="65" spans="1:12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</row>
    <row r="66" spans="1:12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</row>
    <row r="67" spans="1:12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</row>
    <row r="68" spans="1:12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</row>
    <row r="69" spans="1:12">
      <c r="A69" s="110"/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</row>
    <row r="70" spans="1:12">
      <c r="A70" s="11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</row>
    <row r="71" spans="1:12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</row>
    <row r="72" spans="1:12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</row>
    <row r="73" spans="1:12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</row>
    <row r="74" spans="1:12">
      <c r="A74" s="11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</row>
    <row r="75" spans="1:12">
      <c r="A75" s="110"/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</row>
    <row r="76" spans="1:12">
      <c r="A76" s="110"/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</row>
    <row r="77" spans="1:12">
      <c r="A77" s="110"/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</row>
    <row r="78" spans="1:12">
      <c r="A78" s="110"/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</row>
    <row r="79" spans="1:12">
      <c r="A79" s="110"/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</row>
    <row r="80" spans="1:12">
      <c r="A80" s="110"/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</row>
    <row r="81" spans="1:12">
      <c r="A81" s="110"/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</row>
    <row r="82" spans="1:12">
      <c r="A82" s="110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</row>
    <row r="83" spans="1:12">
      <c r="A83" s="110"/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</row>
    <row r="84" spans="1:12">
      <c r="A84" s="110"/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</row>
    <row r="85" spans="1:12">
      <c r="A85" s="11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</row>
    <row r="86" spans="1:12">
      <c r="A86" s="110"/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</row>
    <row r="87" spans="1:12">
      <c r="A87" s="110"/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</row>
    <row r="88" spans="1:12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</row>
    <row r="89" spans="1:12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</row>
    <row r="90" spans="1:12">
      <c r="A90" s="110"/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</row>
    <row r="91" spans="1:12">
      <c r="A91" s="110"/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</row>
    <row r="92" spans="1:12">
      <c r="A92" s="110"/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</row>
    <row r="93" spans="1:12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</row>
    <row r="94" spans="1:12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</row>
    <row r="95" spans="1:12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</row>
    <row r="96" spans="1:12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</row>
    <row r="97" spans="1:12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</row>
    <row r="98" spans="1:12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</row>
    <row r="99" spans="1:12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</row>
    <row r="100" spans="1:12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</row>
    <row r="101" spans="1:12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</row>
    <row r="102" spans="1:12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</row>
    <row r="103" spans="1:12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</row>
    <row r="104" spans="1:12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</row>
    <row r="105" spans="1:12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</row>
    <row r="106" spans="1:12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H49"/>
  <sheetViews>
    <sheetView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8" max="8" width="3.140625" customWidth="1"/>
  </cols>
  <sheetData>
    <row r="1" spans="2:7" ht="18" customHeight="1">
      <c r="C1" s="1" t="s">
        <v>436</v>
      </c>
    </row>
    <row r="2" spans="2:7" ht="15.75" customHeight="1">
      <c r="C2" s="3" t="s">
        <v>198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31</v>
      </c>
      <c r="D7" s="85">
        <v>3800000</v>
      </c>
      <c r="E7" s="9"/>
      <c r="G7" s="57"/>
    </row>
    <row r="8" spans="2:7" ht="15.75" customHeight="1">
      <c r="B8" s="8"/>
      <c r="C8" s="13" t="s">
        <v>10</v>
      </c>
      <c r="D8" s="85">
        <v>2500000</v>
      </c>
      <c r="E8" s="9"/>
      <c r="G8" s="57"/>
    </row>
    <row r="9" spans="2:7" ht="15.75" customHeight="1">
      <c r="B9" s="8"/>
      <c r="C9" s="13" t="s">
        <v>34</v>
      </c>
      <c r="D9" s="96"/>
      <c r="E9" s="9"/>
      <c r="G9" s="57"/>
    </row>
    <row r="10" spans="2:7" ht="15.75" customHeight="1">
      <c r="B10" s="8"/>
      <c r="C10" s="13" t="s">
        <v>36</v>
      </c>
      <c r="D10" s="91">
        <v>4</v>
      </c>
      <c r="E10" s="9"/>
      <c r="G10" s="57"/>
    </row>
    <row r="11" spans="2:7" ht="15.75" customHeight="1">
      <c r="B11" s="8"/>
      <c r="C11" s="13" t="s">
        <v>199</v>
      </c>
      <c r="D11" s="153">
        <v>0.25</v>
      </c>
      <c r="E11" s="9"/>
    </row>
    <row r="12" spans="2:7" ht="15.75" customHeight="1">
      <c r="B12" s="8"/>
      <c r="C12" s="13" t="s">
        <v>91</v>
      </c>
      <c r="D12" s="85">
        <v>150000</v>
      </c>
      <c r="E12" s="9"/>
    </row>
    <row r="13" spans="2:7" ht="15.75" customHeight="1">
      <c r="B13" s="8"/>
      <c r="C13" s="13" t="s">
        <v>6</v>
      </c>
      <c r="D13" s="84">
        <v>0.35</v>
      </c>
      <c r="E13" s="9"/>
    </row>
    <row r="14" spans="2:7" ht="15.75" customHeight="1">
      <c r="B14" s="8"/>
      <c r="C14" s="13" t="s">
        <v>20</v>
      </c>
      <c r="D14" s="84">
        <v>0.16</v>
      </c>
      <c r="E14" s="9"/>
    </row>
    <row r="15" spans="2:7" ht="15.75" customHeight="1" thickBot="1">
      <c r="B15" s="10"/>
      <c r="C15" s="11"/>
      <c r="D15" s="11"/>
      <c r="E15" s="12"/>
    </row>
    <row r="16" spans="2:7" ht="15.75" customHeight="1"/>
    <row r="17" spans="2:8" ht="15.75" customHeight="1">
      <c r="C17" s="2" t="s">
        <v>2</v>
      </c>
    </row>
    <row r="18" spans="2:8" ht="15.75" customHeight="1" thickBot="1"/>
    <row r="19" spans="2:8" ht="15.75" customHeight="1">
      <c r="B19" s="15"/>
      <c r="C19" s="16"/>
      <c r="D19" s="16"/>
      <c r="E19" s="17"/>
      <c r="F19" s="30"/>
      <c r="G19" s="30"/>
      <c r="H19" s="30"/>
    </row>
    <row r="20" spans="2:8" ht="15.75" customHeight="1">
      <c r="B20" s="18"/>
      <c r="C20" s="19" t="s">
        <v>92</v>
      </c>
      <c r="D20" s="20"/>
      <c r="E20" s="21"/>
      <c r="F20" s="30"/>
      <c r="G20" s="30"/>
      <c r="H20" s="30"/>
    </row>
    <row r="21" spans="2:8" ht="15.75" customHeight="1">
      <c r="B21" s="18"/>
      <c r="C21" s="19" t="s">
        <v>165</v>
      </c>
      <c r="D21" s="80">
        <f>-D7</f>
        <v>-3800000</v>
      </c>
      <c r="E21" s="21"/>
      <c r="F21" s="30"/>
      <c r="G21" s="30"/>
      <c r="H21" s="30"/>
    </row>
    <row r="22" spans="2:8" ht="15.75" customHeight="1">
      <c r="B22" s="18"/>
      <c r="C22" s="19" t="s">
        <v>189</v>
      </c>
      <c r="D22" s="83">
        <f>-D12</f>
        <v>-150000</v>
      </c>
      <c r="E22" s="21"/>
      <c r="F22" s="30"/>
      <c r="G22" s="30"/>
      <c r="H22" s="30"/>
    </row>
    <row r="23" spans="2:8" ht="15.75" customHeight="1">
      <c r="B23" s="18"/>
      <c r="C23" s="19" t="s">
        <v>200</v>
      </c>
      <c r="D23" s="80">
        <f>D21+D22</f>
        <v>-3950000</v>
      </c>
      <c r="E23" s="21"/>
      <c r="F23" s="30"/>
      <c r="G23" s="30"/>
      <c r="H23" s="30"/>
    </row>
    <row r="24" spans="2:8" ht="15.75" customHeight="1">
      <c r="B24" s="18"/>
      <c r="C24" s="19"/>
      <c r="D24" s="20"/>
      <c r="E24" s="21"/>
      <c r="F24" s="30"/>
      <c r="G24" s="30"/>
      <c r="H24" s="30"/>
    </row>
    <row r="25" spans="2:8" ht="15.75" customHeight="1">
      <c r="B25" s="18"/>
      <c r="C25" s="19" t="s">
        <v>10</v>
      </c>
      <c r="D25" s="97">
        <f>D8</f>
        <v>2500000</v>
      </c>
      <c r="E25" s="21"/>
      <c r="F25" s="30"/>
      <c r="G25" s="30"/>
      <c r="H25" s="30"/>
    </row>
    <row r="26" spans="2:8" ht="15.75" customHeight="1">
      <c r="B26" s="18"/>
      <c r="C26" s="19" t="s">
        <v>14</v>
      </c>
      <c r="D26" s="140">
        <f>D25*D11</f>
        <v>625000</v>
      </c>
      <c r="E26" s="22"/>
      <c r="F26" s="30"/>
      <c r="G26" s="30"/>
      <c r="H26" s="31"/>
    </row>
    <row r="27" spans="2:8" ht="15.75" customHeight="1">
      <c r="B27" s="18"/>
      <c r="C27" s="19" t="s">
        <v>5</v>
      </c>
      <c r="D27" s="227">
        <f>D7/D10</f>
        <v>950000</v>
      </c>
      <c r="E27" s="21"/>
      <c r="F27" s="30"/>
      <c r="G27" s="30"/>
      <c r="H27" s="30"/>
    </row>
    <row r="28" spans="2:8" ht="15.75" customHeight="1">
      <c r="B28" s="18"/>
      <c r="C28" s="19" t="s">
        <v>8</v>
      </c>
      <c r="D28" s="97">
        <f>D25-D26-D27</f>
        <v>925000</v>
      </c>
      <c r="E28" s="21"/>
      <c r="F28" s="30"/>
      <c r="G28" s="30"/>
      <c r="H28" s="30"/>
    </row>
    <row r="29" spans="2:8" ht="15.75" customHeight="1">
      <c r="B29" s="18"/>
      <c r="C29" s="226" t="s">
        <v>155</v>
      </c>
      <c r="D29" s="227">
        <f>D28*D13</f>
        <v>323750</v>
      </c>
      <c r="E29" s="21"/>
      <c r="F29" s="30"/>
      <c r="G29" s="30"/>
      <c r="H29" s="30"/>
    </row>
    <row r="30" spans="2:8" ht="15.75" customHeight="1">
      <c r="B30" s="18"/>
      <c r="C30" s="19" t="s">
        <v>115</v>
      </c>
      <c r="D30" s="97">
        <f>D28-D29</f>
        <v>601250</v>
      </c>
      <c r="E30" s="21"/>
      <c r="F30" s="30"/>
      <c r="G30" s="30"/>
      <c r="H30" s="30"/>
    </row>
    <row r="31" spans="2:8" ht="15.75" customHeight="1">
      <c r="B31" s="18"/>
      <c r="C31" s="19"/>
      <c r="D31" s="97"/>
      <c r="E31" s="21"/>
      <c r="F31" s="30"/>
      <c r="G31" s="30"/>
      <c r="H31" s="30"/>
    </row>
    <row r="32" spans="2:8" ht="15.75" customHeight="1">
      <c r="B32" s="18"/>
      <c r="C32" s="19" t="s">
        <v>11</v>
      </c>
      <c r="D32" s="97">
        <f>D30+D27</f>
        <v>1551250</v>
      </c>
      <c r="E32" s="21"/>
      <c r="F32" s="30"/>
      <c r="G32" s="30"/>
      <c r="H32" s="30"/>
    </row>
    <row r="33" spans="2:8" ht="15.75" customHeight="1">
      <c r="B33" s="18"/>
      <c r="C33" s="19"/>
      <c r="D33" s="97"/>
      <c r="E33" s="21"/>
      <c r="F33" s="30"/>
      <c r="G33" s="30"/>
      <c r="H33" s="30"/>
    </row>
    <row r="34" spans="2:8" ht="15.75" customHeight="1">
      <c r="B34" s="18"/>
      <c r="C34" s="157" t="s">
        <v>24</v>
      </c>
      <c r="D34" s="240" t="s">
        <v>25</v>
      </c>
      <c r="E34" s="21"/>
      <c r="F34" s="30"/>
      <c r="G34" s="30"/>
      <c r="H34" s="30"/>
    </row>
    <row r="35" spans="2:8" ht="15.75" customHeight="1">
      <c r="B35" s="18"/>
      <c r="C35" s="77">
        <v>0</v>
      </c>
      <c r="D35" s="97">
        <f>D23</f>
        <v>-3950000</v>
      </c>
      <c r="E35" s="21"/>
      <c r="F35" s="30"/>
      <c r="G35" s="30"/>
      <c r="H35" s="30"/>
    </row>
    <row r="36" spans="2:8" ht="15.75" customHeight="1">
      <c r="B36" s="18"/>
      <c r="C36" s="77">
        <v>1</v>
      </c>
      <c r="D36" s="140">
        <f>D32</f>
        <v>1551250</v>
      </c>
      <c r="E36" s="21"/>
      <c r="F36" s="30"/>
      <c r="G36" s="30"/>
      <c r="H36" s="30"/>
    </row>
    <row r="37" spans="2:8" ht="15.75" customHeight="1">
      <c r="B37" s="18"/>
      <c r="C37" s="77">
        <v>2</v>
      </c>
      <c r="D37" s="140">
        <f>D32</f>
        <v>1551250</v>
      </c>
      <c r="E37" s="21"/>
      <c r="F37" s="30"/>
      <c r="G37" s="30"/>
      <c r="H37" s="30"/>
    </row>
    <row r="38" spans="2:8" ht="15.75" customHeight="1">
      <c r="B38" s="18"/>
      <c r="C38" s="77">
        <v>3</v>
      </c>
      <c r="D38" s="140">
        <f>D32</f>
        <v>1551250</v>
      </c>
      <c r="E38" s="21"/>
      <c r="F38" s="30"/>
      <c r="G38" s="30"/>
      <c r="H38" s="30"/>
    </row>
    <row r="39" spans="2:8" ht="15.75" customHeight="1">
      <c r="B39" s="18"/>
      <c r="C39" s="77">
        <v>4</v>
      </c>
      <c r="D39" s="140">
        <f>D32+D12</f>
        <v>1701250</v>
      </c>
      <c r="E39" s="21"/>
      <c r="F39" s="30"/>
      <c r="G39" s="30"/>
      <c r="H39" s="30"/>
    </row>
    <row r="40" spans="2:8" ht="15.75" customHeight="1">
      <c r="B40" s="18"/>
      <c r="C40" s="19"/>
      <c r="D40" s="97"/>
      <c r="E40" s="21"/>
      <c r="F40" s="30"/>
      <c r="G40" s="30"/>
      <c r="H40" s="30"/>
    </row>
    <row r="41" spans="2:8" ht="15.75" customHeight="1">
      <c r="B41" s="18"/>
      <c r="C41" s="19" t="s">
        <v>21</v>
      </c>
      <c r="D41" s="172">
        <f>NPV(D14,D36:D39)+D35</f>
        <v>473521.37976278272</v>
      </c>
      <c r="E41" s="21"/>
      <c r="F41" s="30"/>
      <c r="G41" s="30"/>
      <c r="H41" s="30"/>
    </row>
    <row r="42" spans="2:8" ht="15.75" customHeight="1" thickBot="1">
      <c r="B42" s="23"/>
      <c r="C42" s="53"/>
      <c r="D42" s="53"/>
      <c r="E42" s="25"/>
      <c r="F42" s="30"/>
      <c r="G42" s="30"/>
      <c r="H42" s="30"/>
    </row>
    <row r="43" spans="2:8" ht="15.75" customHeight="1">
      <c r="B43" s="14"/>
      <c r="C43" s="14"/>
      <c r="D43" s="14"/>
      <c r="E43" s="14"/>
      <c r="F43" s="14"/>
      <c r="G43" s="14"/>
      <c r="H43" s="14"/>
    </row>
    <row r="44" spans="2:8" ht="15.75" customHeight="1"/>
    <row r="45" spans="2:8" ht="15.75" customHeight="1">
      <c r="D45" s="26"/>
    </row>
    <row r="46" spans="2:8" ht="15.75" customHeight="1"/>
    <row r="47" spans="2:8" ht="15.75" customHeight="1"/>
    <row r="48" spans="2:8" ht="15.75" customHeight="1"/>
    <row r="49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1:H51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2:7" ht="18">
      <c r="C1" s="1" t="s">
        <v>436</v>
      </c>
    </row>
    <row r="2" spans="2:7" ht="15.75" customHeight="1">
      <c r="C2" s="3" t="s">
        <v>197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45</v>
      </c>
      <c r="D7" s="4"/>
      <c r="E7" s="9"/>
      <c r="G7" s="57"/>
    </row>
    <row r="8" spans="2:7" ht="15.75" customHeight="1">
      <c r="B8" s="8"/>
      <c r="C8" s="13" t="s">
        <v>46</v>
      </c>
      <c r="D8" s="85">
        <v>215000</v>
      </c>
      <c r="E8" s="9"/>
    </row>
    <row r="9" spans="2:7" ht="15.75" customHeight="1">
      <c r="B9" s="8"/>
      <c r="C9" s="13" t="s">
        <v>47</v>
      </c>
      <c r="D9" s="85">
        <v>35000</v>
      </c>
      <c r="E9" s="9"/>
    </row>
    <row r="10" spans="2:7" ht="15.75" customHeight="1">
      <c r="B10" s="8"/>
      <c r="C10" s="13" t="s">
        <v>48</v>
      </c>
      <c r="D10" s="173">
        <v>3</v>
      </c>
      <c r="E10" s="9"/>
    </row>
    <row r="11" spans="2:7" ht="15.75" customHeight="1">
      <c r="B11" s="8"/>
      <c r="C11" s="13" t="s">
        <v>49</v>
      </c>
      <c r="D11" s="84"/>
      <c r="E11" s="9"/>
    </row>
    <row r="12" spans="2:7" ht="15.75" customHeight="1">
      <c r="B12" s="8"/>
      <c r="C12" s="13" t="s">
        <v>46</v>
      </c>
      <c r="D12" s="85">
        <v>270000</v>
      </c>
      <c r="E12" s="9"/>
    </row>
    <row r="13" spans="2:7" ht="15.75" customHeight="1">
      <c r="B13" s="8"/>
      <c r="C13" s="13" t="s">
        <v>47</v>
      </c>
      <c r="D13" s="85">
        <v>44000</v>
      </c>
      <c r="E13" s="9"/>
    </row>
    <row r="14" spans="2:7" ht="15.75" customHeight="1">
      <c r="B14" s="8"/>
      <c r="C14" s="13" t="s">
        <v>48</v>
      </c>
      <c r="D14" s="96">
        <v>5</v>
      </c>
      <c r="E14" s="9"/>
    </row>
    <row r="15" spans="2:7" ht="15.75" customHeight="1">
      <c r="B15" s="8"/>
      <c r="C15" s="13" t="s">
        <v>50</v>
      </c>
      <c r="D15" s="96"/>
      <c r="E15" s="9"/>
    </row>
    <row r="16" spans="2:7" ht="15.75" customHeight="1">
      <c r="B16" s="8"/>
      <c r="C16" s="13" t="s">
        <v>51</v>
      </c>
      <c r="D16" s="85">
        <v>20000</v>
      </c>
      <c r="E16" s="9"/>
    </row>
    <row r="17" spans="2:8" ht="15.75" customHeight="1">
      <c r="B17" s="8"/>
      <c r="C17" s="13" t="s">
        <v>6</v>
      </c>
      <c r="D17" s="84">
        <v>0.35</v>
      </c>
      <c r="E17" s="9"/>
    </row>
    <row r="18" spans="2:8" ht="15.75" customHeight="1">
      <c r="B18" s="8"/>
      <c r="C18" s="13" t="s">
        <v>32</v>
      </c>
      <c r="D18" s="84">
        <v>0.12</v>
      </c>
      <c r="E18" s="9"/>
    </row>
    <row r="19" spans="2:8" ht="15.75" customHeight="1">
      <c r="B19" s="8"/>
      <c r="C19" s="13" t="s">
        <v>52</v>
      </c>
      <c r="D19" s="59"/>
      <c r="E19" s="9"/>
    </row>
    <row r="20" spans="2:8" ht="15.75" customHeight="1" thickBot="1">
      <c r="B20" s="10"/>
      <c r="C20" s="28"/>
      <c r="D20" s="62"/>
      <c r="E20" s="12"/>
    </row>
    <row r="21" spans="2:8" ht="15.75" customHeight="1"/>
    <row r="22" spans="2:8" ht="15.75" customHeight="1">
      <c r="C22" s="2" t="s">
        <v>2</v>
      </c>
    </row>
    <row r="23" spans="2:8" ht="15.75" customHeight="1" thickBot="1"/>
    <row r="24" spans="2:8" ht="15.75" customHeight="1">
      <c r="B24" s="15"/>
      <c r="C24" s="16"/>
      <c r="D24" s="16"/>
      <c r="E24" s="16"/>
      <c r="F24" s="16"/>
      <c r="G24" s="17"/>
      <c r="H24" s="30"/>
    </row>
    <row r="25" spans="2:8" ht="15.75" customHeight="1">
      <c r="B25" s="18"/>
      <c r="C25" s="19" t="s">
        <v>53</v>
      </c>
      <c r="D25" s="63"/>
      <c r="E25" s="20"/>
      <c r="F25" s="20"/>
      <c r="G25" s="21"/>
      <c r="H25" s="30"/>
    </row>
    <row r="26" spans="2:8" ht="15.75" customHeight="1">
      <c r="B26" s="18"/>
      <c r="C26" s="19" t="s">
        <v>28</v>
      </c>
      <c r="D26" s="142">
        <f>D16*(1-D17)</f>
        <v>13000</v>
      </c>
      <c r="E26" s="20"/>
      <c r="F26" s="20"/>
      <c r="G26" s="21"/>
      <c r="H26" s="30"/>
    </row>
    <row r="27" spans="2:8" ht="15.75" customHeight="1">
      <c r="B27" s="18"/>
      <c r="C27" s="19" t="s">
        <v>54</v>
      </c>
      <c r="D27" s="142"/>
      <c r="E27" s="20"/>
      <c r="F27" s="20"/>
      <c r="G27" s="21"/>
      <c r="H27" s="30"/>
    </row>
    <row r="28" spans="2:8" ht="15.75" customHeight="1">
      <c r="B28" s="18"/>
      <c r="C28" s="19" t="s">
        <v>11</v>
      </c>
      <c r="D28" s="142">
        <f>(-D9)*(1-D17)+D17*(D8/D10)</f>
        <v>2333.3333333333321</v>
      </c>
      <c r="E28" s="20"/>
      <c r="F28" s="20"/>
      <c r="G28" s="21"/>
      <c r="H28" s="30"/>
    </row>
    <row r="29" spans="2:8" ht="15.75" customHeight="1">
      <c r="B29" s="18"/>
      <c r="C29" s="19" t="s">
        <v>21</v>
      </c>
      <c r="D29" s="142">
        <f>(-D8)+PV(D18,D10,-D28,0,0)+(D26/POWER(1+D18,D10))</f>
        <v>-200142.58381924199</v>
      </c>
      <c r="E29" s="19"/>
      <c r="F29" s="20"/>
      <c r="G29" s="21"/>
      <c r="H29" s="31"/>
    </row>
    <row r="30" spans="2:8" ht="15.75" customHeight="1">
      <c r="B30" s="18"/>
      <c r="C30" s="19" t="s">
        <v>43</v>
      </c>
      <c r="D30" s="139">
        <f>D29/PV(D18,D10,-1,0,0)</f>
        <v>-83329.160739686995</v>
      </c>
      <c r="E30" s="19"/>
      <c r="F30" s="20"/>
      <c r="G30" s="21"/>
      <c r="H30" s="31"/>
    </row>
    <row r="31" spans="2:8" ht="15.75" customHeight="1">
      <c r="B31" s="18"/>
      <c r="C31" s="19" t="s">
        <v>55</v>
      </c>
      <c r="D31" s="143"/>
      <c r="E31" s="19"/>
      <c r="F31" s="20"/>
      <c r="G31" s="21"/>
      <c r="H31" s="31"/>
    </row>
    <row r="32" spans="2:8" ht="15.75" customHeight="1">
      <c r="B32" s="18"/>
      <c r="C32" s="19" t="s">
        <v>11</v>
      </c>
      <c r="D32" s="142">
        <f>(-D13*(1-D17)+D17*(D12/D14))</f>
        <v>-9700</v>
      </c>
      <c r="E32" s="19"/>
      <c r="F32" s="20"/>
      <c r="G32" s="21"/>
      <c r="H32" s="31"/>
    </row>
    <row r="33" spans="2:8" ht="15.75" customHeight="1">
      <c r="B33" s="18"/>
      <c r="C33" s="19" t="s">
        <v>21</v>
      </c>
      <c r="D33" s="142">
        <f>(-D12)+PV(D18,D14,-D32,0,0)+(D26/POWER(1+D18,D14))</f>
        <v>-297589.78003840474</v>
      </c>
      <c r="E33" s="19"/>
      <c r="F33" s="20"/>
      <c r="G33" s="21"/>
      <c r="H33" s="31"/>
    </row>
    <row r="34" spans="2:8" ht="15.75" customHeight="1">
      <c r="B34" s="18"/>
      <c r="C34" s="19" t="s">
        <v>43</v>
      </c>
      <c r="D34" s="139">
        <f>D33/PV(D18,D14,-1,0,0)</f>
        <v>-82554.301108849511</v>
      </c>
      <c r="E34" s="19"/>
      <c r="F34" s="20"/>
      <c r="G34" s="21"/>
      <c r="H34" s="31"/>
    </row>
    <row r="35" spans="2:8" ht="15.75" customHeight="1">
      <c r="B35" s="18"/>
      <c r="C35" s="19"/>
      <c r="D35" s="63"/>
      <c r="E35" s="19"/>
      <c r="F35" s="20"/>
      <c r="G35" s="21"/>
      <c r="H35" s="31"/>
    </row>
    <row r="36" spans="2:8" ht="15.75" customHeight="1">
      <c r="B36" s="18"/>
      <c r="C36" s="19" t="s">
        <v>56</v>
      </c>
      <c r="D36" s="63"/>
      <c r="E36" s="19"/>
      <c r="F36" s="20"/>
      <c r="G36" s="21"/>
      <c r="H36" s="31"/>
    </row>
    <row r="37" spans="2:8" ht="15.75" customHeight="1">
      <c r="B37" s="18"/>
      <c r="C37" s="19" t="s">
        <v>57</v>
      </c>
      <c r="D37" s="63"/>
      <c r="E37" s="19"/>
      <c r="F37" s="20"/>
      <c r="G37" s="21"/>
      <c r="H37" s="31"/>
    </row>
    <row r="38" spans="2:8" ht="15.75" customHeight="1">
      <c r="B38" s="18"/>
      <c r="C38" s="19" t="s">
        <v>86</v>
      </c>
      <c r="D38" s="144" t="str">
        <f>IF(D30&gt;D34,"Techron I","Techron II")</f>
        <v>Techron II</v>
      </c>
      <c r="E38" s="19" t="s">
        <v>87</v>
      </c>
      <c r="F38" s="20"/>
      <c r="G38" s="21"/>
      <c r="H38" s="31"/>
    </row>
    <row r="39" spans="2:8" ht="15.75" customHeight="1">
      <c r="B39" s="18"/>
      <c r="C39" s="19" t="s">
        <v>88</v>
      </c>
      <c r="D39" s="63"/>
      <c r="E39" s="19"/>
      <c r="F39" s="20"/>
      <c r="G39" s="21"/>
      <c r="H39" s="31"/>
    </row>
    <row r="40" spans="2:8" ht="15.75" customHeight="1" thickBot="1">
      <c r="B40" s="23"/>
      <c r="C40" s="53"/>
      <c r="D40" s="64"/>
      <c r="E40" s="24"/>
      <c r="F40" s="24"/>
      <c r="G40" s="25"/>
      <c r="H40" s="30"/>
    </row>
    <row r="41" spans="2:8" ht="15.75" customHeight="1">
      <c r="B41" s="14"/>
      <c r="C41" s="14"/>
      <c r="D41" s="14"/>
      <c r="E41" s="14"/>
      <c r="F41" s="14"/>
      <c r="G41" s="14"/>
      <c r="H41" s="14"/>
    </row>
    <row r="42" spans="2:8" ht="15.75" customHeight="1"/>
    <row r="43" spans="2:8" ht="15.75" customHeight="1">
      <c r="D43" s="26"/>
    </row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</sheetData>
  <phoneticPr fontId="0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55"/>
  <sheetViews>
    <sheetView workbookViewId="0"/>
  </sheetViews>
  <sheetFormatPr defaultRowHeight="12.75"/>
  <cols>
    <col min="2" max="2" width="3.140625" customWidth="1"/>
    <col min="3" max="3" width="28.140625" bestFit="1" customWidth="1"/>
    <col min="4" max="4" width="18.140625" customWidth="1"/>
    <col min="5" max="5" width="3.140625" customWidth="1"/>
    <col min="6" max="6" width="18.140625" customWidth="1"/>
    <col min="7" max="7" width="3.140625" customWidth="1"/>
    <col min="8" max="8" width="13.85546875" customWidth="1"/>
  </cols>
  <sheetData>
    <row r="1" spans="2:7" ht="18">
      <c r="C1" s="1" t="s">
        <v>436</v>
      </c>
    </row>
    <row r="2" spans="2:7" ht="15.75" customHeight="1">
      <c r="C2" s="3" t="s">
        <v>201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96</v>
      </c>
      <c r="D7" s="85">
        <v>640000</v>
      </c>
      <c r="E7" s="9"/>
      <c r="G7" s="57"/>
    </row>
    <row r="8" spans="2:7" ht="15.75" customHeight="1">
      <c r="B8" s="8"/>
      <c r="C8" s="13" t="s">
        <v>437</v>
      </c>
      <c r="D8" s="85">
        <v>270000</v>
      </c>
      <c r="E8" s="9"/>
      <c r="G8" s="57"/>
    </row>
    <row r="9" spans="2:7" ht="15.75" customHeight="1">
      <c r="B9" s="8"/>
      <c r="C9" s="13" t="s">
        <v>51</v>
      </c>
      <c r="D9" s="85">
        <v>70000</v>
      </c>
      <c r="E9" s="9"/>
    </row>
    <row r="10" spans="2:7" ht="15.75" customHeight="1">
      <c r="B10" s="8"/>
      <c r="C10" s="13" t="s">
        <v>62</v>
      </c>
      <c r="D10" s="85">
        <v>20000</v>
      </c>
      <c r="E10" s="9"/>
    </row>
    <row r="11" spans="2:7" ht="15.75" customHeight="1">
      <c r="B11" s="8"/>
      <c r="C11" s="13" t="s">
        <v>63</v>
      </c>
      <c r="D11" s="85">
        <v>3500</v>
      </c>
      <c r="E11" s="9"/>
    </row>
    <row r="12" spans="2:7" ht="15.75" customHeight="1">
      <c r="B12" s="8"/>
      <c r="C12" s="13" t="s">
        <v>6</v>
      </c>
      <c r="D12" s="84">
        <v>0.35</v>
      </c>
      <c r="E12" s="9"/>
    </row>
    <row r="13" spans="2:7" ht="15.75" customHeight="1">
      <c r="B13" s="8"/>
      <c r="C13" s="13" t="s">
        <v>32</v>
      </c>
      <c r="D13" s="84">
        <v>0.14000000000000001</v>
      </c>
      <c r="E13" s="9"/>
    </row>
    <row r="14" spans="2:7" ht="15.75" customHeight="1">
      <c r="B14" s="8"/>
      <c r="C14" s="13" t="s">
        <v>64</v>
      </c>
      <c r="D14" s="147">
        <v>0.2</v>
      </c>
      <c r="E14" s="9"/>
    </row>
    <row r="15" spans="2:7" ht="15.75" customHeight="1">
      <c r="B15" s="8"/>
      <c r="C15" s="13"/>
      <c r="D15" s="147">
        <v>0.32</v>
      </c>
      <c r="E15" s="9"/>
    </row>
    <row r="16" spans="2:7" ht="15.75" customHeight="1">
      <c r="B16" s="8"/>
      <c r="C16" s="13"/>
      <c r="D16" s="147">
        <v>0.192</v>
      </c>
      <c r="E16" s="9"/>
    </row>
    <row r="17" spans="2:8" ht="15.75" customHeight="1">
      <c r="B17" s="8"/>
      <c r="C17" s="13"/>
      <c r="D17" s="147">
        <v>0.1152</v>
      </c>
      <c r="E17" s="9"/>
    </row>
    <row r="18" spans="2:8" ht="15.75" customHeight="1" thickBot="1">
      <c r="B18" s="10"/>
      <c r="C18" s="66"/>
      <c r="D18" s="66"/>
      <c r="E18" s="12"/>
    </row>
    <row r="19" spans="2:8" ht="15.75" customHeight="1">
      <c r="B19" s="65"/>
      <c r="E19" s="65"/>
    </row>
    <row r="20" spans="2:8" ht="15.75" customHeight="1">
      <c r="C20" s="2" t="s">
        <v>2</v>
      </c>
    </row>
    <row r="21" spans="2:8" ht="15.75" customHeight="1" thickBot="1"/>
    <row r="22" spans="2:8" ht="15.75" customHeight="1">
      <c r="B22" s="69"/>
      <c r="C22" s="70"/>
      <c r="D22" s="70"/>
      <c r="E22" s="70"/>
      <c r="F22" s="70"/>
      <c r="G22" s="73"/>
      <c r="H22" s="14"/>
    </row>
    <row r="23" spans="2:8" ht="15.75" customHeight="1">
      <c r="B23" s="71"/>
      <c r="C23" s="89" t="s">
        <v>24</v>
      </c>
      <c r="D23" s="137" t="s">
        <v>5</v>
      </c>
      <c r="E23" s="19"/>
      <c r="F23" s="77"/>
      <c r="G23" s="22"/>
      <c r="H23" s="30"/>
    </row>
    <row r="24" spans="2:8" ht="15.75" customHeight="1">
      <c r="B24" s="71"/>
      <c r="C24" s="134">
        <v>1</v>
      </c>
      <c r="D24" s="97">
        <f>D7*D14</f>
        <v>128000</v>
      </c>
      <c r="E24" s="74"/>
      <c r="F24" s="78"/>
      <c r="G24" s="22"/>
      <c r="H24" s="30"/>
    </row>
    <row r="25" spans="2:8" ht="15.75" customHeight="1">
      <c r="B25" s="71"/>
      <c r="C25" s="134">
        <v>2</v>
      </c>
      <c r="D25" s="97">
        <f>D7*D15</f>
        <v>204800</v>
      </c>
      <c r="E25" s="74"/>
      <c r="F25" s="78"/>
      <c r="G25" s="22"/>
      <c r="H25" s="31"/>
    </row>
    <row r="26" spans="2:8" ht="15.75" customHeight="1">
      <c r="B26" s="71"/>
      <c r="C26" s="134">
        <v>3</v>
      </c>
      <c r="D26" s="97">
        <f>D7*D16</f>
        <v>122880</v>
      </c>
      <c r="E26" s="74"/>
      <c r="F26" s="78"/>
      <c r="G26" s="22"/>
      <c r="H26" s="30"/>
    </row>
    <row r="27" spans="2:8" ht="15.75" customHeight="1">
      <c r="B27" s="71"/>
      <c r="C27" s="134">
        <v>4</v>
      </c>
      <c r="D27" s="97">
        <f>D7*D17</f>
        <v>73728</v>
      </c>
      <c r="E27" s="74"/>
      <c r="F27" s="78"/>
      <c r="G27" s="22"/>
      <c r="H27" s="30"/>
    </row>
    <row r="28" spans="2:8" ht="15.75" customHeight="1">
      <c r="B28" s="71"/>
      <c r="C28" s="19"/>
      <c r="D28" s="34"/>
      <c r="E28" s="19"/>
      <c r="F28" s="19"/>
      <c r="G28" s="22"/>
      <c r="H28" s="30"/>
    </row>
    <row r="29" spans="2:8" ht="15.75" customHeight="1">
      <c r="B29" s="71"/>
      <c r="C29" s="19" t="s">
        <v>27</v>
      </c>
      <c r="D29" s="224">
        <f>D7-D24-D25-D26-D27</f>
        <v>110592</v>
      </c>
      <c r="E29" s="19"/>
      <c r="F29" s="19"/>
      <c r="G29" s="22"/>
      <c r="H29" s="30"/>
    </row>
    <row r="30" spans="2:8" ht="15.75" customHeight="1">
      <c r="B30" s="71"/>
      <c r="C30" s="19" t="s">
        <v>28</v>
      </c>
      <c r="D30" s="224">
        <f>D9+(D29-D9)*D12</f>
        <v>84207.2</v>
      </c>
      <c r="E30" s="19"/>
      <c r="F30" s="54"/>
      <c r="G30" s="22"/>
      <c r="H30" s="30"/>
    </row>
    <row r="31" spans="2:8" ht="15.75" customHeight="1">
      <c r="B31" s="71"/>
      <c r="C31" s="19"/>
      <c r="D31" s="34"/>
      <c r="E31" s="19"/>
      <c r="F31" s="19"/>
      <c r="G31" s="22"/>
      <c r="H31" s="30"/>
    </row>
    <row r="32" spans="2:8" ht="15.75" customHeight="1">
      <c r="B32" s="71"/>
      <c r="C32" s="89" t="s">
        <v>24</v>
      </c>
      <c r="D32" s="149" t="s">
        <v>11</v>
      </c>
      <c r="E32" s="19"/>
      <c r="F32" s="19"/>
      <c r="G32" s="22"/>
      <c r="H32" s="30"/>
    </row>
    <row r="33" spans="1:8" ht="15.75" customHeight="1">
      <c r="B33" s="71"/>
      <c r="C33" s="19">
        <v>1</v>
      </c>
      <c r="D33" s="224">
        <f>($D$8*(1-$D$12)+(D24*$D$12))</f>
        <v>220300</v>
      </c>
      <c r="E33" s="19"/>
      <c r="F33" s="19"/>
      <c r="G33" s="22"/>
      <c r="H33" s="30"/>
    </row>
    <row r="34" spans="1:8" ht="15.75" customHeight="1">
      <c r="B34" s="71"/>
      <c r="C34" s="19">
        <v>2</v>
      </c>
      <c r="D34" s="224">
        <f>($D$8*(1-$D$12)+(D25*$D$12))</f>
        <v>247180</v>
      </c>
      <c r="E34" s="19"/>
      <c r="F34" s="19"/>
      <c r="G34" s="22"/>
      <c r="H34" s="30"/>
    </row>
    <row r="35" spans="1:8" ht="15.75" customHeight="1">
      <c r="B35" s="71"/>
      <c r="C35" s="19">
        <v>3</v>
      </c>
      <c r="D35" s="224">
        <f>($D$8*(1-$D$12)+(D26*$D$12))</f>
        <v>218508</v>
      </c>
      <c r="E35" s="19"/>
      <c r="F35" s="19"/>
      <c r="G35" s="22"/>
      <c r="H35" s="30"/>
    </row>
    <row r="36" spans="1:8" ht="15.75" customHeight="1">
      <c r="B36" s="71"/>
      <c r="C36" s="19">
        <v>4</v>
      </c>
      <c r="D36" s="403">
        <f>($D$8*(1-$D$12)+(D27*$D$12))</f>
        <v>201304.8</v>
      </c>
      <c r="E36" s="19"/>
      <c r="F36" s="19"/>
      <c r="G36" s="22"/>
      <c r="H36" s="30"/>
    </row>
    <row r="37" spans="1:8" ht="15.75" customHeight="1">
      <c r="B37" s="71"/>
      <c r="C37" s="19"/>
      <c r="D37" s="34"/>
      <c r="E37" s="19"/>
      <c r="F37" s="19"/>
      <c r="G37" s="22"/>
      <c r="H37" s="30"/>
    </row>
    <row r="38" spans="1:8" ht="15.75" customHeight="1">
      <c r="B38" s="71"/>
      <c r="C38" s="89" t="s">
        <v>24</v>
      </c>
      <c r="D38" s="149" t="s">
        <v>120</v>
      </c>
      <c r="E38" s="19"/>
      <c r="F38" s="19"/>
      <c r="G38" s="22"/>
      <c r="H38" s="30"/>
    </row>
    <row r="39" spans="1:8" ht="15.75" customHeight="1">
      <c r="B39" s="71"/>
      <c r="C39" s="19">
        <v>0</v>
      </c>
      <c r="D39" s="224">
        <f>-D7-D10</f>
        <v>-660000</v>
      </c>
      <c r="E39" s="19"/>
      <c r="F39" s="19"/>
      <c r="G39" s="22"/>
      <c r="H39" s="30"/>
    </row>
    <row r="40" spans="1:8" ht="15.75" customHeight="1">
      <c r="B40" s="71"/>
      <c r="C40" s="19">
        <v>1</v>
      </c>
      <c r="D40" s="224">
        <f>($D$8*(1-$D$12)+(D24*$D$12))-$D$11</f>
        <v>216800</v>
      </c>
      <c r="E40" s="19"/>
      <c r="F40" s="19"/>
      <c r="G40" s="22"/>
      <c r="H40" s="30"/>
    </row>
    <row r="41" spans="1:8" ht="15.75" customHeight="1">
      <c r="B41" s="71"/>
      <c r="C41" s="19">
        <v>2</v>
      </c>
      <c r="D41" s="224">
        <f>($D$8*(1-$D$12)+(D25*$D$12))-$D$11</f>
        <v>243680</v>
      </c>
      <c r="E41" s="19"/>
      <c r="F41" s="19"/>
      <c r="G41" s="22"/>
      <c r="H41" s="30"/>
    </row>
    <row r="42" spans="1:8" ht="15.75" customHeight="1">
      <c r="B42" s="71"/>
      <c r="C42" s="19">
        <v>3</v>
      </c>
      <c r="D42" s="224">
        <f>($D$8*(1-$D$12)+(D26*$D$12))-$D$11</f>
        <v>215008</v>
      </c>
      <c r="E42" s="19"/>
      <c r="F42" s="19"/>
      <c r="G42" s="22"/>
      <c r="H42" s="30"/>
    </row>
    <row r="43" spans="1:8" ht="15.75" customHeight="1">
      <c r="B43" s="71"/>
      <c r="C43" s="19">
        <v>4</v>
      </c>
      <c r="D43" s="224">
        <f>($D$8*(1-$D$12)+(D27*$D$12))+(D10+D11+D11+D11)+D30</f>
        <v>316012</v>
      </c>
      <c r="E43" s="19"/>
      <c r="F43" s="19"/>
      <c r="G43" s="22"/>
      <c r="H43" s="30"/>
    </row>
    <row r="44" spans="1:8" ht="15.75" customHeight="1">
      <c r="B44" s="71"/>
      <c r="C44" s="19"/>
      <c r="D44" s="34"/>
      <c r="E44" s="19"/>
      <c r="F44" s="19"/>
      <c r="G44" s="22"/>
      <c r="H44" s="30"/>
    </row>
    <row r="45" spans="1:8" ht="15.75" customHeight="1">
      <c r="B45" s="71"/>
      <c r="C45" s="19" t="s">
        <v>21</v>
      </c>
      <c r="D45" s="131">
        <f>NPV(D13,D40:D43)+D39</f>
        <v>49908.034302004962</v>
      </c>
      <c r="E45" s="19"/>
      <c r="F45" s="19"/>
      <c r="G45" s="22"/>
      <c r="H45" s="30"/>
    </row>
    <row r="46" spans="1:8" ht="15.75" customHeight="1" thickBot="1">
      <c r="B46" s="72"/>
      <c r="C46" s="53"/>
      <c r="D46" s="68"/>
      <c r="E46" s="53"/>
      <c r="F46" s="53"/>
      <c r="G46" s="51"/>
      <c r="H46" s="30"/>
    </row>
    <row r="47" spans="1:8" ht="15.75" customHeight="1">
      <c r="A47" s="44"/>
      <c r="B47" s="30"/>
      <c r="C47" s="30"/>
      <c r="D47" s="30"/>
      <c r="E47" s="30"/>
      <c r="F47" s="30"/>
      <c r="G47" s="30"/>
      <c r="H47" s="30"/>
    </row>
    <row r="48" spans="1:8" ht="15.75" customHeight="1">
      <c r="A48" s="44"/>
      <c r="B48" s="14"/>
      <c r="C48" s="44"/>
      <c r="D48" s="44"/>
      <c r="E48" s="14"/>
      <c r="F48" s="14"/>
      <c r="G48" s="14"/>
      <c r="H48" s="14"/>
    </row>
    <row r="49" spans="4:4" ht="15.75" customHeight="1">
      <c r="D49" s="26"/>
    </row>
    <row r="50" spans="4:4" ht="15.75" customHeight="1"/>
    <row r="51" spans="4:4" ht="15.75" customHeight="1"/>
    <row r="52" spans="4:4" ht="15.75" customHeight="1"/>
    <row r="53" spans="4:4" ht="15.75" customHeight="1"/>
    <row r="54" spans="4:4" ht="15.75" customHeight="1"/>
    <row r="55" spans="4:4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B1:H1221"/>
  <sheetViews>
    <sheetView workbookViewId="0"/>
  </sheetViews>
  <sheetFormatPr defaultRowHeight="12.75"/>
  <cols>
    <col min="2" max="2" width="3.140625" customWidth="1"/>
    <col min="3" max="3" width="29.7109375" customWidth="1"/>
    <col min="4" max="4" width="18.140625" customWidth="1"/>
    <col min="5" max="5" width="3.140625" customWidth="1"/>
    <col min="8" max="8" width="3.140625" customWidth="1"/>
  </cols>
  <sheetData>
    <row r="1" spans="2:7" ht="18">
      <c r="C1" s="1" t="s">
        <v>436</v>
      </c>
    </row>
    <row r="2" spans="2:7" ht="15.75" customHeight="1">
      <c r="C2" s="3" t="s">
        <v>202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68</v>
      </c>
      <c r="D7" s="27"/>
      <c r="E7" s="9"/>
      <c r="G7" s="57"/>
    </row>
    <row r="8" spans="2:7" ht="15.75" customHeight="1">
      <c r="B8" s="8"/>
      <c r="C8" s="13" t="s">
        <v>58</v>
      </c>
      <c r="D8" s="85">
        <v>290000</v>
      </c>
      <c r="E8" s="9"/>
      <c r="G8" s="57"/>
    </row>
    <row r="9" spans="2:7" ht="15.75" customHeight="1">
      <c r="B9" s="8"/>
      <c r="C9" s="13" t="s">
        <v>66</v>
      </c>
      <c r="D9" s="85">
        <v>85000</v>
      </c>
      <c r="E9" s="9"/>
    </row>
    <row r="10" spans="2:7" ht="15.75" customHeight="1">
      <c r="B10" s="8"/>
      <c r="C10" s="13" t="s">
        <v>48</v>
      </c>
      <c r="D10" s="145">
        <v>4</v>
      </c>
      <c r="E10" s="9"/>
    </row>
    <row r="11" spans="2:7" ht="15.75" customHeight="1">
      <c r="B11" s="8"/>
      <c r="C11" s="13" t="s">
        <v>67</v>
      </c>
      <c r="D11" s="146"/>
      <c r="E11" s="9"/>
    </row>
    <row r="12" spans="2:7" ht="15.75" customHeight="1">
      <c r="B12" s="8"/>
      <c r="C12" s="13" t="s">
        <v>58</v>
      </c>
      <c r="D12" s="85">
        <v>405000</v>
      </c>
      <c r="E12" s="9"/>
    </row>
    <row r="13" spans="2:7" ht="15.75" customHeight="1">
      <c r="B13" s="8"/>
      <c r="C13" s="13" t="s">
        <v>66</v>
      </c>
      <c r="D13" s="85">
        <v>75000</v>
      </c>
      <c r="E13" s="9"/>
    </row>
    <row r="14" spans="2:7" ht="15.75" customHeight="1">
      <c r="B14" s="8"/>
      <c r="C14" s="13" t="s">
        <v>48</v>
      </c>
      <c r="D14" s="145">
        <v>6</v>
      </c>
      <c r="E14" s="9"/>
    </row>
    <row r="15" spans="2:7" ht="15.75" customHeight="1">
      <c r="B15" s="8"/>
      <c r="C15" s="13" t="s">
        <v>50</v>
      </c>
      <c r="D15" s="146"/>
      <c r="E15" s="9"/>
    </row>
    <row r="16" spans="2:7" ht="15.75" customHeight="1">
      <c r="B16" s="8"/>
      <c r="C16" s="13" t="s">
        <v>6</v>
      </c>
      <c r="D16" s="84">
        <v>0.34</v>
      </c>
      <c r="E16" s="9"/>
    </row>
    <row r="17" spans="2:8" ht="15.75" customHeight="1">
      <c r="B17" s="8"/>
      <c r="C17" s="13" t="s">
        <v>32</v>
      </c>
      <c r="D17" s="84">
        <v>0.11</v>
      </c>
      <c r="E17" s="9"/>
    </row>
    <row r="18" spans="2:8" ht="15.75" customHeight="1">
      <c r="B18" s="8"/>
      <c r="C18" s="13" t="s">
        <v>35</v>
      </c>
      <c r="D18" s="96"/>
      <c r="E18" s="9"/>
    </row>
    <row r="19" spans="2:8" ht="15.75" customHeight="1" thickBot="1">
      <c r="B19" s="10"/>
      <c r="C19" s="66"/>
      <c r="D19" s="66"/>
      <c r="E19" s="12"/>
    </row>
    <row r="20" spans="2:8" ht="15.75" customHeight="1">
      <c r="B20" s="65"/>
      <c r="E20" s="65"/>
    </row>
    <row r="21" spans="2:8" ht="15.75" customHeight="1">
      <c r="C21" s="2" t="s">
        <v>2</v>
      </c>
    </row>
    <row r="22" spans="2:8" ht="15.75" customHeight="1" thickBot="1"/>
    <row r="23" spans="2:8" ht="15.75" customHeight="1">
      <c r="B23" s="15"/>
      <c r="C23" s="16"/>
      <c r="D23" s="16"/>
      <c r="E23" s="17"/>
    </row>
    <row r="24" spans="2:8" ht="15.75" customHeight="1">
      <c r="B24" s="18"/>
      <c r="C24" s="19" t="s">
        <v>68</v>
      </c>
      <c r="D24" s="60"/>
      <c r="E24" s="21"/>
      <c r="F24" s="30"/>
      <c r="G24" s="30"/>
      <c r="H24" s="30"/>
    </row>
    <row r="25" spans="2:8" ht="15.75" customHeight="1">
      <c r="B25" s="18"/>
      <c r="C25" s="19" t="s">
        <v>11</v>
      </c>
      <c r="D25" s="97">
        <f>(-D9*(1-D16)+D16*(D8/D10))</f>
        <v>-31449.999999999993</v>
      </c>
      <c r="E25" s="21"/>
      <c r="F25" s="30"/>
      <c r="G25" s="30"/>
      <c r="H25" s="30"/>
    </row>
    <row r="26" spans="2:8" ht="15.75" customHeight="1">
      <c r="B26" s="18"/>
      <c r="C26" s="19" t="s">
        <v>21</v>
      </c>
      <c r="D26" s="142">
        <f>(-D8)-PV(D17,D10,D25,0,0)</f>
        <v>-387571.91693763406</v>
      </c>
      <c r="E26" s="22"/>
      <c r="F26" s="30"/>
      <c r="G26" s="30"/>
      <c r="H26" s="31"/>
    </row>
    <row r="27" spans="2:8" ht="15.75" customHeight="1">
      <c r="B27" s="18"/>
      <c r="C27" s="19" t="s">
        <v>67</v>
      </c>
      <c r="D27" s="80"/>
      <c r="E27" s="21"/>
      <c r="F27" s="30"/>
      <c r="G27" s="30"/>
      <c r="H27" s="30"/>
    </row>
    <row r="28" spans="2:8" ht="15.75" customHeight="1">
      <c r="B28" s="18"/>
      <c r="C28" s="19" t="s">
        <v>11</v>
      </c>
      <c r="D28" s="80">
        <f>(-D13)*(1-D16)+D16*(D12/D14)</f>
        <v>-26549.999999999993</v>
      </c>
      <c r="E28" s="21"/>
      <c r="F28" s="30"/>
      <c r="G28" s="30"/>
      <c r="H28" s="30"/>
    </row>
    <row r="29" spans="2:8" ht="15.75" customHeight="1">
      <c r="B29" s="18"/>
      <c r="C29" s="19" t="s">
        <v>21</v>
      </c>
      <c r="D29" s="87">
        <f>(-D12)-PV(D17,D14,D28,0,0)</f>
        <v>-517320.78001675074</v>
      </c>
      <c r="E29" s="21"/>
      <c r="F29" s="30"/>
      <c r="G29" s="30"/>
      <c r="H29" s="30"/>
    </row>
    <row r="30" spans="2:8" ht="15.75" customHeight="1">
      <c r="B30" s="18"/>
      <c r="C30" s="19"/>
      <c r="D30" s="87"/>
      <c r="E30" s="21"/>
      <c r="F30" s="30"/>
      <c r="G30" s="30"/>
      <c r="H30" s="30"/>
    </row>
    <row r="31" spans="2:8" ht="15.75" customHeight="1">
      <c r="B31" s="18"/>
      <c r="C31" s="19" t="s">
        <v>69</v>
      </c>
      <c r="D31" s="19"/>
      <c r="E31" s="21"/>
      <c r="F31" s="30"/>
      <c r="G31" s="30"/>
      <c r="H31" s="30"/>
    </row>
    <row r="32" spans="2:8" ht="15.75" customHeight="1">
      <c r="B32" s="18"/>
      <c r="C32" s="19" t="s">
        <v>97</v>
      </c>
      <c r="D32" s="75" t="str">
        <f>IF(D26&gt;D29,"System A","System B")</f>
        <v>System A</v>
      </c>
      <c r="E32" s="21"/>
      <c r="F32" s="30"/>
      <c r="G32" s="30"/>
      <c r="H32" s="30"/>
    </row>
    <row r="33" spans="2:8" ht="15.75" customHeight="1">
      <c r="B33" s="18"/>
      <c r="C33" s="19" t="s">
        <v>450</v>
      </c>
      <c r="D33" s="19"/>
      <c r="E33" s="21"/>
      <c r="F33" s="30"/>
      <c r="G33" s="30"/>
      <c r="H33" s="30"/>
    </row>
    <row r="34" spans="2:8" ht="15.75" customHeight="1">
      <c r="B34" s="18"/>
      <c r="C34" s="19" t="s">
        <v>451</v>
      </c>
      <c r="D34" s="19"/>
      <c r="E34" s="21"/>
      <c r="F34" s="30"/>
      <c r="G34" s="30"/>
      <c r="H34" s="30"/>
    </row>
    <row r="35" spans="2:8" ht="15.75" customHeight="1" thickBot="1">
      <c r="B35" s="23"/>
      <c r="C35" s="24"/>
      <c r="D35" s="24"/>
      <c r="E35" s="25"/>
      <c r="F35" s="30"/>
      <c r="G35" s="30"/>
      <c r="H35" s="30"/>
    </row>
    <row r="36" spans="2:8" ht="15.75" customHeight="1">
      <c r="B36" s="14"/>
      <c r="E36" s="14"/>
      <c r="F36" s="14"/>
      <c r="G36" s="14"/>
      <c r="H36" s="14"/>
    </row>
    <row r="37" spans="2:8" ht="15.75" customHeight="1">
      <c r="D37" s="26"/>
    </row>
    <row r="38" spans="2:8" ht="15.75" customHeight="1"/>
    <row r="39" spans="2:8" ht="15.75" customHeight="1"/>
    <row r="40" spans="2:8" ht="15.75" customHeight="1"/>
    <row r="41" spans="2:8" ht="15.75" customHeight="1"/>
    <row r="42" spans="2:8" ht="15.75" customHeight="1"/>
    <row r="43" spans="2:8" ht="15.75" customHeight="1"/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  <row r="1072" ht="15.75" customHeight="1"/>
    <row r="1073" ht="15.75" customHeight="1"/>
    <row r="1074" ht="15.75" customHeight="1"/>
    <row r="1075" ht="15.75" customHeight="1"/>
    <row r="1076" ht="15.75" customHeight="1"/>
    <row r="1077" ht="15.75" customHeight="1"/>
    <row r="1078" ht="15.75" customHeight="1"/>
    <row r="1079" ht="15.75" customHeight="1"/>
    <row r="1080" ht="15.75" customHeight="1"/>
    <row r="1081" ht="15.75" customHeight="1"/>
    <row r="1082" ht="15.75" customHeight="1"/>
    <row r="1083" ht="15.75" customHeight="1"/>
    <row r="1084" ht="15.75" customHeight="1"/>
    <row r="1085" ht="15.75" customHeight="1"/>
    <row r="1086" ht="15.75" customHeight="1"/>
    <row r="1087" ht="15.75" customHeight="1"/>
    <row r="1088" ht="15.75" customHeight="1"/>
    <row r="1089" ht="15.75" customHeight="1"/>
    <row r="1090" ht="15.75" customHeight="1"/>
    <row r="1091" ht="15.75" customHeight="1"/>
    <row r="1092" ht="15.75" customHeight="1"/>
    <row r="1093" ht="15.75" customHeight="1"/>
    <row r="1094" ht="15.75" customHeight="1"/>
    <row r="1095" ht="15.75" customHeight="1"/>
    <row r="1096" ht="15.75" customHeight="1"/>
    <row r="1097" ht="15.75" customHeight="1"/>
    <row r="1098" ht="15.75" customHeight="1"/>
    <row r="1099" ht="15.75" customHeight="1"/>
    <row r="1100" ht="15.75" customHeight="1"/>
    <row r="1101" ht="15.75" customHeight="1"/>
    <row r="1102" ht="15.75" customHeight="1"/>
    <row r="1103" ht="15.75" customHeight="1"/>
    <row r="1104" ht="15.75" customHeight="1"/>
    <row r="1105" ht="15.75" customHeight="1"/>
    <row r="1106" ht="15.75" customHeight="1"/>
    <row r="1107" ht="15.75" customHeight="1"/>
    <row r="1108" ht="15.75" customHeight="1"/>
    <row r="1109" ht="15.75" customHeight="1"/>
    <row r="1110" ht="15.75" customHeight="1"/>
    <row r="1111" ht="15.75" customHeight="1"/>
    <row r="1112" ht="15.75" customHeight="1"/>
    <row r="1113" ht="15.75" customHeight="1"/>
    <row r="1114" ht="15.75" customHeight="1"/>
    <row r="1115" ht="15.75" customHeight="1"/>
    <row r="1116" ht="15.75" customHeight="1"/>
    <row r="1117" ht="15.75" customHeight="1"/>
    <row r="1118" ht="15.75" customHeight="1"/>
    <row r="1119" ht="15.75" customHeight="1"/>
    <row r="1120" ht="15.75" customHeight="1"/>
    <row r="1121" ht="15.75" customHeight="1"/>
    <row r="1122" ht="15.75" customHeight="1"/>
    <row r="1123" ht="15.75" customHeight="1"/>
    <row r="1124" ht="15.75" customHeight="1"/>
    <row r="1125" ht="15.75" customHeight="1"/>
    <row r="1126" ht="15.75" customHeight="1"/>
    <row r="1127" ht="15.75" customHeight="1"/>
    <row r="1128" ht="15.75" customHeight="1"/>
    <row r="1129" ht="15.75" customHeight="1"/>
    <row r="1130" ht="15.75" customHeight="1"/>
    <row r="1131" ht="15.75" customHeight="1"/>
    <row r="1132" ht="15.75" customHeight="1"/>
    <row r="1133" ht="15.75" customHeight="1"/>
    <row r="1134" ht="15.75" customHeight="1"/>
    <row r="1135" ht="15.75" customHeight="1"/>
    <row r="1136" ht="15.75" customHeight="1"/>
    <row r="1137" ht="15.75" customHeight="1"/>
    <row r="1138" ht="15.75" customHeight="1"/>
    <row r="1139" ht="15.75" customHeight="1"/>
    <row r="1140" ht="15.75" customHeight="1"/>
    <row r="1141" ht="15.75" customHeight="1"/>
    <row r="1142" ht="15.75" customHeight="1"/>
    <row r="1143" ht="15.75" customHeight="1"/>
    <row r="1144" ht="15.75" customHeight="1"/>
    <row r="1145" ht="15.75" customHeight="1"/>
    <row r="1146" ht="15.75" customHeight="1"/>
    <row r="1147" ht="15.75" customHeight="1"/>
    <row r="1148" ht="15.75" customHeight="1"/>
    <row r="1149" ht="15.75" customHeight="1"/>
    <row r="1150" ht="15.75" customHeight="1"/>
    <row r="1151" ht="15.75" customHeight="1"/>
    <row r="1152" ht="15.75" customHeight="1"/>
    <row r="1153" ht="15.75" customHeight="1"/>
    <row r="1154" ht="15.75" customHeight="1"/>
    <row r="1155" ht="15.75" customHeight="1"/>
    <row r="1156" ht="15.75" customHeight="1"/>
    <row r="1157" ht="15.75" customHeight="1"/>
    <row r="1158" ht="15.75" customHeight="1"/>
    <row r="1159" ht="15.75" customHeight="1"/>
    <row r="1160" ht="15.75" customHeight="1"/>
    <row r="1161" ht="15.75" customHeight="1"/>
    <row r="1162" ht="15.75" customHeight="1"/>
    <row r="1163" ht="15.75" customHeight="1"/>
    <row r="1164" ht="15.75" customHeight="1"/>
    <row r="1165" ht="15.75" customHeight="1"/>
    <row r="1166" ht="15.75" customHeight="1"/>
    <row r="1167" ht="15.75" customHeight="1"/>
    <row r="1168" ht="15.75" customHeight="1"/>
    <row r="1169" ht="15.75" customHeight="1"/>
    <row r="1170" ht="15.75" customHeight="1"/>
    <row r="1171" ht="15.75" customHeight="1"/>
    <row r="1172" ht="15.75" customHeight="1"/>
    <row r="1173" ht="15.75" customHeight="1"/>
    <row r="1174" ht="15.75" customHeight="1"/>
    <row r="1175" ht="15.75" customHeight="1"/>
    <row r="1176" ht="15.75" customHeight="1"/>
    <row r="1177" ht="15.75" customHeight="1"/>
    <row r="1178" ht="15.75" customHeight="1"/>
    <row r="1179" ht="15.75" customHeight="1"/>
    <row r="1180" ht="15.75" customHeight="1"/>
    <row r="1181" ht="15.75" customHeight="1"/>
    <row r="1182" ht="15.75" customHeight="1"/>
    <row r="1183" ht="15.75" customHeight="1"/>
    <row r="1184" ht="15.75" customHeight="1"/>
    <row r="1185" ht="15.75" customHeight="1"/>
    <row r="1186" ht="15.75" customHeight="1"/>
    <row r="1187" ht="15.75" customHeight="1"/>
    <row r="1188" ht="15.75" customHeight="1"/>
    <row r="1189" ht="15.75" customHeight="1"/>
    <row r="1190" ht="15.75" customHeight="1"/>
    <row r="1191" ht="15.75" customHeight="1"/>
    <row r="1192" ht="15.75" customHeight="1"/>
    <row r="1193" ht="15.75" customHeight="1"/>
    <row r="1194" ht="15.75" customHeight="1"/>
    <row r="1195" ht="15.75" customHeight="1"/>
    <row r="1196" ht="15.75" customHeight="1"/>
    <row r="1197" ht="15.75" customHeight="1"/>
    <row r="1198" ht="15.75" customHeight="1"/>
    <row r="1199" ht="15.75" customHeight="1"/>
    <row r="1200" ht="15.75" customHeight="1"/>
    <row r="1201" ht="15.75" customHeight="1"/>
    <row r="1202" ht="15.75" customHeight="1"/>
    <row r="1203" ht="15.75" customHeight="1"/>
    <row r="1204" ht="15.75" customHeight="1"/>
    <row r="1205" ht="15.75" customHeight="1"/>
    <row r="1206" ht="15.75" customHeight="1"/>
    <row r="1207" ht="15.75" customHeight="1"/>
    <row r="1208" ht="15.75" customHeight="1"/>
    <row r="1209" ht="15.75" customHeight="1"/>
    <row r="1210" ht="15.75" customHeight="1"/>
    <row r="1211" ht="15.75" customHeight="1"/>
    <row r="1212" ht="15.75" customHeight="1"/>
    <row r="1213" ht="15.75" customHeight="1"/>
    <row r="1214" ht="15.75" customHeight="1"/>
    <row r="1215" ht="15.75" customHeight="1"/>
    <row r="1216" ht="15.75" customHeight="1"/>
    <row r="1217" ht="15.75" customHeight="1"/>
    <row r="1218" ht="15.75" customHeight="1"/>
    <row r="1219" ht="15.75" customHeight="1"/>
    <row r="1220" ht="15.75" customHeight="1"/>
    <row r="1221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B1:H47"/>
  <sheetViews>
    <sheetView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8" max="8" width="3.140625" customWidth="1"/>
  </cols>
  <sheetData>
    <row r="1" spans="2:7" ht="18">
      <c r="C1" s="1" t="s">
        <v>436</v>
      </c>
    </row>
    <row r="2" spans="2:7" ht="15.75" customHeight="1">
      <c r="C2" s="3" t="s">
        <v>26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68</v>
      </c>
      <c r="D7" s="27"/>
      <c r="E7" s="9"/>
      <c r="G7" s="57"/>
    </row>
    <row r="8" spans="2:7" ht="15.75" customHeight="1">
      <c r="B8" s="8"/>
      <c r="C8" s="13" t="s">
        <v>21</v>
      </c>
      <c r="D8" s="150">
        <f ca="1">'#12'!D26</f>
        <v>-387571.91693763406</v>
      </c>
      <c r="E8" s="9"/>
    </row>
    <row r="9" spans="2:7" ht="15.75" customHeight="1">
      <c r="B9" s="8"/>
      <c r="C9" s="13" t="s">
        <v>98</v>
      </c>
      <c r="D9" s="151">
        <f ca="1">'#12'!D10</f>
        <v>4</v>
      </c>
      <c r="E9" s="9"/>
    </row>
    <row r="10" spans="2:7" ht="15.75" customHeight="1">
      <c r="B10" s="8"/>
      <c r="C10" s="13" t="s">
        <v>67</v>
      </c>
      <c r="D10" s="152"/>
      <c r="E10" s="9"/>
    </row>
    <row r="11" spans="2:7" ht="15.75" customHeight="1">
      <c r="B11" s="8"/>
      <c r="C11" s="13" t="s">
        <v>21</v>
      </c>
      <c r="D11" s="150">
        <f ca="1">'#12'!D29</f>
        <v>-517320.78001675074</v>
      </c>
      <c r="E11" s="9"/>
    </row>
    <row r="12" spans="2:7" ht="15.75" customHeight="1">
      <c r="B12" s="8"/>
      <c r="C12" s="13" t="s">
        <v>98</v>
      </c>
      <c r="D12" s="130">
        <f ca="1">'#12'!D14</f>
        <v>6</v>
      </c>
      <c r="E12" s="9"/>
    </row>
    <row r="13" spans="2:7" ht="15.75" customHeight="1">
      <c r="B13" s="8"/>
      <c r="C13" s="13"/>
      <c r="D13" s="133"/>
      <c r="E13" s="9"/>
    </row>
    <row r="14" spans="2:7" ht="15.75" customHeight="1">
      <c r="B14" s="8"/>
      <c r="C14" s="13" t="s">
        <v>32</v>
      </c>
      <c r="D14" s="132">
        <f ca="1">'#12'!D17</f>
        <v>0.11</v>
      </c>
      <c r="E14" s="9"/>
    </row>
    <row r="15" spans="2:7" ht="15.75" customHeight="1" thickBot="1">
      <c r="B15" s="10"/>
      <c r="C15" s="66"/>
      <c r="D15" s="66"/>
      <c r="E15" s="12"/>
    </row>
    <row r="16" spans="2:7" ht="15.75" customHeight="1">
      <c r="B16" s="65"/>
      <c r="E16" s="65"/>
    </row>
    <row r="17" spans="2:8" ht="15.75" customHeight="1">
      <c r="C17" s="2" t="s">
        <v>2</v>
      </c>
    </row>
    <row r="18" spans="2:8" ht="15.75" customHeight="1" thickBot="1"/>
    <row r="19" spans="2:8" ht="15.75" customHeight="1">
      <c r="B19" s="15"/>
      <c r="C19" s="16"/>
      <c r="D19" s="16"/>
      <c r="E19" s="17"/>
    </row>
    <row r="20" spans="2:8" ht="15.75" customHeight="1">
      <c r="B20" s="18"/>
      <c r="C20" s="19" t="s">
        <v>68</v>
      </c>
      <c r="D20" s="60"/>
      <c r="E20" s="21"/>
      <c r="F20" s="30"/>
      <c r="G20" s="30"/>
      <c r="H20" s="30"/>
    </row>
    <row r="21" spans="2:8" ht="15.75" customHeight="1">
      <c r="B21" s="18"/>
      <c r="C21" s="19" t="s">
        <v>43</v>
      </c>
      <c r="D21" s="139">
        <f>PMT(D14,D9,-D8)</f>
        <v>-124924.64194876517</v>
      </c>
      <c r="E21" s="21"/>
      <c r="F21" s="30"/>
      <c r="G21" s="30"/>
      <c r="H21" s="30"/>
    </row>
    <row r="22" spans="2:8" ht="15.75" customHeight="1">
      <c r="B22" s="18"/>
      <c r="C22" s="19" t="s">
        <v>67</v>
      </c>
      <c r="D22" s="88"/>
      <c r="E22" s="21"/>
      <c r="F22" s="30"/>
      <c r="G22" s="30"/>
      <c r="H22" s="30"/>
    </row>
    <row r="23" spans="2:8" ht="15.75" customHeight="1">
      <c r="B23" s="18"/>
      <c r="C23" s="19" t="s">
        <v>43</v>
      </c>
      <c r="D23" s="131">
        <f>PMT(D14,D12,-D11)</f>
        <v>-122282.50825356097</v>
      </c>
      <c r="E23" s="21"/>
      <c r="F23" s="30"/>
      <c r="G23" s="30"/>
      <c r="H23" s="30"/>
    </row>
    <row r="24" spans="2:8" ht="15.75" customHeight="1">
      <c r="B24" s="18"/>
      <c r="C24" s="19"/>
      <c r="D24" s="88"/>
      <c r="E24" s="21"/>
      <c r="F24" s="30"/>
      <c r="G24" s="30"/>
      <c r="H24" s="30"/>
    </row>
    <row r="25" spans="2:8" ht="15.75" customHeight="1">
      <c r="B25" s="18"/>
      <c r="C25" s="19" t="s">
        <v>101</v>
      </c>
      <c r="D25" s="75" t="str">
        <f>IF(D21&gt;D23,"System A","System B")</f>
        <v>System B</v>
      </c>
      <c r="E25" s="21"/>
      <c r="F25" s="30"/>
      <c r="G25" s="30"/>
      <c r="H25" s="30"/>
    </row>
    <row r="26" spans="2:8" ht="15.75" customHeight="1">
      <c r="B26" s="18"/>
      <c r="C26" s="19" t="s">
        <v>100</v>
      </c>
      <c r="D26" s="19"/>
      <c r="E26" s="21"/>
      <c r="F26" s="30"/>
      <c r="G26" s="30"/>
      <c r="H26" s="30"/>
    </row>
    <row r="27" spans="2:8" ht="15.75" customHeight="1">
      <c r="B27" s="18"/>
      <c r="C27" s="19" t="s">
        <v>99</v>
      </c>
      <c r="D27" s="19"/>
      <c r="E27" s="21"/>
      <c r="F27" s="30"/>
      <c r="G27" s="30"/>
      <c r="H27" s="30"/>
    </row>
    <row r="28" spans="2:8" ht="15.75" customHeight="1" thickBot="1">
      <c r="B28" s="23"/>
      <c r="C28" s="24"/>
      <c r="D28" s="24"/>
      <c r="E28" s="25"/>
      <c r="F28" s="30"/>
      <c r="G28" s="30"/>
      <c r="H28" s="30"/>
    </row>
    <row r="29" spans="2:8" ht="15.75" customHeight="1">
      <c r="B29" s="14"/>
      <c r="E29" s="14"/>
      <c r="F29" s="14"/>
      <c r="G29" s="14"/>
      <c r="H29" s="14"/>
    </row>
    <row r="30" spans="2:8" ht="15.75" customHeight="1">
      <c r="D30" s="26"/>
    </row>
    <row r="31" spans="2:8" ht="15.75" customHeight="1"/>
    <row r="32" spans="2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1228"/>
  <sheetViews>
    <sheetView workbookViewId="0"/>
  </sheetViews>
  <sheetFormatPr defaultRowHeight="12.75"/>
  <cols>
    <col min="2" max="2" width="3.140625" customWidth="1"/>
    <col min="3" max="3" width="29.7109375" customWidth="1"/>
    <col min="4" max="4" width="19.5703125" bestFit="1" customWidth="1"/>
    <col min="5" max="5" width="3.140625" customWidth="1"/>
    <col min="6" max="6" width="20.5703125" customWidth="1"/>
    <col min="7" max="7" width="3.140625" customWidth="1"/>
  </cols>
  <sheetData>
    <row r="1" spans="2:5" ht="18">
      <c r="C1" s="1" t="s">
        <v>436</v>
      </c>
    </row>
    <row r="2" spans="2:5" ht="15.75" customHeight="1">
      <c r="C2" s="3" t="s">
        <v>29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13" t="s">
        <v>151</v>
      </c>
      <c r="D7" s="27"/>
      <c r="E7" s="9"/>
    </row>
    <row r="8" spans="2:5" ht="15.75" customHeight="1">
      <c r="B8" s="8"/>
      <c r="C8" s="13" t="s">
        <v>58</v>
      </c>
      <c r="D8" s="85">
        <v>2900000</v>
      </c>
      <c r="E8" s="9"/>
    </row>
    <row r="9" spans="2:5" ht="15.75" customHeight="1">
      <c r="B9" s="8"/>
      <c r="C9" s="13" t="s">
        <v>80</v>
      </c>
      <c r="D9" s="153">
        <v>0.35</v>
      </c>
      <c r="E9" s="9"/>
    </row>
    <row r="10" spans="2:5" ht="15.75" customHeight="1">
      <c r="B10" s="8"/>
      <c r="C10" s="13" t="s">
        <v>81</v>
      </c>
      <c r="D10" s="85">
        <v>195000</v>
      </c>
      <c r="E10" s="9"/>
    </row>
    <row r="11" spans="2:5" ht="15.75" customHeight="1">
      <c r="B11" s="8"/>
      <c r="C11" s="13" t="s">
        <v>48</v>
      </c>
      <c r="D11" s="145">
        <v>6</v>
      </c>
      <c r="E11" s="9"/>
    </row>
    <row r="12" spans="2:5" ht="15.75" customHeight="1">
      <c r="B12" s="8"/>
      <c r="C12" s="13" t="s">
        <v>152</v>
      </c>
      <c r="D12" s="146"/>
      <c r="E12" s="9"/>
    </row>
    <row r="13" spans="2:5" ht="15.75" customHeight="1">
      <c r="B13" s="8"/>
      <c r="C13" s="13" t="s">
        <v>58</v>
      </c>
      <c r="D13" s="85">
        <v>5700000</v>
      </c>
      <c r="E13" s="9"/>
    </row>
    <row r="14" spans="2:5" ht="15.75" customHeight="1">
      <c r="B14" s="8"/>
      <c r="C14" s="13" t="s">
        <v>80</v>
      </c>
      <c r="D14" s="153">
        <v>0.3</v>
      </c>
      <c r="E14" s="9"/>
    </row>
    <row r="15" spans="2:5" ht="15.75" customHeight="1">
      <c r="B15" s="8"/>
      <c r="C15" s="13" t="s">
        <v>81</v>
      </c>
      <c r="D15" s="85">
        <v>165000</v>
      </c>
      <c r="E15" s="9"/>
    </row>
    <row r="16" spans="2:5" ht="15.75" customHeight="1">
      <c r="B16" s="8"/>
      <c r="C16" s="13" t="s">
        <v>48</v>
      </c>
      <c r="D16" s="145">
        <v>9</v>
      </c>
      <c r="E16" s="9"/>
    </row>
    <row r="17" spans="1:8" ht="15.75" customHeight="1">
      <c r="B17" s="8"/>
      <c r="C17" s="13" t="s">
        <v>50</v>
      </c>
      <c r="D17" s="146"/>
      <c r="E17" s="9"/>
    </row>
    <row r="18" spans="1:8" ht="15.75" customHeight="1">
      <c r="B18" s="8"/>
      <c r="C18" s="13" t="s">
        <v>10</v>
      </c>
      <c r="D18" s="85">
        <v>12000000</v>
      </c>
      <c r="E18" s="9"/>
    </row>
    <row r="19" spans="1:8" ht="15.75" customHeight="1">
      <c r="B19" s="8"/>
      <c r="C19" s="13" t="s">
        <v>6</v>
      </c>
      <c r="D19" s="84">
        <v>0.35</v>
      </c>
      <c r="E19" s="9"/>
    </row>
    <row r="20" spans="1:8" ht="15.75" customHeight="1">
      <c r="B20" s="8"/>
      <c r="C20" s="13" t="s">
        <v>32</v>
      </c>
      <c r="D20" s="84">
        <v>0.1</v>
      </c>
      <c r="E20" s="9"/>
    </row>
    <row r="21" spans="1:8" ht="15.75" customHeight="1">
      <c r="B21" s="8"/>
      <c r="C21" s="13" t="s">
        <v>35</v>
      </c>
      <c r="D21" s="96"/>
      <c r="E21" s="9"/>
    </row>
    <row r="22" spans="1:8" ht="15.75" customHeight="1" thickBot="1">
      <c r="B22" s="10"/>
      <c r="C22" s="66"/>
      <c r="D22" s="66"/>
      <c r="E22" s="12"/>
    </row>
    <row r="23" spans="1:8" ht="15.75" customHeight="1">
      <c r="B23" s="65"/>
      <c r="E23" s="65"/>
    </row>
    <row r="24" spans="1:8" ht="15.75" customHeight="1">
      <c r="C24" s="2" t="s">
        <v>2</v>
      </c>
    </row>
    <row r="25" spans="1:8" ht="15.75" customHeight="1" thickBot="1"/>
    <row r="26" spans="1:8" ht="15.75" customHeight="1">
      <c r="B26" s="15"/>
      <c r="C26" s="16"/>
      <c r="D26" s="16"/>
      <c r="E26" s="16"/>
      <c r="F26" s="217"/>
      <c r="G26" s="179"/>
    </row>
    <row r="27" spans="1:8" ht="15.75" customHeight="1">
      <c r="A27" s="201"/>
      <c r="B27" s="202"/>
      <c r="C27" s="203"/>
      <c r="D27" s="204" t="s">
        <v>153</v>
      </c>
      <c r="E27" s="204"/>
      <c r="F27" s="218" t="s">
        <v>154</v>
      </c>
      <c r="G27" s="216"/>
      <c r="H27" s="201"/>
    </row>
    <row r="28" spans="1:8" ht="15.75" customHeight="1">
      <c r="A28" s="201"/>
      <c r="B28" s="202"/>
      <c r="C28" s="203" t="s">
        <v>80</v>
      </c>
      <c r="D28" s="207">
        <f>D18*-D9</f>
        <v>-4200000</v>
      </c>
      <c r="E28" s="207"/>
      <c r="F28" s="207">
        <f>D18*-D14</f>
        <v>-3600000</v>
      </c>
      <c r="G28" s="216"/>
      <c r="H28" s="201"/>
    </row>
    <row r="29" spans="1:8" ht="15.75" customHeight="1">
      <c r="A29" s="201"/>
      <c r="B29" s="202"/>
      <c r="C29" s="203" t="s">
        <v>81</v>
      </c>
      <c r="D29" s="210">
        <f>-D10</f>
        <v>-195000</v>
      </c>
      <c r="E29" s="210"/>
      <c r="F29" s="210">
        <f>-D15</f>
        <v>-165000</v>
      </c>
      <c r="G29" s="216"/>
      <c r="H29" s="201"/>
    </row>
    <row r="30" spans="1:8" ht="15.75" customHeight="1">
      <c r="A30" s="201"/>
      <c r="B30" s="202"/>
      <c r="C30" s="203" t="s">
        <v>5</v>
      </c>
      <c r="D30" s="211">
        <f>-D8/D11</f>
        <v>-483333.33333333331</v>
      </c>
      <c r="E30" s="210"/>
      <c r="F30" s="211">
        <f>D13/-D16</f>
        <v>-633333.33333333337</v>
      </c>
      <c r="G30" s="216"/>
      <c r="H30" s="201"/>
    </row>
    <row r="31" spans="1:8" ht="15.75" customHeight="1">
      <c r="A31" s="201"/>
      <c r="B31" s="202"/>
      <c r="C31" s="203" t="s">
        <v>8</v>
      </c>
      <c r="D31" s="207">
        <f>D28+D29+D30</f>
        <v>-4878333.333333333</v>
      </c>
      <c r="E31" s="207"/>
      <c r="F31" s="207">
        <f>F28+F29+F30</f>
        <v>-4398333.333333333</v>
      </c>
      <c r="G31" s="216"/>
      <c r="H31" s="201"/>
    </row>
    <row r="32" spans="1:8" ht="15.75" customHeight="1">
      <c r="A32" s="201"/>
      <c r="B32" s="202"/>
      <c r="C32" s="203" t="s">
        <v>155</v>
      </c>
      <c r="D32" s="212">
        <f>D31*-D19</f>
        <v>1707416.6666666665</v>
      </c>
      <c r="E32" s="214"/>
      <c r="F32" s="212">
        <f>-F31*D19</f>
        <v>1539416.6666666665</v>
      </c>
      <c r="G32" s="216"/>
      <c r="H32" s="201"/>
    </row>
    <row r="33" spans="1:8" ht="15.75" customHeight="1">
      <c r="A33" s="201"/>
      <c r="B33" s="202"/>
      <c r="C33" s="203" t="s">
        <v>115</v>
      </c>
      <c r="D33" s="207">
        <f>D31+D32</f>
        <v>-3170916.6666666665</v>
      </c>
      <c r="E33" s="215"/>
      <c r="F33" s="207">
        <f>F31+F32</f>
        <v>-2858916.6666666665</v>
      </c>
      <c r="G33" s="216"/>
      <c r="H33" s="201"/>
    </row>
    <row r="34" spans="1:8" ht="15.75" customHeight="1">
      <c r="A34" s="201"/>
      <c r="B34" s="202"/>
      <c r="C34" s="209" t="s">
        <v>156</v>
      </c>
      <c r="D34" s="211">
        <f>-D30</f>
        <v>483333.33333333331</v>
      </c>
      <c r="E34" s="207"/>
      <c r="F34" s="211">
        <f>-F30</f>
        <v>633333.33333333337</v>
      </c>
      <c r="G34" s="216"/>
      <c r="H34" s="201"/>
    </row>
    <row r="35" spans="1:8" ht="15.75" customHeight="1">
      <c r="A35" s="201"/>
      <c r="B35" s="202"/>
      <c r="C35" s="203" t="s">
        <v>11</v>
      </c>
      <c r="D35" s="207">
        <f>D33+D34</f>
        <v>-2687583.333333333</v>
      </c>
      <c r="E35" s="214"/>
      <c r="F35" s="207">
        <f>F33+F34</f>
        <v>-2225583.333333333</v>
      </c>
      <c r="G35" s="216"/>
      <c r="H35" s="201"/>
    </row>
    <row r="36" spans="1:8" ht="15.75" customHeight="1">
      <c r="A36" s="201"/>
      <c r="B36" s="202"/>
      <c r="C36" s="203"/>
      <c r="D36" s="203"/>
      <c r="E36" s="203"/>
      <c r="F36" s="219"/>
      <c r="G36" s="216"/>
      <c r="H36" s="201"/>
    </row>
    <row r="37" spans="1:8" ht="15.75" customHeight="1">
      <c r="A37" s="201"/>
      <c r="B37" s="202"/>
      <c r="C37" s="203" t="s">
        <v>21</v>
      </c>
      <c r="D37" s="206">
        <f>-D8+PV(D20,D11,-D35)</f>
        <v>-14605126.06819636</v>
      </c>
      <c r="E37" s="203"/>
      <c r="F37" s="206">
        <f>-D13+PV(D20,D16,-F35)</f>
        <v>-18517187.421771709</v>
      </c>
      <c r="G37" s="205"/>
      <c r="H37" s="201"/>
    </row>
    <row r="38" spans="1:8" ht="15.75" customHeight="1">
      <c r="A38" s="201"/>
      <c r="B38" s="202"/>
      <c r="C38" s="203" t="s">
        <v>43</v>
      </c>
      <c r="D38" s="206">
        <f>PMT(D20,D11,-D37)</f>
        <v>-3353444.7363850679</v>
      </c>
      <c r="E38" s="357"/>
      <c r="F38" s="206">
        <f>PMT(D20,D16,-F37)</f>
        <v>-3215334.4060570905</v>
      </c>
      <c r="G38" s="205"/>
      <c r="H38" s="201"/>
    </row>
    <row r="39" spans="1:8" ht="15.75" customHeight="1">
      <c r="A39" s="201"/>
      <c r="B39" s="202"/>
      <c r="C39" s="203"/>
      <c r="D39" s="208"/>
      <c r="E39" s="203"/>
      <c r="F39" s="203"/>
      <c r="G39" s="205"/>
      <c r="H39" s="201"/>
    </row>
    <row r="40" spans="1:8" ht="15.75" customHeight="1">
      <c r="B40" s="18"/>
      <c r="C40" s="75" t="str">
        <f>IF(D38&gt;F38,"System A","System B")</f>
        <v>System B</v>
      </c>
      <c r="D40" s="19" t="s">
        <v>157</v>
      </c>
      <c r="E40" s="20"/>
      <c r="F40" s="20"/>
      <c r="G40" s="21"/>
    </row>
    <row r="41" spans="1:8" ht="15.75" customHeight="1">
      <c r="B41" s="18"/>
      <c r="C41" s="19" t="s">
        <v>99</v>
      </c>
      <c r="D41" s="213"/>
      <c r="E41" s="20"/>
      <c r="F41" s="20"/>
      <c r="G41" s="21"/>
    </row>
    <row r="42" spans="1:8" ht="15.75" customHeight="1" thickBot="1">
      <c r="B42" s="23"/>
      <c r="C42" s="24"/>
      <c r="D42" s="24"/>
      <c r="E42" s="24"/>
      <c r="F42" s="24"/>
      <c r="G42" s="25"/>
    </row>
    <row r="43" spans="1:8" ht="15.75" customHeight="1">
      <c r="B43" s="14"/>
      <c r="E43" s="14"/>
      <c r="F43" s="14"/>
      <c r="G43" s="14"/>
    </row>
    <row r="44" spans="1:8" ht="15.75" customHeight="1">
      <c r="D44" s="26"/>
    </row>
    <row r="45" spans="1:8" ht="15.75" customHeight="1"/>
    <row r="46" spans="1:8" ht="15.75" customHeight="1"/>
    <row r="47" spans="1:8" ht="15.75" customHeight="1"/>
    <row r="48" spans="1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  <row r="1072" ht="15.75" customHeight="1"/>
    <row r="1073" ht="15.75" customHeight="1"/>
    <row r="1074" ht="15.75" customHeight="1"/>
    <row r="1075" ht="15.75" customHeight="1"/>
    <row r="1076" ht="15.75" customHeight="1"/>
    <row r="1077" ht="15.75" customHeight="1"/>
    <row r="1078" ht="15.75" customHeight="1"/>
    <row r="1079" ht="15.75" customHeight="1"/>
    <row r="1080" ht="15.75" customHeight="1"/>
    <row r="1081" ht="15.75" customHeight="1"/>
    <row r="1082" ht="15.75" customHeight="1"/>
    <row r="1083" ht="15.75" customHeight="1"/>
    <row r="1084" ht="15.75" customHeight="1"/>
    <row r="1085" ht="15.75" customHeight="1"/>
    <row r="1086" ht="15.75" customHeight="1"/>
    <row r="1087" ht="15.75" customHeight="1"/>
    <row r="1088" ht="15.75" customHeight="1"/>
    <row r="1089" ht="15.75" customHeight="1"/>
    <row r="1090" ht="15.75" customHeight="1"/>
    <row r="1091" ht="15.75" customHeight="1"/>
    <row r="1092" ht="15.75" customHeight="1"/>
    <row r="1093" ht="15.75" customHeight="1"/>
    <row r="1094" ht="15.75" customHeight="1"/>
    <row r="1095" ht="15.75" customHeight="1"/>
    <row r="1096" ht="15.75" customHeight="1"/>
    <row r="1097" ht="15.75" customHeight="1"/>
    <row r="1098" ht="15.75" customHeight="1"/>
    <row r="1099" ht="15.75" customHeight="1"/>
    <row r="1100" ht="15.75" customHeight="1"/>
    <row r="1101" ht="15.75" customHeight="1"/>
    <row r="1102" ht="15.75" customHeight="1"/>
    <row r="1103" ht="15.75" customHeight="1"/>
    <row r="1104" ht="15.75" customHeight="1"/>
    <row r="1105" ht="15.75" customHeight="1"/>
    <row r="1106" ht="15.75" customHeight="1"/>
    <row r="1107" ht="15.75" customHeight="1"/>
    <row r="1108" ht="15.75" customHeight="1"/>
    <row r="1109" ht="15.75" customHeight="1"/>
    <row r="1110" ht="15.75" customHeight="1"/>
    <row r="1111" ht="15.75" customHeight="1"/>
    <row r="1112" ht="15.75" customHeight="1"/>
    <row r="1113" ht="15.75" customHeight="1"/>
    <row r="1114" ht="15.75" customHeight="1"/>
    <row r="1115" ht="15.75" customHeight="1"/>
    <row r="1116" ht="15.75" customHeight="1"/>
    <row r="1117" ht="15.75" customHeight="1"/>
    <row r="1118" ht="15.75" customHeight="1"/>
    <row r="1119" ht="15.75" customHeight="1"/>
    <row r="1120" ht="15.75" customHeight="1"/>
    <row r="1121" ht="15.75" customHeight="1"/>
    <row r="1122" ht="15.75" customHeight="1"/>
    <row r="1123" ht="15.75" customHeight="1"/>
    <row r="1124" ht="15.75" customHeight="1"/>
    <row r="1125" ht="15.75" customHeight="1"/>
    <row r="1126" ht="15.75" customHeight="1"/>
    <row r="1127" ht="15.75" customHeight="1"/>
    <row r="1128" ht="15.75" customHeight="1"/>
    <row r="1129" ht="15.75" customHeight="1"/>
    <row r="1130" ht="15.75" customHeight="1"/>
    <row r="1131" ht="15.75" customHeight="1"/>
    <row r="1132" ht="15.75" customHeight="1"/>
    <row r="1133" ht="15.75" customHeight="1"/>
    <row r="1134" ht="15.75" customHeight="1"/>
    <row r="1135" ht="15.75" customHeight="1"/>
    <row r="1136" ht="15.75" customHeight="1"/>
    <row r="1137" ht="15.75" customHeight="1"/>
    <row r="1138" ht="15.75" customHeight="1"/>
    <row r="1139" ht="15.75" customHeight="1"/>
    <row r="1140" ht="15.75" customHeight="1"/>
    <row r="1141" ht="15.75" customHeight="1"/>
    <row r="1142" ht="15.75" customHeight="1"/>
    <row r="1143" ht="15.75" customHeight="1"/>
    <row r="1144" ht="15.75" customHeight="1"/>
    <row r="1145" ht="15.75" customHeight="1"/>
    <row r="1146" ht="15.75" customHeight="1"/>
    <row r="1147" ht="15.75" customHeight="1"/>
    <row r="1148" ht="15.75" customHeight="1"/>
    <row r="1149" ht="15.75" customHeight="1"/>
    <row r="1150" ht="15.75" customHeight="1"/>
    <row r="1151" ht="15.75" customHeight="1"/>
    <row r="1152" ht="15.75" customHeight="1"/>
    <row r="1153" ht="15.75" customHeight="1"/>
    <row r="1154" ht="15.75" customHeight="1"/>
    <row r="1155" ht="15.75" customHeight="1"/>
    <row r="1156" ht="15.75" customHeight="1"/>
    <row r="1157" ht="15.75" customHeight="1"/>
    <row r="1158" ht="15.75" customHeight="1"/>
    <row r="1159" ht="15.75" customHeight="1"/>
    <row r="1160" ht="15.75" customHeight="1"/>
    <row r="1161" ht="15.75" customHeight="1"/>
    <row r="1162" ht="15.75" customHeight="1"/>
    <row r="1163" ht="15.75" customHeight="1"/>
    <row r="1164" ht="15.75" customHeight="1"/>
    <row r="1165" ht="15.75" customHeight="1"/>
    <row r="1166" ht="15.75" customHeight="1"/>
    <row r="1167" ht="15.75" customHeight="1"/>
    <row r="1168" ht="15.75" customHeight="1"/>
    <row r="1169" ht="15.75" customHeight="1"/>
    <row r="1170" ht="15.75" customHeight="1"/>
    <row r="1171" ht="15.75" customHeight="1"/>
    <row r="1172" ht="15.75" customHeight="1"/>
    <row r="1173" ht="15.75" customHeight="1"/>
    <row r="1174" ht="15.75" customHeight="1"/>
    <row r="1175" ht="15.75" customHeight="1"/>
    <row r="1176" ht="15.75" customHeight="1"/>
    <row r="1177" ht="15.75" customHeight="1"/>
    <row r="1178" ht="15.75" customHeight="1"/>
    <row r="1179" ht="15.75" customHeight="1"/>
    <row r="1180" ht="15.75" customHeight="1"/>
    <row r="1181" ht="15.75" customHeight="1"/>
    <row r="1182" ht="15.75" customHeight="1"/>
    <row r="1183" ht="15.75" customHeight="1"/>
    <row r="1184" ht="15.75" customHeight="1"/>
    <row r="1185" ht="15.75" customHeight="1"/>
    <row r="1186" ht="15.75" customHeight="1"/>
    <row r="1187" ht="15.75" customHeight="1"/>
    <row r="1188" ht="15.75" customHeight="1"/>
    <row r="1189" ht="15.75" customHeight="1"/>
    <row r="1190" ht="15.75" customHeight="1"/>
    <row r="1191" ht="15.75" customHeight="1"/>
    <row r="1192" ht="15.75" customHeight="1"/>
    <row r="1193" ht="15.75" customHeight="1"/>
    <row r="1194" ht="15.75" customHeight="1"/>
    <row r="1195" ht="15.75" customHeight="1"/>
    <row r="1196" ht="15.75" customHeight="1"/>
    <row r="1197" ht="15.75" customHeight="1"/>
    <row r="1198" ht="15.75" customHeight="1"/>
    <row r="1199" ht="15.75" customHeight="1"/>
    <row r="1200" ht="15.75" customHeight="1"/>
    <row r="1201" ht="15.75" customHeight="1"/>
    <row r="1202" ht="15.75" customHeight="1"/>
    <row r="1203" ht="15.75" customHeight="1"/>
    <row r="1204" ht="15.75" customHeight="1"/>
    <row r="1205" ht="15.75" customHeight="1"/>
    <row r="1206" ht="15.75" customHeight="1"/>
    <row r="1207" ht="15.75" customHeight="1"/>
    <row r="1208" ht="15.75" customHeight="1"/>
    <row r="1209" ht="15.75" customHeight="1"/>
    <row r="1210" ht="15.75" customHeight="1"/>
    <row r="1211" ht="15.75" customHeight="1"/>
    <row r="1212" ht="15.75" customHeight="1"/>
    <row r="1213" ht="15.75" customHeight="1"/>
    <row r="1214" ht="15.75" customHeight="1"/>
    <row r="1215" ht="15.75" customHeight="1"/>
    <row r="1216" ht="15.75" customHeight="1"/>
    <row r="1217" ht="15.75" customHeight="1"/>
    <row r="1218" ht="15.75" customHeight="1"/>
    <row r="1219" ht="15.75" customHeight="1"/>
    <row r="1220" ht="15.75" customHeight="1"/>
    <row r="1221" ht="15.75" customHeight="1"/>
    <row r="1222" ht="15.75" customHeight="1"/>
    <row r="1223" ht="15.75" customHeight="1"/>
    <row r="1224" ht="15.75" customHeight="1"/>
    <row r="1225" ht="15.75" customHeight="1"/>
    <row r="1226" ht="15.75" customHeight="1"/>
    <row r="1227" ht="15.75" customHeight="1"/>
    <row r="1228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  <ignoredErrors>
    <ignoredError sqref="F34 D34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dimension ref="B1:I35"/>
  <sheetViews>
    <sheetView workbookViewId="0"/>
  </sheetViews>
  <sheetFormatPr defaultRowHeight="12.75"/>
  <cols>
    <col min="2" max="2" width="3.140625" customWidth="1"/>
    <col min="3" max="3" width="24.85546875" bestFit="1" customWidth="1"/>
    <col min="4" max="4" width="15.140625" customWidth="1"/>
    <col min="5" max="5" width="16" customWidth="1"/>
    <col min="6" max="6" width="3.140625" customWidth="1"/>
    <col min="7" max="7" width="10" customWidth="1"/>
    <col min="8" max="8" width="3.140625" customWidth="1"/>
  </cols>
  <sheetData>
    <row r="1" spans="2:9" s="3" customFormat="1" ht="18">
      <c r="C1" s="1" t="s">
        <v>436</v>
      </c>
      <c r="D1" s="1"/>
    </row>
    <row r="2" spans="2:9" s="3" customFormat="1" ht="15.75" customHeight="1">
      <c r="C2" s="3" t="s">
        <v>38</v>
      </c>
    </row>
    <row r="3" spans="2:9" s="3" customFormat="1" ht="15.75" customHeight="1"/>
    <row r="4" spans="2:9" s="3" customFormat="1" ht="15.75" customHeight="1">
      <c r="C4" s="2" t="s">
        <v>1</v>
      </c>
      <c r="D4" s="2"/>
    </row>
    <row r="5" spans="2:9" s="3" customFormat="1" ht="15.75" customHeight="1" thickBot="1">
      <c r="C5" s="241"/>
      <c r="D5" s="241"/>
      <c r="E5" s="242"/>
    </row>
    <row r="6" spans="2:9" s="3" customFormat="1" ht="15.75" customHeight="1">
      <c r="B6" s="111"/>
      <c r="C6" s="243"/>
      <c r="D6" s="243"/>
      <c r="E6" s="112"/>
      <c r="F6" s="113"/>
    </row>
    <row r="7" spans="2:9" s="3" customFormat="1" ht="30">
      <c r="B7" s="114"/>
      <c r="C7" s="244"/>
      <c r="D7" s="253" t="s">
        <v>208</v>
      </c>
      <c r="E7" s="253" t="s">
        <v>209</v>
      </c>
      <c r="F7" s="116"/>
    </row>
    <row r="8" spans="2:9" s="3" customFormat="1" ht="15.75" customHeight="1">
      <c r="B8" s="114"/>
      <c r="C8" s="244" t="s">
        <v>203</v>
      </c>
      <c r="D8" s="245" t="s">
        <v>204</v>
      </c>
      <c r="E8" s="246" t="s">
        <v>205</v>
      </c>
      <c r="F8" s="116"/>
      <c r="I8" s="247"/>
    </row>
    <row r="9" spans="2:9" s="3" customFormat="1" ht="15.75" customHeight="1">
      <c r="B9" s="114"/>
      <c r="C9" s="115" t="s">
        <v>180</v>
      </c>
      <c r="D9" s="85">
        <v>-50000</v>
      </c>
      <c r="E9" s="248">
        <v>-65000</v>
      </c>
      <c r="F9" s="116"/>
      <c r="I9" s="247"/>
    </row>
    <row r="10" spans="2:9" s="3" customFormat="1" ht="15.75" customHeight="1">
      <c r="B10" s="114"/>
      <c r="C10" s="115" t="s">
        <v>181</v>
      </c>
      <c r="D10" s="85">
        <v>30000</v>
      </c>
      <c r="E10" s="248">
        <v>29000</v>
      </c>
      <c r="F10" s="116"/>
      <c r="I10" s="247"/>
    </row>
    <row r="11" spans="2:9" s="3" customFormat="1" ht="15.75" customHeight="1">
      <c r="B11" s="114"/>
      <c r="C11" s="115" t="s">
        <v>182</v>
      </c>
      <c r="D11" s="85">
        <v>25000</v>
      </c>
      <c r="E11" s="248">
        <v>38000</v>
      </c>
      <c r="F11" s="116"/>
      <c r="I11" s="247"/>
    </row>
    <row r="12" spans="2:9" s="3" customFormat="1" ht="15.75" customHeight="1">
      <c r="B12" s="114"/>
      <c r="C12" s="115" t="s">
        <v>183</v>
      </c>
      <c r="D12" s="85">
        <v>20000</v>
      </c>
      <c r="E12" s="248">
        <v>41000</v>
      </c>
      <c r="F12" s="116"/>
      <c r="I12" s="247"/>
    </row>
    <row r="13" spans="2:9" s="3" customFormat="1" ht="15.75" customHeight="1">
      <c r="B13" s="114"/>
      <c r="C13" s="115"/>
      <c r="D13" s="85"/>
      <c r="E13" s="248"/>
      <c r="F13" s="116"/>
      <c r="I13" s="247"/>
    </row>
    <row r="14" spans="2:9" s="3" customFormat="1" ht="15.75" customHeight="1">
      <c r="B14" s="114"/>
      <c r="C14" s="115" t="s">
        <v>211</v>
      </c>
      <c r="D14" s="153">
        <v>0.13</v>
      </c>
      <c r="E14" s="248"/>
      <c r="F14" s="116"/>
      <c r="I14" s="247"/>
    </row>
    <row r="15" spans="2:9" s="3" customFormat="1" ht="15.75" customHeight="1">
      <c r="B15" s="114"/>
      <c r="C15" s="115" t="s">
        <v>207</v>
      </c>
      <c r="D15" s="153">
        <v>0.04</v>
      </c>
      <c r="E15" s="248"/>
      <c r="F15" s="116"/>
      <c r="I15" s="247"/>
    </row>
    <row r="16" spans="2:9" ht="15.75" customHeight="1" thickBot="1">
      <c r="B16" s="117"/>
      <c r="C16" s="118"/>
      <c r="D16" s="118"/>
      <c r="E16" s="177" t="s">
        <v>206</v>
      </c>
      <c r="F16" s="42"/>
    </row>
    <row r="17" spans="2:6" ht="15.75" customHeight="1">
      <c r="B17" s="47"/>
      <c r="C17" s="249"/>
      <c r="D17" s="249"/>
      <c r="E17" s="249"/>
      <c r="F17" s="47"/>
    </row>
    <row r="18" spans="2:6" ht="15.75" customHeight="1">
      <c r="B18" s="47"/>
      <c r="C18" s="250" t="s">
        <v>2</v>
      </c>
      <c r="D18" s="250"/>
      <c r="E18" s="249"/>
      <c r="F18" s="47"/>
    </row>
    <row r="19" spans="2:6" ht="15.75" customHeight="1" thickBot="1">
      <c r="B19" s="47"/>
      <c r="C19" s="249"/>
      <c r="D19" s="249"/>
      <c r="E19" s="249"/>
      <c r="F19" s="47"/>
    </row>
    <row r="20" spans="2:6" ht="15.75" customHeight="1">
      <c r="B20" s="119"/>
      <c r="C20" s="251"/>
      <c r="D20" s="251"/>
      <c r="E20" s="251"/>
      <c r="F20" s="73"/>
    </row>
    <row r="21" spans="2:6" ht="15.75" customHeight="1">
      <c r="B21" s="121"/>
      <c r="C21" s="67" t="s">
        <v>210</v>
      </c>
      <c r="D21" s="254">
        <f>((1+D14)/(1+D15))-1</f>
        <v>8.6538461538461453E-2</v>
      </c>
      <c r="E21" s="252"/>
      <c r="F21" s="123"/>
    </row>
    <row r="22" spans="2:6" ht="15.75" customHeight="1">
      <c r="B22" s="121"/>
      <c r="C22" s="252"/>
      <c r="D22" s="252"/>
      <c r="E22" s="252"/>
      <c r="F22" s="123"/>
    </row>
    <row r="23" spans="2:6" ht="15.75" customHeight="1">
      <c r="B23" s="121"/>
      <c r="C23" s="67" t="s">
        <v>212</v>
      </c>
      <c r="D23" s="131">
        <f>NPV(D21,D10:D12)+D9</f>
        <v>14378.64934226076</v>
      </c>
      <c r="E23" s="255"/>
      <c r="F23" s="123"/>
    </row>
    <row r="24" spans="2:6" ht="15.75" customHeight="1">
      <c r="B24" s="121"/>
      <c r="C24" s="252"/>
      <c r="D24" s="88"/>
      <c r="E24" s="252"/>
      <c r="F24" s="123"/>
    </row>
    <row r="25" spans="2:6" ht="15.75" customHeight="1">
      <c r="B25" s="121"/>
      <c r="C25" s="67" t="s">
        <v>213</v>
      </c>
      <c r="D25" s="131">
        <f>NPV(D14,E10:E12)+E9</f>
        <v>18838.347435749078</v>
      </c>
      <c r="E25" s="255"/>
      <c r="F25" s="123"/>
    </row>
    <row r="26" spans="2:6" ht="15.75" customHeight="1" thickBot="1">
      <c r="B26" s="124"/>
      <c r="C26" s="125"/>
      <c r="D26" s="125"/>
      <c r="E26" s="125"/>
      <c r="F26" s="126"/>
    </row>
    <row r="27" spans="2:6" ht="15.75" customHeight="1">
      <c r="B27" s="242"/>
      <c r="C27" s="242"/>
      <c r="D27" s="242"/>
      <c r="E27" s="242"/>
      <c r="F27" s="242"/>
    </row>
    <row r="28" spans="2:6" ht="15.75" customHeight="1">
      <c r="B28" s="242"/>
      <c r="C28" s="242"/>
      <c r="D28" s="242"/>
      <c r="E28" s="242"/>
      <c r="F28" s="242"/>
    </row>
    <row r="29" spans="2:6" ht="15.75" customHeight="1">
      <c r="B29" s="3"/>
      <c r="C29" s="3"/>
      <c r="D29" s="3"/>
      <c r="E29" s="3"/>
      <c r="F29" s="3"/>
    </row>
    <row r="30" spans="2:6" ht="15.75" customHeight="1">
      <c r="B30" s="3"/>
      <c r="C30" s="3"/>
      <c r="D30" s="3"/>
      <c r="E30" s="3"/>
      <c r="F30" s="3"/>
    </row>
    <row r="31" spans="2:6" ht="15.75" customHeight="1"/>
    <row r="32" spans="2:6" ht="15.75" customHeight="1"/>
    <row r="33" ht="15.75" customHeight="1"/>
    <row r="34" ht="15.75" customHeight="1"/>
    <row r="35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G1212"/>
  <sheetViews>
    <sheetView workbookViewId="0"/>
  </sheetViews>
  <sheetFormatPr defaultRowHeight="12.75"/>
  <cols>
    <col min="2" max="2" width="3.140625" customWidth="1"/>
    <col min="3" max="3" width="29.7109375" customWidth="1"/>
    <col min="4" max="4" width="19.5703125" bestFit="1" customWidth="1"/>
    <col min="5" max="5" width="3.140625" customWidth="1"/>
    <col min="6" max="6" width="20.5703125" customWidth="1"/>
    <col min="7" max="7" width="3.140625" customWidth="1"/>
  </cols>
  <sheetData>
    <row r="1" spans="2:5" ht="18">
      <c r="C1" s="1" t="s">
        <v>436</v>
      </c>
    </row>
    <row r="2" spans="2:5" ht="15.75" customHeight="1">
      <c r="C2" s="3" t="s">
        <v>40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s="256" customFormat="1" ht="15.75" customHeight="1">
      <c r="B7" s="257"/>
      <c r="C7" s="259" t="s">
        <v>214</v>
      </c>
      <c r="D7" s="91">
        <v>2800000</v>
      </c>
      <c r="E7" s="258"/>
    </row>
    <row r="8" spans="2:5" ht="15.75" customHeight="1">
      <c r="B8" s="8"/>
      <c r="C8" s="13" t="s">
        <v>215</v>
      </c>
      <c r="D8" s="260">
        <v>1.25</v>
      </c>
      <c r="E8" s="9"/>
    </row>
    <row r="9" spans="2:5" ht="15.75" customHeight="1">
      <c r="B9" s="8"/>
      <c r="C9" s="13" t="s">
        <v>216</v>
      </c>
      <c r="D9" s="261">
        <v>0.9</v>
      </c>
      <c r="E9" s="9"/>
    </row>
    <row r="10" spans="2:5" ht="15.75" customHeight="1">
      <c r="B10" s="8"/>
      <c r="C10" s="13" t="s">
        <v>217</v>
      </c>
      <c r="D10" s="153">
        <v>0.06</v>
      </c>
      <c r="E10" s="9"/>
    </row>
    <row r="11" spans="2:5" ht="15.75" customHeight="1">
      <c r="B11" s="8"/>
      <c r="C11" s="13" t="s">
        <v>218</v>
      </c>
      <c r="D11" s="153">
        <v>0.05</v>
      </c>
      <c r="E11" s="9"/>
    </row>
    <row r="12" spans="2:5" ht="15.75" customHeight="1">
      <c r="B12" s="8"/>
      <c r="C12" s="13" t="s">
        <v>6</v>
      </c>
      <c r="D12" s="84">
        <v>0.34</v>
      </c>
      <c r="E12" s="9"/>
    </row>
    <row r="13" spans="2:5" ht="15.75" customHeight="1">
      <c r="B13" s="8"/>
      <c r="C13" s="13" t="s">
        <v>32</v>
      </c>
      <c r="D13" s="84">
        <v>0.1</v>
      </c>
      <c r="E13" s="9"/>
    </row>
    <row r="14" spans="2:5" ht="15.75" customHeight="1" thickBot="1">
      <c r="B14" s="10"/>
      <c r="C14" s="66"/>
      <c r="D14" s="66"/>
      <c r="E14" s="12"/>
    </row>
    <row r="15" spans="2:5" ht="15.75" customHeight="1">
      <c r="B15" s="65"/>
      <c r="E15" s="65"/>
    </row>
    <row r="16" spans="2:5" ht="15.75" customHeight="1">
      <c r="C16" s="2" t="s">
        <v>2</v>
      </c>
    </row>
    <row r="17" spans="1:7" ht="15.75" customHeight="1" thickBot="1"/>
    <row r="18" spans="1:7" ht="15.75" customHeight="1">
      <c r="B18" s="15"/>
      <c r="C18" s="16"/>
      <c r="D18" s="217"/>
      <c r="E18" s="179"/>
    </row>
    <row r="19" spans="1:7" ht="15.75" customHeight="1">
      <c r="A19" s="201"/>
      <c r="B19" s="202"/>
      <c r="C19" s="203" t="s">
        <v>219</v>
      </c>
      <c r="D19" s="262">
        <f>D7*D8*(1-D12)</f>
        <v>2309999.9999999995</v>
      </c>
      <c r="E19" s="216"/>
      <c r="F19" s="201"/>
    </row>
    <row r="20" spans="1:7" ht="15.75" customHeight="1">
      <c r="A20" s="201"/>
      <c r="B20" s="202"/>
      <c r="C20" s="203" t="s">
        <v>220</v>
      </c>
      <c r="D20" s="207">
        <f>D7*D9*(1-D12)</f>
        <v>1663199.9999999998</v>
      </c>
      <c r="E20" s="216"/>
      <c r="F20" s="201"/>
    </row>
    <row r="21" spans="1:7" ht="15.75" customHeight="1">
      <c r="A21" s="201"/>
      <c r="B21" s="202"/>
      <c r="C21" s="203"/>
      <c r="D21" s="207"/>
      <c r="E21" s="216"/>
      <c r="F21" s="201"/>
    </row>
    <row r="22" spans="1:7" ht="15.75" customHeight="1">
      <c r="A22" s="201"/>
      <c r="B22" s="202"/>
      <c r="C22" s="203" t="s">
        <v>221</v>
      </c>
      <c r="D22" s="207">
        <f>D19/(D13-D10)</f>
        <v>57749999.999999978</v>
      </c>
      <c r="E22" s="216"/>
      <c r="F22" s="201"/>
    </row>
    <row r="23" spans="1:7" ht="15.75" customHeight="1">
      <c r="A23" s="201"/>
      <c r="B23" s="202"/>
      <c r="C23" s="203" t="s">
        <v>222</v>
      </c>
      <c r="D23" s="207">
        <f>D20/(D13-D11)</f>
        <v>33263999.999999993</v>
      </c>
      <c r="E23" s="216"/>
      <c r="F23" s="201"/>
    </row>
    <row r="24" spans="1:7" ht="15.75" customHeight="1">
      <c r="A24" s="201"/>
      <c r="B24" s="202"/>
      <c r="C24" s="203"/>
      <c r="D24" s="207"/>
      <c r="E24" s="216"/>
      <c r="F24" s="201"/>
    </row>
    <row r="25" spans="1:7" ht="15.75" customHeight="1">
      <c r="A25" s="201"/>
      <c r="B25" s="202"/>
      <c r="C25" s="203" t="s">
        <v>223</v>
      </c>
      <c r="D25" s="82">
        <f>D22-D23</f>
        <v>24485999.999999985</v>
      </c>
      <c r="E25" s="216"/>
      <c r="F25" s="201"/>
    </row>
    <row r="26" spans="1:7" ht="15.75" customHeight="1" thickBot="1">
      <c r="B26" s="23"/>
      <c r="C26" s="24"/>
      <c r="D26" s="24"/>
      <c r="E26" s="25"/>
    </row>
    <row r="27" spans="1:7" ht="15.75" customHeight="1">
      <c r="B27" s="14"/>
      <c r="E27" s="14"/>
      <c r="F27" s="14"/>
      <c r="G27" s="14"/>
    </row>
    <row r="28" spans="1:7" ht="15.75" customHeight="1">
      <c r="D28" s="26"/>
    </row>
    <row r="29" spans="1:7" ht="15.75" customHeight="1"/>
    <row r="30" spans="1:7" ht="15.75" customHeight="1"/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  <row r="1072" ht="15.75" customHeight="1"/>
    <row r="1073" ht="15.75" customHeight="1"/>
    <row r="1074" ht="15.75" customHeight="1"/>
    <row r="1075" ht="15.75" customHeight="1"/>
    <row r="1076" ht="15.75" customHeight="1"/>
    <row r="1077" ht="15.75" customHeight="1"/>
    <row r="1078" ht="15.75" customHeight="1"/>
    <row r="1079" ht="15.75" customHeight="1"/>
    <row r="1080" ht="15.75" customHeight="1"/>
    <row r="1081" ht="15.75" customHeight="1"/>
    <row r="1082" ht="15.75" customHeight="1"/>
    <row r="1083" ht="15.75" customHeight="1"/>
    <row r="1084" ht="15.75" customHeight="1"/>
    <row r="1085" ht="15.75" customHeight="1"/>
    <row r="1086" ht="15.75" customHeight="1"/>
    <row r="1087" ht="15.75" customHeight="1"/>
    <row r="1088" ht="15.75" customHeight="1"/>
    <row r="1089" ht="15.75" customHeight="1"/>
    <row r="1090" ht="15.75" customHeight="1"/>
    <row r="1091" ht="15.75" customHeight="1"/>
    <row r="1092" ht="15.75" customHeight="1"/>
    <row r="1093" ht="15.75" customHeight="1"/>
    <row r="1094" ht="15.75" customHeight="1"/>
    <row r="1095" ht="15.75" customHeight="1"/>
    <row r="1096" ht="15.75" customHeight="1"/>
    <row r="1097" ht="15.75" customHeight="1"/>
    <row r="1098" ht="15.75" customHeight="1"/>
    <row r="1099" ht="15.75" customHeight="1"/>
    <row r="1100" ht="15.75" customHeight="1"/>
    <row r="1101" ht="15.75" customHeight="1"/>
    <row r="1102" ht="15.75" customHeight="1"/>
    <row r="1103" ht="15.75" customHeight="1"/>
    <row r="1104" ht="15.75" customHeight="1"/>
    <row r="1105" ht="15.75" customHeight="1"/>
    <row r="1106" ht="15.75" customHeight="1"/>
    <row r="1107" ht="15.75" customHeight="1"/>
    <row r="1108" ht="15.75" customHeight="1"/>
    <row r="1109" ht="15.75" customHeight="1"/>
    <row r="1110" ht="15.75" customHeight="1"/>
    <row r="1111" ht="15.75" customHeight="1"/>
    <row r="1112" ht="15.75" customHeight="1"/>
    <row r="1113" ht="15.75" customHeight="1"/>
    <row r="1114" ht="15.75" customHeight="1"/>
    <row r="1115" ht="15.75" customHeight="1"/>
    <row r="1116" ht="15.75" customHeight="1"/>
    <row r="1117" ht="15.75" customHeight="1"/>
    <row r="1118" ht="15.75" customHeight="1"/>
    <row r="1119" ht="15.75" customHeight="1"/>
    <row r="1120" ht="15.75" customHeight="1"/>
    <row r="1121" ht="15.75" customHeight="1"/>
    <row r="1122" ht="15.75" customHeight="1"/>
    <row r="1123" ht="15.75" customHeight="1"/>
    <row r="1124" ht="15.75" customHeight="1"/>
    <row r="1125" ht="15.75" customHeight="1"/>
    <row r="1126" ht="15.75" customHeight="1"/>
    <row r="1127" ht="15.75" customHeight="1"/>
    <row r="1128" ht="15.75" customHeight="1"/>
    <row r="1129" ht="15.75" customHeight="1"/>
    <row r="1130" ht="15.75" customHeight="1"/>
    <row r="1131" ht="15.75" customHeight="1"/>
    <row r="1132" ht="15.75" customHeight="1"/>
    <row r="1133" ht="15.75" customHeight="1"/>
    <row r="1134" ht="15.75" customHeight="1"/>
    <row r="1135" ht="15.75" customHeight="1"/>
    <row r="1136" ht="15.75" customHeight="1"/>
    <row r="1137" ht="15.75" customHeight="1"/>
    <row r="1138" ht="15.75" customHeight="1"/>
    <row r="1139" ht="15.75" customHeight="1"/>
    <row r="1140" ht="15.75" customHeight="1"/>
    <row r="1141" ht="15.75" customHeight="1"/>
    <row r="1142" ht="15.75" customHeight="1"/>
    <row r="1143" ht="15.75" customHeight="1"/>
    <row r="1144" ht="15.75" customHeight="1"/>
    <row r="1145" ht="15.75" customHeight="1"/>
    <row r="1146" ht="15.75" customHeight="1"/>
    <row r="1147" ht="15.75" customHeight="1"/>
    <row r="1148" ht="15.75" customHeight="1"/>
    <row r="1149" ht="15.75" customHeight="1"/>
    <row r="1150" ht="15.75" customHeight="1"/>
    <row r="1151" ht="15.75" customHeight="1"/>
    <row r="1152" ht="15.75" customHeight="1"/>
    <row r="1153" ht="15.75" customHeight="1"/>
    <row r="1154" ht="15.75" customHeight="1"/>
    <row r="1155" ht="15.75" customHeight="1"/>
    <row r="1156" ht="15.75" customHeight="1"/>
    <row r="1157" ht="15.75" customHeight="1"/>
    <row r="1158" ht="15.75" customHeight="1"/>
    <row r="1159" ht="15.75" customHeight="1"/>
    <row r="1160" ht="15.75" customHeight="1"/>
    <row r="1161" ht="15.75" customHeight="1"/>
    <row r="1162" ht="15.75" customHeight="1"/>
    <row r="1163" ht="15.75" customHeight="1"/>
    <row r="1164" ht="15.75" customHeight="1"/>
    <row r="1165" ht="15.75" customHeight="1"/>
    <row r="1166" ht="15.75" customHeight="1"/>
    <row r="1167" ht="15.75" customHeight="1"/>
    <row r="1168" ht="15.75" customHeight="1"/>
    <row r="1169" ht="15.75" customHeight="1"/>
    <row r="1170" ht="15.75" customHeight="1"/>
    <row r="1171" ht="15.75" customHeight="1"/>
    <row r="1172" ht="15.75" customHeight="1"/>
    <row r="1173" ht="15.75" customHeight="1"/>
    <row r="1174" ht="15.75" customHeight="1"/>
    <row r="1175" ht="15.75" customHeight="1"/>
    <row r="1176" ht="15.75" customHeight="1"/>
    <row r="1177" ht="15.75" customHeight="1"/>
    <row r="1178" ht="15.75" customHeight="1"/>
    <row r="1179" ht="15.75" customHeight="1"/>
    <row r="1180" ht="15.75" customHeight="1"/>
    <row r="1181" ht="15.75" customHeight="1"/>
    <row r="1182" ht="15.75" customHeight="1"/>
    <row r="1183" ht="15.75" customHeight="1"/>
    <row r="1184" ht="15.75" customHeight="1"/>
    <row r="1185" ht="15.75" customHeight="1"/>
    <row r="1186" ht="15.75" customHeight="1"/>
    <row r="1187" ht="15.75" customHeight="1"/>
    <row r="1188" ht="15.75" customHeight="1"/>
    <row r="1189" ht="15.75" customHeight="1"/>
    <row r="1190" ht="15.75" customHeight="1"/>
    <row r="1191" ht="15.75" customHeight="1"/>
    <row r="1192" ht="15.75" customHeight="1"/>
    <row r="1193" ht="15.75" customHeight="1"/>
    <row r="1194" ht="15.75" customHeight="1"/>
    <row r="1195" ht="15.75" customHeight="1"/>
    <row r="1196" ht="15.75" customHeight="1"/>
    <row r="1197" ht="15.75" customHeight="1"/>
    <row r="1198" ht="15.75" customHeight="1"/>
    <row r="1199" ht="15.75" customHeight="1"/>
    <row r="1200" ht="15.75" customHeight="1"/>
    <row r="1201" ht="15.75" customHeight="1"/>
    <row r="1202" ht="15.75" customHeight="1"/>
    <row r="1203" ht="15.75" customHeight="1"/>
    <row r="1204" ht="15.75" customHeight="1"/>
    <row r="1205" ht="15.75" customHeight="1"/>
    <row r="1206" ht="15.75" customHeight="1"/>
    <row r="1207" ht="15.75" customHeight="1"/>
    <row r="1208" ht="15.75" customHeight="1"/>
    <row r="1209" ht="15.75" customHeight="1"/>
    <row r="1210" ht="15.75" customHeight="1"/>
    <row r="1211" ht="15.75" customHeight="1"/>
    <row r="1212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K1222"/>
  <sheetViews>
    <sheetView zoomScaleNormal="100" workbookViewId="0"/>
  </sheetViews>
  <sheetFormatPr defaultRowHeight="12.75"/>
  <cols>
    <col min="2" max="2" width="3.140625" customWidth="1"/>
    <col min="3" max="3" width="33.7109375" bestFit="1" customWidth="1"/>
    <col min="4" max="9" width="15.140625" customWidth="1"/>
    <col min="10" max="10" width="3.140625" customWidth="1"/>
  </cols>
  <sheetData>
    <row r="1" spans="2:5" ht="18">
      <c r="C1" s="1" t="s">
        <v>436</v>
      </c>
    </row>
    <row r="2" spans="2:5" ht="15.75" customHeight="1">
      <c r="C2" s="3" t="s">
        <v>42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s="256" customFormat="1" ht="15.75" customHeight="1">
      <c r="B7" s="257"/>
      <c r="C7" s="259" t="s">
        <v>31</v>
      </c>
      <c r="D7" s="85">
        <v>365000</v>
      </c>
      <c r="E7" s="258"/>
    </row>
    <row r="8" spans="2:5" ht="15.75" customHeight="1">
      <c r="B8" s="8"/>
      <c r="C8" s="13" t="s">
        <v>224</v>
      </c>
      <c r="D8" s="263">
        <v>245000</v>
      </c>
      <c r="E8" s="9"/>
    </row>
    <row r="9" spans="2:5" ht="15.75" customHeight="1">
      <c r="B9" s="8"/>
      <c r="C9" s="13" t="s">
        <v>225</v>
      </c>
      <c r="D9" s="264">
        <v>70000</v>
      </c>
      <c r="E9" s="9"/>
    </row>
    <row r="10" spans="2:5" ht="15.75" customHeight="1">
      <c r="B10" s="8"/>
      <c r="C10" s="13" t="s">
        <v>226</v>
      </c>
      <c r="D10" s="153">
        <v>0.03</v>
      </c>
      <c r="E10" s="9"/>
    </row>
    <row r="11" spans="2:5" ht="15.75" customHeight="1">
      <c r="B11" s="8"/>
      <c r="C11" s="13" t="s">
        <v>227</v>
      </c>
      <c r="D11" s="265">
        <v>45000</v>
      </c>
      <c r="E11" s="9"/>
    </row>
    <row r="12" spans="2:5" ht="15.75" customHeight="1">
      <c r="B12" s="8"/>
      <c r="C12" s="13" t="s">
        <v>91</v>
      </c>
      <c r="D12" s="265">
        <v>10000</v>
      </c>
      <c r="E12" s="9"/>
    </row>
    <row r="13" spans="2:5" ht="15.75" customHeight="1">
      <c r="B13" s="8"/>
      <c r="C13" s="13" t="s">
        <v>6</v>
      </c>
      <c r="D13" s="84">
        <v>0.34</v>
      </c>
      <c r="E13" s="9"/>
    </row>
    <row r="14" spans="2:5" ht="15.75" customHeight="1" thickBot="1">
      <c r="B14" s="10"/>
      <c r="C14" s="66"/>
      <c r="D14" s="66"/>
      <c r="E14" s="12"/>
    </row>
    <row r="15" spans="2:5" ht="15.75" customHeight="1">
      <c r="B15" s="65"/>
      <c r="E15" s="65"/>
    </row>
    <row r="16" spans="2:5" ht="15.75" customHeight="1">
      <c r="C16" s="2" t="s">
        <v>2</v>
      </c>
    </row>
    <row r="17" spans="1:11" ht="15.75" customHeight="1" thickBot="1"/>
    <row r="18" spans="1:11" ht="15.75" customHeight="1">
      <c r="B18" s="15"/>
      <c r="C18" s="16"/>
      <c r="D18" s="16"/>
      <c r="E18" s="16"/>
      <c r="F18" s="16"/>
      <c r="G18" s="16"/>
      <c r="H18" s="16"/>
      <c r="I18" s="217"/>
      <c r="J18" s="179"/>
    </row>
    <row r="19" spans="1:11" ht="15.75" customHeight="1">
      <c r="B19" s="18"/>
      <c r="C19" s="266" t="s">
        <v>51</v>
      </c>
      <c r="D19" s="20"/>
      <c r="E19" s="20"/>
      <c r="F19" s="20"/>
      <c r="G19" s="20"/>
      <c r="H19" s="20"/>
      <c r="I19" s="56"/>
      <c r="J19" s="180"/>
    </row>
    <row r="20" spans="1:11" ht="15.75" customHeight="1">
      <c r="B20" s="18"/>
      <c r="C20" s="19" t="s">
        <v>171</v>
      </c>
      <c r="D20" s="80">
        <f>D11</f>
        <v>45000</v>
      </c>
      <c r="E20" s="20"/>
      <c r="F20" s="20"/>
      <c r="G20" s="20"/>
      <c r="H20" s="20"/>
      <c r="I20" s="56"/>
      <c r="J20" s="180"/>
    </row>
    <row r="21" spans="1:11" ht="15.75" customHeight="1">
      <c r="B21" s="18"/>
      <c r="C21" s="19" t="s">
        <v>232</v>
      </c>
      <c r="D21" s="83">
        <f>-D11*D13</f>
        <v>-15300.000000000002</v>
      </c>
      <c r="E21" s="20"/>
      <c r="F21" s="20"/>
      <c r="G21" s="20"/>
      <c r="H21" s="20"/>
      <c r="I21" s="56"/>
      <c r="J21" s="180"/>
    </row>
    <row r="22" spans="1:11" ht="15.75" customHeight="1">
      <c r="B22" s="18"/>
      <c r="C22" s="19" t="s">
        <v>28</v>
      </c>
      <c r="D22" s="80">
        <f>D20+D21</f>
        <v>29700</v>
      </c>
      <c r="E22" s="20"/>
      <c r="F22" s="20"/>
      <c r="G22" s="20"/>
      <c r="H22" s="20"/>
      <c r="I22" s="56"/>
      <c r="J22" s="180"/>
    </row>
    <row r="23" spans="1:11" ht="15.75" customHeight="1">
      <c r="B23" s="18"/>
      <c r="C23" s="20"/>
      <c r="D23" s="20"/>
      <c r="E23" s="20"/>
      <c r="F23" s="20"/>
      <c r="G23" s="20"/>
      <c r="H23" s="20"/>
      <c r="I23" s="56"/>
      <c r="J23" s="180"/>
    </row>
    <row r="24" spans="1:11" ht="15.75" customHeight="1">
      <c r="B24" s="18"/>
      <c r="C24" s="20"/>
      <c r="D24" s="267" t="s">
        <v>180</v>
      </c>
      <c r="E24" s="267" t="s">
        <v>181</v>
      </c>
      <c r="F24" s="267" t="s">
        <v>182</v>
      </c>
      <c r="G24" s="267" t="s">
        <v>183</v>
      </c>
      <c r="H24" s="267" t="s">
        <v>184</v>
      </c>
      <c r="I24" s="268" t="s">
        <v>231</v>
      </c>
      <c r="J24" s="180"/>
    </row>
    <row r="25" spans="1:11" ht="15.75" customHeight="1">
      <c r="A25" s="201"/>
      <c r="B25" s="202"/>
      <c r="C25" s="219" t="s">
        <v>10</v>
      </c>
      <c r="D25" s="215"/>
      <c r="E25" s="272">
        <f>D8</f>
        <v>245000</v>
      </c>
      <c r="F25" s="272">
        <f t="shared" ref="F25:I26" si="0">E25*(1+$D$10)</f>
        <v>252350</v>
      </c>
      <c r="G25" s="272">
        <f t="shared" si="0"/>
        <v>259920.5</v>
      </c>
      <c r="H25" s="272">
        <f t="shared" si="0"/>
        <v>267718.11499999999</v>
      </c>
      <c r="I25" s="272">
        <f t="shared" si="0"/>
        <v>275749.65844999999</v>
      </c>
      <c r="J25" s="216"/>
      <c r="K25" s="201"/>
    </row>
    <row r="26" spans="1:11" ht="15.75" customHeight="1">
      <c r="A26" s="201"/>
      <c r="B26" s="202"/>
      <c r="C26" s="219" t="s">
        <v>229</v>
      </c>
      <c r="D26" s="215"/>
      <c r="E26" s="210">
        <f>D9</f>
        <v>70000</v>
      </c>
      <c r="F26" s="210">
        <f t="shared" si="0"/>
        <v>72100</v>
      </c>
      <c r="G26" s="210">
        <f t="shared" si="0"/>
        <v>74263</v>
      </c>
      <c r="H26" s="210">
        <f t="shared" si="0"/>
        <v>76490.89</v>
      </c>
      <c r="I26" s="210">
        <f t="shared" si="0"/>
        <v>78785.616699999999</v>
      </c>
      <c r="J26" s="216"/>
      <c r="K26" s="201"/>
    </row>
    <row r="27" spans="1:11" ht="15.75" customHeight="1">
      <c r="A27" s="201"/>
      <c r="B27" s="202"/>
      <c r="C27" s="219" t="s">
        <v>5</v>
      </c>
      <c r="D27" s="269"/>
      <c r="E27" s="211">
        <f>$D$7/5</f>
        <v>73000</v>
      </c>
      <c r="F27" s="211">
        <f>$D$7/5</f>
        <v>73000</v>
      </c>
      <c r="G27" s="211">
        <f>$D$7/5</f>
        <v>73000</v>
      </c>
      <c r="H27" s="211">
        <f>$D$7/5</f>
        <v>73000</v>
      </c>
      <c r="I27" s="211">
        <f>$D$7/5</f>
        <v>73000</v>
      </c>
      <c r="J27" s="216"/>
      <c r="K27" s="201"/>
    </row>
    <row r="28" spans="1:11" ht="15.75" customHeight="1">
      <c r="A28" s="201"/>
      <c r="B28" s="202"/>
      <c r="C28" s="219" t="s">
        <v>8</v>
      </c>
      <c r="D28" s="215"/>
      <c r="E28" s="272">
        <f>E25-E26-E27</f>
        <v>102000</v>
      </c>
      <c r="F28" s="272">
        <f>F25-F26-F27</f>
        <v>107250</v>
      </c>
      <c r="G28" s="272">
        <f>G25-G26-G27</f>
        <v>112657.5</v>
      </c>
      <c r="H28" s="272">
        <f>H25-H26-H27</f>
        <v>118227.22499999998</v>
      </c>
      <c r="I28" s="272">
        <f>I25-I26-I27</f>
        <v>123964.04174999997</v>
      </c>
      <c r="J28" s="216"/>
      <c r="K28" s="201"/>
    </row>
    <row r="29" spans="1:11" ht="15.75" customHeight="1">
      <c r="A29" s="201"/>
      <c r="B29" s="202"/>
      <c r="C29" s="219" t="s">
        <v>155</v>
      </c>
      <c r="D29" s="269"/>
      <c r="E29" s="211">
        <f>E28*$D$13</f>
        <v>34680</v>
      </c>
      <c r="F29" s="211">
        <f>F28*$D$13</f>
        <v>36465</v>
      </c>
      <c r="G29" s="211">
        <f>G28*$D$13</f>
        <v>38303.550000000003</v>
      </c>
      <c r="H29" s="211">
        <f>H28*$D$13</f>
        <v>40197.256499999996</v>
      </c>
      <c r="I29" s="211">
        <f>I28*$D$13</f>
        <v>42147.774194999991</v>
      </c>
      <c r="J29" s="216"/>
      <c r="K29" s="201"/>
    </row>
    <row r="30" spans="1:11" ht="15.75" customHeight="1" thickBot="1">
      <c r="A30" s="201"/>
      <c r="B30" s="202"/>
      <c r="C30" s="219" t="s">
        <v>115</v>
      </c>
      <c r="D30" s="271"/>
      <c r="E30" s="273">
        <f>E28-E29</f>
        <v>67320</v>
      </c>
      <c r="F30" s="273">
        <f>F28-F29</f>
        <v>70785</v>
      </c>
      <c r="G30" s="273">
        <f>G28-G29</f>
        <v>74353.95</v>
      </c>
      <c r="H30" s="273">
        <f>H28-H29</f>
        <v>78029.968499999988</v>
      </c>
      <c r="I30" s="273">
        <f>I28-I29</f>
        <v>81816.267554999984</v>
      </c>
      <c r="J30" s="216"/>
      <c r="K30" s="201"/>
    </row>
    <row r="31" spans="1:11" ht="15.75" customHeight="1" thickTop="1">
      <c r="A31" s="201"/>
      <c r="B31" s="202"/>
      <c r="C31" s="219" t="s">
        <v>11</v>
      </c>
      <c r="D31" s="215"/>
      <c r="E31" s="272">
        <f>E30+E27</f>
        <v>140320</v>
      </c>
      <c r="F31" s="272">
        <f>F30+F27</f>
        <v>143785</v>
      </c>
      <c r="G31" s="272">
        <f>G30+G27</f>
        <v>147353.95000000001</v>
      </c>
      <c r="H31" s="272">
        <f>H30+H27</f>
        <v>151029.96849999999</v>
      </c>
      <c r="I31" s="272">
        <f>I30+I27</f>
        <v>154816.26755499997</v>
      </c>
      <c r="J31" s="216"/>
      <c r="K31" s="201"/>
    </row>
    <row r="32" spans="1:11" ht="15.75" customHeight="1">
      <c r="A32" s="201"/>
      <c r="B32" s="202"/>
      <c r="C32" s="219"/>
      <c r="D32" s="215"/>
      <c r="E32" s="272"/>
      <c r="F32" s="272"/>
      <c r="G32" s="272"/>
      <c r="H32" s="272"/>
      <c r="I32" s="272"/>
      <c r="J32" s="216"/>
      <c r="K32" s="201"/>
    </row>
    <row r="33" spans="1:11" ht="15.75" customHeight="1">
      <c r="A33" s="201"/>
      <c r="B33" s="202"/>
      <c r="C33" s="219" t="s">
        <v>119</v>
      </c>
      <c r="D33" s="207">
        <f>-D7</f>
        <v>-365000</v>
      </c>
      <c r="E33" s="272"/>
      <c r="F33" s="272"/>
      <c r="G33" s="272"/>
      <c r="H33" s="272"/>
      <c r="I33" s="210">
        <f>D22</f>
        <v>29700</v>
      </c>
      <c r="J33" s="216"/>
      <c r="K33" s="201"/>
    </row>
    <row r="34" spans="1:11" ht="15.75" customHeight="1">
      <c r="A34" s="201"/>
      <c r="B34" s="202"/>
      <c r="C34" s="219" t="s">
        <v>91</v>
      </c>
      <c r="D34" s="211">
        <f>-D12</f>
        <v>-10000</v>
      </c>
      <c r="E34" s="211"/>
      <c r="F34" s="211"/>
      <c r="G34" s="211"/>
      <c r="H34" s="211"/>
      <c r="I34" s="211">
        <f>D12</f>
        <v>10000</v>
      </c>
      <c r="J34" s="216"/>
      <c r="K34" s="201"/>
    </row>
    <row r="35" spans="1:11" ht="15.75" customHeight="1">
      <c r="A35" s="201"/>
      <c r="B35" s="202"/>
      <c r="C35" s="219" t="s">
        <v>230</v>
      </c>
      <c r="D35" s="207">
        <f t="shared" ref="D35:I35" si="1">D31+D33+D34</f>
        <v>-375000</v>
      </c>
      <c r="E35" s="272">
        <f t="shared" si="1"/>
        <v>140320</v>
      </c>
      <c r="F35" s="272">
        <f t="shared" si="1"/>
        <v>143785</v>
      </c>
      <c r="G35" s="272">
        <f t="shared" si="1"/>
        <v>147353.95000000001</v>
      </c>
      <c r="H35" s="272">
        <f t="shared" si="1"/>
        <v>151029.96849999999</v>
      </c>
      <c r="I35" s="272">
        <f t="shared" si="1"/>
        <v>194516.26755499997</v>
      </c>
      <c r="J35" s="216"/>
      <c r="K35" s="201"/>
    </row>
    <row r="36" spans="1:11" ht="15.75" customHeight="1" thickBot="1">
      <c r="B36" s="23"/>
      <c r="C36" s="24"/>
      <c r="D36" s="24"/>
      <c r="E36" s="24"/>
      <c r="F36" s="24"/>
      <c r="G36" s="24"/>
      <c r="H36" s="24"/>
      <c r="I36" s="24"/>
      <c r="J36" s="25"/>
    </row>
    <row r="37" spans="1:11" ht="15.75" customHeight="1">
      <c r="B37" s="14"/>
      <c r="E37" s="14"/>
      <c r="F37" s="14"/>
    </row>
    <row r="38" spans="1:11" ht="15.75" customHeight="1">
      <c r="D38" s="26"/>
    </row>
    <row r="39" spans="1:11" ht="15.75" customHeight="1"/>
    <row r="40" spans="1:11" ht="15.75" customHeight="1"/>
    <row r="41" spans="1:11" ht="15.75" customHeight="1"/>
    <row r="42" spans="1:11" ht="15.75" customHeight="1"/>
    <row r="43" spans="1:11" ht="15.75" customHeight="1"/>
    <row r="44" spans="1:11" ht="15.75" customHeight="1"/>
    <row r="45" spans="1:11" ht="15.75" customHeight="1"/>
    <row r="46" spans="1:11" ht="15.75" customHeight="1"/>
    <row r="47" spans="1:11" ht="15.75" customHeight="1"/>
    <row r="48" spans="1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  <row r="1072" ht="15.75" customHeight="1"/>
    <row r="1073" ht="15.75" customHeight="1"/>
    <row r="1074" ht="15.75" customHeight="1"/>
    <row r="1075" ht="15.75" customHeight="1"/>
    <row r="1076" ht="15.75" customHeight="1"/>
    <row r="1077" ht="15.75" customHeight="1"/>
    <row r="1078" ht="15.75" customHeight="1"/>
    <row r="1079" ht="15.75" customHeight="1"/>
    <row r="1080" ht="15.75" customHeight="1"/>
    <row r="1081" ht="15.75" customHeight="1"/>
    <row r="1082" ht="15.75" customHeight="1"/>
    <row r="1083" ht="15.75" customHeight="1"/>
    <row r="1084" ht="15.75" customHeight="1"/>
    <row r="1085" ht="15.75" customHeight="1"/>
    <row r="1086" ht="15.75" customHeight="1"/>
    <row r="1087" ht="15.75" customHeight="1"/>
    <row r="1088" ht="15.75" customHeight="1"/>
    <row r="1089" ht="15.75" customHeight="1"/>
    <row r="1090" ht="15.75" customHeight="1"/>
    <row r="1091" ht="15.75" customHeight="1"/>
    <row r="1092" ht="15.75" customHeight="1"/>
    <row r="1093" ht="15.75" customHeight="1"/>
    <row r="1094" ht="15.75" customHeight="1"/>
    <row r="1095" ht="15.75" customHeight="1"/>
    <row r="1096" ht="15.75" customHeight="1"/>
    <row r="1097" ht="15.75" customHeight="1"/>
    <row r="1098" ht="15.75" customHeight="1"/>
    <row r="1099" ht="15.75" customHeight="1"/>
    <row r="1100" ht="15.75" customHeight="1"/>
    <row r="1101" ht="15.75" customHeight="1"/>
    <row r="1102" ht="15.75" customHeight="1"/>
    <row r="1103" ht="15.75" customHeight="1"/>
    <row r="1104" ht="15.75" customHeight="1"/>
    <row r="1105" ht="15.75" customHeight="1"/>
    <row r="1106" ht="15.75" customHeight="1"/>
    <row r="1107" ht="15.75" customHeight="1"/>
    <row r="1108" ht="15.75" customHeight="1"/>
    <row r="1109" ht="15.75" customHeight="1"/>
    <row r="1110" ht="15.75" customHeight="1"/>
    <row r="1111" ht="15.75" customHeight="1"/>
    <row r="1112" ht="15.75" customHeight="1"/>
    <row r="1113" ht="15.75" customHeight="1"/>
    <row r="1114" ht="15.75" customHeight="1"/>
    <row r="1115" ht="15.75" customHeight="1"/>
    <row r="1116" ht="15.75" customHeight="1"/>
    <row r="1117" ht="15.75" customHeight="1"/>
    <row r="1118" ht="15.75" customHeight="1"/>
    <row r="1119" ht="15.75" customHeight="1"/>
    <row r="1120" ht="15.75" customHeight="1"/>
    <row r="1121" ht="15.75" customHeight="1"/>
    <row r="1122" ht="15.75" customHeight="1"/>
    <row r="1123" ht="15.75" customHeight="1"/>
    <row r="1124" ht="15.75" customHeight="1"/>
    <row r="1125" ht="15.75" customHeight="1"/>
    <row r="1126" ht="15.75" customHeight="1"/>
    <row r="1127" ht="15.75" customHeight="1"/>
    <row r="1128" ht="15.75" customHeight="1"/>
    <row r="1129" ht="15.75" customHeight="1"/>
    <row r="1130" ht="15.75" customHeight="1"/>
    <row r="1131" ht="15.75" customHeight="1"/>
    <row r="1132" ht="15.75" customHeight="1"/>
    <row r="1133" ht="15.75" customHeight="1"/>
    <row r="1134" ht="15.75" customHeight="1"/>
    <row r="1135" ht="15.75" customHeight="1"/>
    <row r="1136" ht="15.75" customHeight="1"/>
    <row r="1137" ht="15.75" customHeight="1"/>
    <row r="1138" ht="15.75" customHeight="1"/>
    <row r="1139" ht="15.75" customHeight="1"/>
    <row r="1140" ht="15.75" customHeight="1"/>
    <row r="1141" ht="15.75" customHeight="1"/>
    <row r="1142" ht="15.75" customHeight="1"/>
    <row r="1143" ht="15.75" customHeight="1"/>
    <row r="1144" ht="15.75" customHeight="1"/>
    <row r="1145" ht="15.75" customHeight="1"/>
    <row r="1146" ht="15.75" customHeight="1"/>
    <row r="1147" ht="15.75" customHeight="1"/>
    <row r="1148" ht="15.75" customHeight="1"/>
    <row r="1149" ht="15.75" customHeight="1"/>
    <row r="1150" ht="15.75" customHeight="1"/>
    <row r="1151" ht="15.75" customHeight="1"/>
    <row r="1152" ht="15.75" customHeight="1"/>
    <row r="1153" ht="15.75" customHeight="1"/>
    <row r="1154" ht="15.75" customHeight="1"/>
    <row r="1155" ht="15.75" customHeight="1"/>
    <row r="1156" ht="15.75" customHeight="1"/>
    <row r="1157" ht="15.75" customHeight="1"/>
    <row r="1158" ht="15.75" customHeight="1"/>
    <row r="1159" ht="15.75" customHeight="1"/>
    <row r="1160" ht="15.75" customHeight="1"/>
    <row r="1161" ht="15.75" customHeight="1"/>
    <row r="1162" ht="15.75" customHeight="1"/>
    <row r="1163" ht="15.75" customHeight="1"/>
    <row r="1164" ht="15.75" customHeight="1"/>
    <row r="1165" ht="15.75" customHeight="1"/>
    <row r="1166" ht="15.75" customHeight="1"/>
    <row r="1167" ht="15.75" customHeight="1"/>
    <row r="1168" ht="15.75" customHeight="1"/>
    <row r="1169" ht="15.75" customHeight="1"/>
    <row r="1170" ht="15.75" customHeight="1"/>
    <row r="1171" ht="15.75" customHeight="1"/>
    <row r="1172" ht="15.75" customHeight="1"/>
    <row r="1173" ht="15.75" customHeight="1"/>
    <row r="1174" ht="15.75" customHeight="1"/>
    <row r="1175" ht="15.75" customHeight="1"/>
    <row r="1176" ht="15.75" customHeight="1"/>
    <row r="1177" ht="15.75" customHeight="1"/>
    <row r="1178" ht="15.75" customHeight="1"/>
    <row r="1179" ht="15.75" customHeight="1"/>
    <row r="1180" ht="15.75" customHeight="1"/>
    <row r="1181" ht="15.75" customHeight="1"/>
    <row r="1182" ht="15.75" customHeight="1"/>
    <row r="1183" ht="15.75" customHeight="1"/>
    <row r="1184" ht="15.75" customHeight="1"/>
    <row r="1185" ht="15.75" customHeight="1"/>
    <row r="1186" ht="15.75" customHeight="1"/>
    <row r="1187" ht="15.75" customHeight="1"/>
    <row r="1188" ht="15.75" customHeight="1"/>
    <row r="1189" ht="15.75" customHeight="1"/>
    <row r="1190" ht="15.75" customHeight="1"/>
    <row r="1191" ht="15.75" customHeight="1"/>
    <row r="1192" ht="15.75" customHeight="1"/>
    <row r="1193" ht="15.75" customHeight="1"/>
    <row r="1194" ht="15.75" customHeight="1"/>
    <row r="1195" ht="15.75" customHeight="1"/>
    <row r="1196" ht="15.75" customHeight="1"/>
    <row r="1197" ht="15.75" customHeight="1"/>
    <row r="1198" ht="15.75" customHeight="1"/>
    <row r="1199" ht="15.75" customHeight="1"/>
    <row r="1200" ht="15.75" customHeight="1"/>
    <row r="1201" ht="15.75" customHeight="1"/>
    <row r="1202" ht="15.75" customHeight="1"/>
    <row r="1203" ht="15.75" customHeight="1"/>
    <row r="1204" ht="15.75" customHeight="1"/>
    <row r="1205" ht="15.75" customHeight="1"/>
    <row r="1206" ht="15.75" customHeight="1"/>
    <row r="1207" ht="15.75" customHeight="1"/>
    <row r="1208" ht="15.75" customHeight="1"/>
    <row r="1209" ht="15.75" customHeight="1"/>
    <row r="1210" ht="15.75" customHeight="1"/>
    <row r="1211" ht="15.75" customHeight="1"/>
    <row r="1212" ht="15.75" customHeight="1"/>
    <row r="1213" ht="15.75" customHeight="1"/>
    <row r="1214" ht="15.75" customHeight="1"/>
    <row r="1215" ht="15.75" customHeight="1"/>
    <row r="1216" ht="15.75" customHeight="1"/>
    <row r="1217" ht="15.75" customHeight="1"/>
    <row r="1218" ht="15.75" customHeight="1"/>
    <row r="1219" ht="15.75" customHeight="1"/>
    <row r="1220" ht="15.75" customHeight="1"/>
    <row r="1221" ht="15.75" customHeight="1"/>
    <row r="1222" ht="15.75" customHeight="1"/>
  </sheetData>
  <phoneticPr fontId="0" type="noConversion"/>
  <pageMargins left="0.75" right="0.75" top="1" bottom="1" header="0.5" footer="0.5"/>
  <pageSetup scale="66" orientation="portrait" horizontalDpi="360" verticalDpi="360" r:id="rId1"/>
  <headerFooter alignWithMargins="0"/>
  <colBreaks count="1" manualBreakCount="1">
    <brk id="9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G1202"/>
  <sheetViews>
    <sheetView workbookViewId="0"/>
  </sheetViews>
  <sheetFormatPr defaultRowHeight="12.75"/>
  <cols>
    <col min="2" max="2" width="3.140625" customWidth="1"/>
    <col min="3" max="3" width="29.7109375" customWidth="1"/>
    <col min="4" max="4" width="19.5703125" bestFit="1" customWidth="1"/>
    <col min="5" max="5" width="3.140625" customWidth="1"/>
    <col min="6" max="6" width="20.5703125" customWidth="1"/>
    <col min="7" max="7" width="3.140625" customWidth="1"/>
  </cols>
  <sheetData>
    <row r="1" spans="1:6" ht="18">
      <c r="C1" s="1" t="s">
        <v>436</v>
      </c>
    </row>
    <row r="2" spans="1:6" ht="15.75" customHeight="1">
      <c r="C2" s="3" t="s">
        <v>44</v>
      </c>
    </row>
    <row r="3" spans="1:6" ht="15.75" customHeight="1"/>
    <row r="4" spans="1:6" ht="15.75" customHeight="1">
      <c r="C4" s="2" t="s">
        <v>1</v>
      </c>
    </row>
    <row r="5" spans="1:6" ht="15.75" customHeight="1" thickBot="1"/>
    <row r="6" spans="1:6" ht="15.75" customHeight="1">
      <c r="B6" s="5"/>
      <c r="C6" s="6"/>
      <c r="D6" s="6"/>
      <c r="E6" s="7"/>
    </row>
    <row r="7" spans="1:6" ht="15.75" customHeight="1">
      <c r="B7" s="8"/>
      <c r="C7" s="259" t="s">
        <v>233</v>
      </c>
      <c r="D7" s="263">
        <v>190000</v>
      </c>
      <c r="E7" s="9"/>
    </row>
    <row r="8" spans="1:6" ht="15.75" customHeight="1">
      <c r="B8" s="8"/>
      <c r="C8" s="13" t="s">
        <v>234</v>
      </c>
      <c r="D8" s="153">
        <v>-0.04</v>
      </c>
      <c r="E8" s="9"/>
    </row>
    <row r="9" spans="1:6" ht="15.75" customHeight="1">
      <c r="B9" s="8"/>
      <c r="C9" s="13" t="s">
        <v>210</v>
      </c>
      <c r="D9" s="153">
        <v>0.11</v>
      </c>
      <c r="E9" s="9"/>
    </row>
    <row r="10" spans="1:6" ht="15.75" customHeight="1" thickBot="1">
      <c r="B10" s="10"/>
      <c r="C10" s="66"/>
      <c r="D10" s="66"/>
      <c r="E10" s="12"/>
    </row>
    <row r="11" spans="1:6" ht="15.75" customHeight="1">
      <c r="B11" s="65"/>
      <c r="E11" s="65"/>
    </row>
    <row r="12" spans="1:6" ht="15.75" customHeight="1">
      <c r="C12" s="2" t="s">
        <v>2</v>
      </c>
    </row>
    <row r="13" spans="1:6" ht="15.75" customHeight="1" thickBot="1"/>
    <row r="14" spans="1:6" ht="15.75" customHeight="1">
      <c r="B14" s="15"/>
      <c r="C14" s="16"/>
      <c r="D14" s="217"/>
      <c r="E14" s="179"/>
    </row>
    <row r="15" spans="1:6" ht="15.75" customHeight="1">
      <c r="A15" s="201"/>
      <c r="B15" s="202"/>
      <c r="C15" s="203" t="s">
        <v>223</v>
      </c>
      <c r="D15" s="172">
        <f>D7/(D9-D8)</f>
        <v>1266666.6666666667</v>
      </c>
      <c r="E15" s="216"/>
      <c r="F15" s="201"/>
    </row>
    <row r="16" spans="1:6" ht="15.75" customHeight="1" thickBot="1">
      <c r="B16" s="23"/>
      <c r="C16" s="24"/>
      <c r="D16" s="24"/>
      <c r="E16" s="25"/>
    </row>
    <row r="17" spans="2:7" ht="15.75" customHeight="1">
      <c r="B17" s="14"/>
      <c r="E17" s="14"/>
      <c r="F17" s="14"/>
      <c r="G17" s="14"/>
    </row>
    <row r="18" spans="2:7" ht="15.75" customHeight="1">
      <c r="D18" s="26"/>
    </row>
    <row r="19" spans="2:7" ht="15.75" customHeight="1"/>
    <row r="20" spans="2:7" ht="15.75" customHeight="1"/>
    <row r="21" spans="2:7" ht="15.75" customHeight="1"/>
    <row r="22" spans="2:7" ht="15.75" customHeight="1"/>
    <row r="23" spans="2:7" ht="15.75" customHeight="1"/>
    <row r="24" spans="2:7" ht="15.75" customHeight="1"/>
    <row r="25" spans="2:7" ht="15.75" customHeight="1"/>
    <row r="26" spans="2:7" ht="15.75" customHeight="1"/>
    <row r="27" spans="2:7" ht="15.75" customHeight="1"/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  <row r="1072" ht="15.75" customHeight="1"/>
    <row r="1073" ht="15.75" customHeight="1"/>
    <row r="1074" ht="15.75" customHeight="1"/>
    <row r="1075" ht="15.75" customHeight="1"/>
    <row r="1076" ht="15.75" customHeight="1"/>
    <row r="1077" ht="15.75" customHeight="1"/>
    <row r="1078" ht="15.75" customHeight="1"/>
    <row r="1079" ht="15.75" customHeight="1"/>
    <row r="1080" ht="15.75" customHeight="1"/>
    <row r="1081" ht="15.75" customHeight="1"/>
    <row r="1082" ht="15.75" customHeight="1"/>
    <row r="1083" ht="15.75" customHeight="1"/>
    <row r="1084" ht="15.75" customHeight="1"/>
    <row r="1085" ht="15.75" customHeight="1"/>
    <row r="1086" ht="15.75" customHeight="1"/>
    <row r="1087" ht="15.75" customHeight="1"/>
    <row r="1088" ht="15.75" customHeight="1"/>
    <row r="1089" ht="15.75" customHeight="1"/>
    <row r="1090" ht="15.75" customHeight="1"/>
    <row r="1091" ht="15.75" customHeight="1"/>
    <row r="1092" ht="15.75" customHeight="1"/>
    <row r="1093" ht="15.75" customHeight="1"/>
    <row r="1094" ht="15.75" customHeight="1"/>
    <row r="1095" ht="15.75" customHeight="1"/>
    <row r="1096" ht="15.75" customHeight="1"/>
    <row r="1097" ht="15.75" customHeight="1"/>
    <row r="1098" ht="15.75" customHeight="1"/>
    <row r="1099" ht="15.75" customHeight="1"/>
    <row r="1100" ht="15.75" customHeight="1"/>
    <row r="1101" ht="15.75" customHeight="1"/>
    <row r="1102" ht="15.75" customHeight="1"/>
    <row r="1103" ht="15.75" customHeight="1"/>
    <row r="1104" ht="15.75" customHeight="1"/>
    <row r="1105" ht="15.75" customHeight="1"/>
    <row r="1106" ht="15.75" customHeight="1"/>
    <row r="1107" ht="15.75" customHeight="1"/>
    <row r="1108" ht="15.75" customHeight="1"/>
    <row r="1109" ht="15.75" customHeight="1"/>
    <row r="1110" ht="15.75" customHeight="1"/>
    <row r="1111" ht="15.75" customHeight="1"/>
    <row r="1112" ht="15.75" customHeight="1"/>
    <row r="1113" ht="15.75" customHeight="1"/>
    <row r="1114" ht="15.75" customHeight="1"/>
    <row r="1115" ht="15.75" customHeight="1"/>
    <row r="1116" ht="15.75" customHeight="1"/>
    <row r="1117" ht="15.75" customHeight="1"/>
    <row r="1118" ht="15.75" customHeight="1"/>
    <row r="1119" ht="15.75" customHeight="1"/>
    <row r="1120" ht="15.75" customHeight="1"/>
    <row r="1121" ht="15.75" customHeight="1"/>
    <row r="1122" ht="15.75" customHeight="1"/>
    <row r="1123" ht="15.75" customHeight="1"/>
    <row r="1124" ht="15.75" customHeight="1"/>
    <row r="1125" ht="15.75" customHeight="1"/>
    <row r="1126" ht="15.75" customHeight="1"/>
    <row r="1127" ht="15.75" customHeight="1"/>
    <row r="1128" ht="15.75" customHeight="1"/>
    <row r="1129" ht="15.75" customHeight="1"/>
    <row r="1130" ht="15.75" customHeight="1"/>
    <row r="1131" ht="15.75" customHeight="1"/>
    <row r="1132" ht="15.75" customHeight="1"/>
    <row r="1133" ht="15.75" customHeight="1"/>
    <row r="1134" ht="15.75" customHeight="1"/>
    <row r="1135" ht="15.75" customHeight="1"/>
    <row r="1136" ht="15.75" customHeight="1"/>
    <row r="1137" ht="15.75" customHeight="1"/>
    <row r="1138" ht="15.75" customHeight="1"/>
    <row r="1139" ht="15.75" customHeight="1"/>
    <row r="1140" ht="15.75" customHeight="1"/>
    <row r="1141" ht="15.75" customHeight="1"/>
    <row r="1142" ht="15.75" customHeight="1"/>
    <row r="1143" ht="15.75" customHeight="1"/>
    <row r="1144" ht="15.75" customHeight="1"/>
    <row r="1145" ht="15.75" customHeight="1"/>
    <row r="1146" ht="15.75" customHeight="1"/>
    <row r="1147" ht="15.75" customHeight="1"/>
    <row r="1148" ht="15.75" customHeight="1"/>
    <row r="1149" ht="15.75" customHeight="1"/>
    <row r="1150" ht="15.75" customHeight="1"/>
    <row r="1151" ht="15.75" customHeight="1"/>
    <row r="1152" ht="15.75" customHeight="1"/>
    <row r="1153" ht="15.75" customHeight="1"/>
    <row r="1154" ht="15.75" customHeight="1"/>
    <row r="1155" ht="15.75" customHeight="1"/>
    <row r="1156" ht="15.75" customHeight="1"/>
    <row r="1157" ht="15.75" customHeight="1"/>
    <row r="1158" ht="15.75" customHeight="1"/>
    <row r="1159" ht="15.75" customHeight="1"/>
    <row r="1160" ht="15.75" customHeight="1"/>
    <row r="1161" ht="15.75" customHeight="1"/>
    <row r="1162" ht="15.75" customHeight="1"/>
    <row r="1163" ht="15.75" customHeight="1"/>
    <row r="1164" ht="15.75" customHeight="1"/>
    <row r="1165" ht="15.75" customHeight="1"/>
    <row r="1166" ht="15.75" customHeight="1"/>
    <row r="1167" ht="15.75" customHeight="1"/>
    <row r="1168" ht="15.75" customHeight="1"/>
    <row r="1169" ht="15.75" customHeight="1"/>
    <row r="1170" ht="15.75" customHeight="1"/>
    <row r="1171" ht="15.75" customHeight="1"/>
    <row r="1172" ht="15.75" customHeight="1"/>
    <row r="1173" ht="15.75" customHeight="1"/>
    <row r="1174" ht="15.75" customHeight="1"/>
    <row r="1175" ht="15.75" customHeight="1"/>
    <row r="1176" ht="15.75" customHeight="1"/>
    <row r="1177" ht="15.75" customHeight="1"/>
    <row r="1178" ht="15.75" customHeight="1"/>
    <row r="1179" ht="15.75" customHeight="1"/>
    <row r="1180" ht="15.75" customHeight="1"/>
    <row r="1181" ht="15.75" customHeight="1"/>
    <row r="1182" ht="15.75" customHeight="1"/>
    <row r="1183" ht="15.75" customHeight="1"/>
    <row r="1184" ht="15.75" customHeight="1"/>
    <row r="1185" ht="15.75" customHeight="1"/>
    <row r="1186" ht="15.75" customHeight="1"/>
    <row r="1187" ht="15.75" customHeight="1"/>
    <row r="1188" ht="15.75" customHeight="1"/>
    <row r="1189" ht="15.75" customHeight="1"/>
    <row r="1190" ht="15.75" customHeight="1"/>
    <row r="1191" ht="15.75" customHeight="1"/>
    <row r="1192" ht="15.75" customHeight="1"/>
    <row r="1193" ht="15.75" customHeight="1"/>
    <row r="1194" ht="15.75" customHeight="1"/>
    <row r="1195" ht="15.75" customHeight="1"/>
    <row r="1196" ht="15.75" customHeight="1"/>
    <row r="1197" ht="15.75" customHeight="1"/>
    <row r="1198" ht="15.75" customHeight="1"/>
    <row r="1199" ht="15.75" customHeight="1"/>
    <row r="1200" ht="15.75" customHeight="1"/>
    <row r="1201" ht="15.75" customHeight="1"/>
    <row r="1202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H37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8" max="8" width="3.140625" customWidth="1"/>
  </cols>
  <sheetData>
    <row r="1" spans="2:7" ht="18" customHeight="1">
      <c r="C1" s="1" t="s">
        <v>436</v>
      </c>
    </row>
    <row r="2" spans="2:7" ht="15.75" customHeight="1">
      <c r="C2" s="3" t="s">
        <v>0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31</v>
      </c>
      <c r="D7" s="85">
        <v>9000</v>
      </c>
      <c r="E7" s="9"/>
      <c r="G7" s="57"/>
    </row>
    <row r="8" spans="2:7" ht="15.75" customHeight="1">
      <c r="B8" s="8"/>
      <c r="C8" s="13" t="s">
        <v>34</v>
      </c>
      <c r="D8" s="96"/>
      <c r="E8" s="9"/>
      <c r="G8" s="57"/>
    </row>
    <row r="9" spans="2:7" ht="15.75" customHeight="1">
      <c r="B9" s="8"/>
      <c r="C9" s="13" t="s">
        <v>36</v>
      </c>
      <c r="D9" s="91">
        <v>5</v>
      </c>
      <c r="E9" s="9"/>
      <c r="G9" s="57"/>
    </row>
    <row r="10" spans="2:7" ht="15.75" customHeight="1">
      <c r="B10" s="8"/>
      <c r="C10" s="13" t="s">
        <v>177</v>
      </c>
      <c r="D10" s="91">
        <v>1500</v>
      </c>
      <c r="E10" s="9"/>
    </row>
    <row r="11" spans="2:7" ht="15.75" customHeight="1">
      <c r="B11" s="8"/>
      <c r="C11" s="13" t="s">
        <v>178</v>
      </c>
      <c r="D11" s="295">
        <v>2.2999999999999998</v>
      </c>
      <c r="E11" s="9"/>
    </row>
    <row r="12" spans="2:7" ht="15.75" customHeight="1">
      <c r="B12" s="8"/>
      <c r="C12" s="13" t="s">
        <v>179</v>
      </c>
      <c r="D12" s="295">
        <v>4.75</v>
      </c>
      <c r="E12" s="9"/>
    </row>
    <row r="13" spans="2:7" ht="15.75" customHeight="1">
      <c r="B13" s="8"/>
      <c r="C13" s="13" t="s">
        <v>6</v>
      </c>
      <c r="D13" s="84">
        <v>0.34</v>
      </c>
      <c r="E13" s="9"/>
    </row>
    <row r="14" spans="2:7" ht="15.75" customHeight="1">
      <c r="B14" s="8"/>
      <c r="C14" s="13" t="s">
        <v>20</v>
      </c>
      <c r="D14" s="84">
        <v>0.14000000000000001</v>
      </c>
      <c r="E14" s="9"/>
    </row>
    <row r="15" spans="2:7" ht="15.75" customHeight="1" thickBot="1">
      <c r="B15" s="10"/>
      <c r="C15" s="11"/>
      <c r="D15" s="11"/>
      <c r="E15" s="12"/>
    </row>
    <row r="16" spans="2:7" ht="15.75" customHeight="1"/>
    <row r="17" spans="2:8" ht="15.75" customHeight="1">
      <c r="C17" s="2" t="s">
        <v>2</v>
      </c>
    </row>
    <row r="18" spans="2:8" ht="15.75" customHeight="1" thickBot="1"/>
    <row r="19" spans="2:8" ht="15.75" customHeight="1">
      <c r="B19" s="15"/>
      <c r="C19" s="16"/>
      <c r="D19" s="16"/>
      <c r="E19" s="17"/>
      <c r="F19" s="30"/>
      <c r="G19" s="30"/>
      <c r="H19" s="30"/>
    </row>
    <row r="20" spans="2:8" ht="15.75" customHeight="1">
      <c r="B20" s="18"/>
      <c r="C20" s="19" t="s">
        <v>10</v>
      </c>
      <c r="D20" s="355">
        <f>D10*D12</f>
        <v>7125</v>
      </c>
      <c r="E20" s="21"/>
      <c r="F20" s="30"/>
      <c r="G20" s="30"/>
      <c r="H20" s="30"/>
    </row>
    <row r="21" spans="2:8" ht="15.75" customHeight="1">
      <c r="B21" s="18"/>
      <c r="C21" s="19" t="s">
        <v>14</v>
      </c>
      <c r="D21" s="289">
        <f>D11*D10</f>
        <v>3449.9999999999995</v>
      </c>
      <c r="E21" s="22"/>
      <c r="F21" s="30"/>
      <c r="G21" s="30"/>
      <c r="H21" s="31"/>
    </row>
    <row r="22" spans="2:8" ht="15.75" customHeight="1">
      <c r="B22" s="18"/>
      <c r="C22" s="19" t="s">
        <v>5</v>
      </c>
      <c r="D22" s="288">
        <f>D7/D9</f>
        <v>1800</v>
      </c>
      <c r="E22" s="21"/>
      <c r="F22" s="30"/>
      <c r="G22" s="30"/>
      <c r="H22" s="30"/>
    </row>
    <row r="23" spans="2:8" ht="15.75" customHeight="1">
      <c r="B23" s="18"/>
      <c r="C23" s="19" t="s">
        <v>8</v>
      </c>
      <c r="D23" s="355">
        <f>D20-D21-D22</f>
        <v>1875.0000000000005</v>
      </c>
      <c r="E23" s="21"/>
      <c r="F23" s="30"/>
      <c r="G23" s="30"/>
      <c r="H23" s="30"/>
    </row>
    <row r="24" spans="2:8" ht="15.75" customHeight="1">
      <c r="B24" s="18"/>
      <c r="C24" s="226" t="s">
        <v>155</v>
      </c>
      <c r="D24" s="288">
        <f>D23*D13</f>
        <v>637.50000000000023</v>
      </c>
      <c r="E24" s="21"/>
      <c r="F24" s="30"/>
      <c r="G24" s="30"/>
      <c r="H24" s="30"/>
    </row>
    <row r="25" spans="2:8" ht="15.75" customHeight="1">
      <c r="B25" s="18"/>
      <c r="C25" s="19" t="s">
        <v>115</v>
      </c>
      <c r="D25" s="355">
        <f>D23-D24</f>
        <v>1237.5000000000002</v>
      </c>
      <c r="E25" s="21"/>
      <c r="F25" s="30"/>
      <c r="G25" s="30"/>
      <c r="H25" s="30"/>
    </row>
    <row r="26" spans="2:8" ht="15.75" customHeight="1">
      <c r="B26" s="18"/>
      <c r="C26" s="19"/>
      <c r="D26" s="355"/>
      <c r="E26" s="21"/>
      <c r="F26" s="30"/>
      <c r="G26" s="30"/>
      <c r="H26" s="30"/>
    </row>
    <row r="27" spans="2:8" ht="15.75" customHeight="1">
      <c r="B27" s="18"/>
      <c r="C27" s="19" t="s">
        <v>11</v>
      </c>
      <c r="D27" s="355">
        <f>D25+D22</f>
        <v>3037.5</v>
      </c>
      <c r="E27" s="21"/>
      <c r="F27" s="30"/>
      <c r="G27" s="30"/>
      <c r="H27" s="30"/>
    </row>
    <row r="28" spans="2:8" ht="15.75" customHeight="1">
      <c r="B28" s="18"/>
      <c r="C28" s="19"/>
      <c r="D28" s="97"/>
      <c r="E28" s="21"/>
      <c r="F28" s="30"/>
      <c r="G28" s="30"/>
      <c r="H28" s="30"/>
    </row>
    <row r="29" spans="2:8" ht="15.75" customHeight="1">
      <c r="B29" s="18"/>
      <c r="C29" s="19" t="s">
        <v>21</v>
      </c>
      <c r="D29" s="172">
        <f>-D7+PV(D14,D9,-D27)</f>
        <v>1427.9834429075781</v>
      </c>
      <c r="E29" s="21"/>
      <c r="F29" s="30"/>
      <c r="G29" s="30"/>
      <c r="H29" s="30"/>
    </row>
    <row r="30" spans="2:8" ht="15.75" customHeight="1" thickBot="1">
      <c r="B30" s="23"/>
      <c r="C30" s="53"/>
      <c r="D30" s="53"/>
      <c r="E30" s="25"/>
      <c r="F30" s="30"/>
      <c r="G30" s="30"/>
      <c r="H30" s="30"/>
    </row>
    <row r="31" spans="2:8" ht="15.75" customHeight="1">
      <c r="B31" s="14"/>
      <c r="C31" s="14"/>
      <c r="D31" s="14"/>
      <c r="E31" s="14"/>
      <c r="F31" s="14"/>
      <c r="G31" s="14"/>
      <c r="H31" s="14"/>
    </row>
    <row r="32" spans="2:8" ht="15.75" customHeight="1"/>
    <row r="33" spans="4:4" ht="15.75" customHeight="1">
      <c r="D33" s="26"/>
    </row>
    <row r="34" spans="4:4" ht="15.75" customHeight="1"/>
    <row r="35" spans="4:4" ht="15.75" customHeight="1"/>
    <row r="36" spans="4:4" ht="15.75" customHeight="1"/>
    <row r="37" spans="4:4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1:H36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2:5" ht="18">
      <c r="C1" s="1" t="s">
        <v>436</v>
      </c>
    </row>
    <row r="2" spans="2:5" ht="15.75" customHeight="1">
      <c r="C2" s="3" t="s">
        <v>150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13" t="s">
        <v>46</v>
      </c>
      <c r="D7" s="85">
        <v>94000</v>
      </c>
      <c r="E7" s="9"/>
    </row>
    <row r="8" spans="2:5" ht="15.75" customHeight="1">
      <c r="B8" s="8"/>
      <c r="C8" s="13" t="s">
        <v>47</v>
      </c>
      <c r="D8" s="85">
        <v>8600</v>
      </c>
      <c r="E8" s="9"/>
    </row>
    <row r="9" spans="2:5" ht="15.75" customHeight="1">
      <c r="B9" s="8"/>
      <c r="C9" s="13" t="s">
        <v>48</v>
      </c>
      <c r="D9" s="287">
        <v>3</v>
      </c>
      <c r="E9" s="9"/>
    </row>
    <row r="10" spans="2:5" ht="15.75" customHeight="1">
      <c r="B10" s="8"/>
      <c r="C10" s="13" t="s">
        <v>51</v>
      </c>
      <c r="D10" s="85">
        <v>18000</v>
      </c>
      <c r="E10" s="9"/>
    </row>
    <row r="11" spans="2:5" ht="15.75" customHeight="1">
      <c r="B11" s="8"/>
      <c r="C11" s="13" t="s">
        <v>6</v>
      </c>
      <c r="D11" s="84">
        <v>0.34</v>
      </c>
      <c r="E11" s="9"/>
    </row>
    <row r="12" spans="2:5" ht="15.75" customHeight="1">
      <c r="B12" s="8"/>
      <c r="C12" s="13" t="s">
        <v>32</v>
      </c>
      <c r="D12" s="84">
        <v>0.12</v>
      </c>
      <c r="E12" s="9"/>
    </row>
    <row r="13" spans="2:5" ht="15.75" customHeight="1">
      <c r="B13" s="8"/>
      <c r="C13" s="13" t="s">
        <v>52</v>
      </c>
      <c r="D13" s="59"/>
      <c r="E13" s="9"/>
    </row>
    <row r="14" spans="2:5" ht="15.75" customHeight="1" thickBot="1">
      <c r="B14" s="10"/>
      <c r="C14" s="28"/>
      <c r="D14" s="62"/>
      <c r="E14" s="12"/>
    </row>
    <row r="15" spans="2:5" ht="15.75" customHeight="1"/>
    <row r="16" spans="2:5" ht="15.75" customHeight="1">
      <c r="C16" s="2" t="s">
        <v>2</v>
      </c>
    </row>
    <row r="17" spans="2:8" ht="15.75" customHeight="1" thickBot="1"/>
    <row r="18" spans="2:8" ht="15.75" customHeight="1">
      <c r="B18" s="15"/>
      <c r="C18" s="16"/>
      <c r="D18" s="16"/>
      <c r="E18" s="17"/>
      <c r="F18" s="30"/>
    </row>
    <row r="19" spans="2:8" ht="15.75" customHeight="1">
      <c r="B19" s="18"/>
      <c r="C19" s="19" t="s">
        <v>438</v>
      </c>
      <c r="D19" s="142">
        <f>D10*D11</f>
        <v>6120</v>
      </c>
      <c r="E19" s="21"/>
      <c r="F19" s="30"/>
    </row>
    <row r="20" spans="2:8" ht="15.75" customHeight="1">
      <c r="B20" s="18"/>
      <c r="C20" s="19" t="s">
        <v>28</v>
      </c>
      <c r="D20" s="142">
        <f>D10*(1-D11)</f>
        <v>11879.999999999998</v>
      </c>
      <c r="E20" s="21"/>
      <c r="F20" s="30"/>
    </row>
    <row r="21" spans="2:8" ht="15.75" customHeight="1">
      <c r="B21" s="18"/>
      <c r="C21" s="19" t="s">
        <v>54</v>
      </c>
      <c r="D21" s="142"/>
      <c r="E21" s="21"/>
      <c r="F21" s="30"/>
    </row>
    <row r="22" spans="2:8" ht="15.75" customHeight="1">
      <c r="B22" s="18"/>
      <c r="C22" s="19" t="s">
        <v>11</v>
      </c>
      <c r="D22" s="142">
        <f>(-D8)*(1-D11)+D11*(D7/D9)</f>
        <v>4977.3333333333348</v>
      </c>
      <c r="E22" s="21"/>
      <c r="F22" s="30"/>
    </row>
    <row r="23" spans="2:8" ht="15.75" customHeight="1">
      <c r="B23" s="18"/>
      <c r="C23" s="19" t="s">
        <v>21</v>
      </c>
      <c r="D23" s="142">
        <f>(-D7)+PV(D12,D9,-D22,0,0)+(D20/POWER(1+D12,D9))</f>
        <v>-73589.335823615154</v>
      </c>
      <c r="E23" s="21"/>
      <c r="F23" s="31"/>
    </row>
    <row r="24" spans="2:8" ht="15.75" customHeight="1">
      <c r="B24" s="18"/>
      <c r="C24" s="19" t="s">
        <v>43</v>
      </c>
      <c r="D24" s="139">
        <f>D23/PV(D12,D9,-1,0,0)</f>
        <v>-30638.844950213348</v>
      </c>
      <c r="E24" s="21"/>
      <c r="F24" s="31"/>
    </row>
    <row r="25" spans="2:8" ht="15.75" customHeight="1" thickBot="1">
      <c r="B25" s="23"/>
      <c r="C25" s="53"/>
      <c r="D25" s="64"/>
      <c r="E25" s="25"/>
      <c r="F25" s="30"/>
    </row>
    <row r="26" spans="2:8" ht="15.75" customHeight="1">
      <c r="B26" s="14"/>
      <c r="C26" s="14"/>
      <c r="D26" s="14"/>
      <c r="E26" s="14"/>
      <c r="F26" s="14"/>
      <c r="G26" s="14"/>
      <c r="H26" s="14"/>
    </row>
    <row r="27" spans="2:8" ht="15.75" customHeight="1"/>
    <row r="28" spans="2:8" ht="15.75" customHeight="1">
      <c r="D28" s="26"/>
    </row>
    <row r="29" spans="2:8" ht="15.75" customHeight="1"/>
    <row r="30" spans="2:8" ht="15.75" customHeight="1"/>
    <row r="31" spans="2:8" ht="15.75" customHeight="1"/>
    <row r="32" spans="2:8" ht="15.75" customHeight="1"/>
    <row r="33" ht="15.75" customHeight="1"/>
    <row r="34" ht="15.75" customHeight="1"/>
    <row r="35" ht="15.75" customHeight="1"/>
    <row r="36" ht="15.75" customHeight="1"/>
  </sheetData>
  <phoneticPr fontId="0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B1:H50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4" width="18.85546875" bestFit="1" customWidth="1"/>
    <col min="5" max="5" width="3.140625" customWidth="1"/>
    <col min="6" max="7" width="18.140625" customWidth="1"/>
    <col min="8" max="8" width="3.140625" customWidth="1"/>
  </cols>
  <sheetData>
    <row r="1" spans="2:5" ht="18">
      <c r="C1" s="1" t="s">
        <v>436</v>
      </c>
    </row>
    <row r="2" spans="2:5" ht="15.75" customHeight="1">
      <c r="C2" s="3" t="s">
        <v>61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13" t="s">
        <v>236</v>
      </c>
      <c r="D7" s="85">
        <v>360000</v>
      </c>
      <c r="E7" s="9"/>
    </row>
    <row r="8" spans="2:5" ht="15.75" customHeight="1">
      <c r="B8" s="8"/>
      <c r="C8" s="13" t="s">
        <v>239</v>
      </c>
      <c r="D8" s="91">
        <v>5</v>
      </c>
      <c r="E8" s="9"/>
    </row>
    <row r="9" spans="2:5" ht="15.75" customHeight="1">
      <c r="B9" s="8"/>
      <c r="C9" s="13" t="s">
        <v>244</v>
      </c>
      <c r="D9" s="85">
        <v>60000</v>
      </c>
      <c r="E9" s="9"/>
    </row>
    <row r="10" spans="2:5" ht="15.75" customHeight="1">
      <c r="B10" s="8"/>
      <c r="C10" s="13" t="s">
        <v>245</v>
      </c>
      <c r="D10" s="85">
        <v>105000</v>
      </c>
      <c r="E10" s="9"/>
    </row>
    <row r="11" spans="2:5" ht="15.75" customHeight="1">
      <c r="B11" s="8"/>
      <c r="C11" s="13" t="s">
        <v>246</v>
      </c>
      <c r="D11" s="265">
        <v>80000</v>
      </c>
      <c r="E11" s="9"/>
    </row>
    <row r="12" spans="2:5" ht="15.75" customHeight="1">
      <c r="B12" s="8"/>
      <c r="C12" s="13" t="s">
        <v>6</v>
      </c>
      <c r="D12" s="153">
        <v>0.34</v>
      </c>
      <c r="E12" s="9"/>
    </row>
    <row r="13" spans="2:5" ht="15.75" customHeight="1">
      <c r="B13" s="8"/>
      <c r="C13" s="13" t="s">
        <v>247</v>
      </c>
      <c r="D13" s="153">
        <v>0.12</v>
      </c>
      <c r="E13" s="9"/>
    </row>
    <row r="14" spans="2:5" ht="15.75" customHeight="1">
      <c r="B14" s="8"/>
      <c r="C14" s="13" t="s">
        <v>52</v>
      </c>
      <c r="D14" s="59"/>
      <c r="E14" s="9"/>
    </row>
    <row r="15" spans="2:5" ht="15.75" customHeight="1" thickBot="1">
      <c r="B15" s="10"/>
      <c r="C15" s="28"/>
      <c r="D15" s="62"/>
      <c r="E15" s="12"/>
    </row>
    <row r="16" spans="2:5" ht="15.75" customHeight="1"/>
    <row r="17" spans="2:6" ht="15.75" customHeight="1">
      <c r="C17" s="2" t="s">
        <v>2</v>
      </c>
    </row>
    <row r="18" spans="2:6" ht="15.75" customHeight="1" thickBot="1"/>
    <row r="19" spans="2:6" ht="15.75" customHeight="1">
      <c r="B19" s="15"/>
      <c r="C19" s="16"/>
      <c r="D19" s="16"/>
      <c r="E19" s="17"/>
      <c r="F19" s="30"/>
    </row>
    <row r="20" spans="2:6" ht="15.75" customHeight="1">
      <c r="B20" s="18"/>
      <c r="C20" s="266" t="s">
        <v>92</v>
      </c>
      <c r="D20" s="19"/>
      <c r="E20" s="21"/>
      <c r="F20" s="30"/>
    </row>
    <row r="21" spans="2:6" ht="15.75" customHeight="1">
      <c r="B21" s="18"/>
      <c r="C21" s="19" t="s">
        <v>185</v>
      </c>
      <c r="D21" s="80">
        <f>-D7</f>
        <v>-360000</v>
      </c>
      <c r="E21" s="21"/>
      <c r="F21" s="30"/>
    </row>
    <row r="22" spans="2:6" ht="15.75" customHeight="1">
      <c r="B22" s="18"/>
      <c r="C22" s="19" t="s">
        <v>189</v>
      </c>
      <c r="D22" s="83">
        <f>D11</f>
        <v>80000</v>
      </c>
      <c r="E22" s="21"/>
      <c r="F22" s="30"/>
    </row>
    <row r="23" spans="2:6" ht="15.75" customHeight="1">
      <c r="B23" s="18"/>
      <c r="C23" s="19" t="s">
        <v>200</v>
      </c>
      <c r="D23" s="80">
        <f>SUM(D21:D22)</f>
        <v>-280000</v>
      </c>
      <c r="E23" s="21"/>
      <c r="F23" s="30"/>
    </row>
    <row r="24" spans="2:6" ht="15.75" customHeight="1">
      <c r="B24" s="18"/>
      <c r="C24" s="19"/>
      <c r="D24" s="19"/>
      <c r="E24" s="21"/>
      <c r="F24" s="30"/>
    </row>
    <row r="25" spans="2:6" ht="15.75" customHeight="1">
      <c r="B25" s="18"/>
      <c r="C25" s="266" t="s">
        <v>190</v>
      </c>
      <c r="D25" s="19"/>
      <c r="E25" s="21"/>
      <c r="F25" s="30"/>
    </row>
    <row r="26" spans="2:6" ht="15.75" customHeight="1">
      <c r="B26" s="18"/>
      <c r="C26" s="19" t="s">
        <v>245</v>
      </c>
      <c r="D26" s="80">
        <f>D10</f>
        <v>105000</v>
      </c>
      <c r="E26" s="21"/>
      <c r="F26" s="30"/>
    </row>
    <row r="27" spans="2:6" ht="15.75" customHeight="1">
      <c r="B27" s="18"/>
      <c r="C27" s="19" t="s">
        <v>5</v>
      </c>
      <c r="D27" s="83">
        <f>-(D7/D8)</f>
        <v>-72000</v>
      </c>
      <c r="E27" s="21"/>
      <c r="F27" s="30"/>
    </row>
    <row r="28" spans="2:6" ht="15.75" customHeight="1">
      <c r="B28" s="18"/>
      <c r="C28" s="19" t="s">
        <v>8</v>
      </c>
      <c r="D28" s="80">
        <f>D26+D27</f>
        <v>33000</v>
      </c>
      <c r="E28" s="21"/>
      <c r="F28" s="30"/>
    </row>
    <row r="29" spans="2:6" ht="15.75" customHeight="1">
      <c r="B29" s="18"/>
      <c r="C29" s="19" t="s">
        <v>79</v>
      </c>
      <c r="D29" s="227">
        <f>-D28*D12</f>
        <v>-11220</v>
      </c>
      <c r="E29" s="21"/>
      <c r="F29" s="30"/>
    </row>
    <row r="30" spans="2:6" ht="15.75" customHeight="1">
      <c r="B30" s="18"/>
      <c r="C30" s="19" t="s">
        <v>115</v>
      </c>
      <c r="D30" s="97">
        <f>D28+D29</f>
        <v>21780</v>
      </c>
      <c r="E30" s="21"/>
      <c r="F30" s="30"/>
    </row>
    <row r="31" spans="2:6" ht="15.75" customHeight="1">
      <c r="B31" s="18"/>
      <c r="C31" s="19" t="s">
        <v>11</v>
      </c>
      <c r="D31" s="277">
        <f>D30-D27</f>
        <v>93780</v>
      </c>
      <c r="E31" s="21"/>
      <c r="F31" s="30"/>
    </row>
    <row r="32" spans="2:6" ht="15.75" customHeight="1">
      <c r="B32" s="18"/>
      <c r="C32" s="19"/>
      <c r="D32" s="277"/>
      <c r="E32" s="21"/>
      <c r="F32" s="30"/>
    </row>
    <row r="33" spans="2:8" ht="15.75" customHeight="1">
      <c r="B33" s="18"/>
      <c r="C33" s="266" t="s">
        <v>51</v>
      </c>
      <c r="D33" s="277"/>
      <c r="E33" s="21"/>
      <c r="F33" s="30"/>
    </row>
    <row r="34" spans="2:8" ht="15.75" customHeight="1">
      <c r="B34" s="18"/>
      <c r="C34" s="19" t="s">
        <v>248</v>
      </c>
      <c r="D34" s="277">
        <f>D9</f>
        <v>60000</v>
      </c>
      <c r="E34" s="21"/>
      <c r="F34" s="30"/>
    </row>
    <row r="35" spans="2:8" ht="15.75" customHeight="1">
      <c r="B35" s="18"/>
      <c r="C35" s="19" t="s">
        <v>79</v>
      </c>
      <c r="D35" s="227">
        <f>-D9*D12</f>
        <v>-20400</v>
      </c>
      <c r="E35" s="21"/>
      <c r="F35" s="30"/>
    </row>
    <row r="36" spans="2:8" ht="15.75" customHeight="1">
      <c r="B36" s="18"/>
      <c r="C36" s="19"/>
      <c r="D36" s="277">
        <f>SUM(D34:D35)</f>
        <v>39600</v>
      </c>
      <c r="E36" s="21"/>
      <c r="F36" s="30"/>
    </row>
    <row r="37" spans="2:8" ht="15.75" customHeight="1">
      <c r="B37" s="18"/>
      <c r="C37" s="19"/>
      <c r="D37" s="142"/>
      <c r="E37" s="21"/>
      <c r="F37" s="31"/>
    </row>
    <row r="38" spans="2:8" ht="15.75" customHeight="1">
      <c r="B38" s="18"/>
      <c r="C38" s="19" t="s">
        <v>21</v>
      </c>
      <c r="D38" s="139">
        <f>NPV(D13,D31,D31,D31,D31,D31-D11+D36)+D23</f>
        <v>35131.867284883105</v>
      </c>
      <c r="E38" s="21"/>
      <c r="F38" s="31"/>
    </row>
    <row r="39" spans="2:8" ht="15.75" customHeight="1" thickBot="1">
      <c r="B39" s="23"/>
      <c r="C39" s="53"/>
      <c r="D39" s="64"/>
      <c r="E39" s="25"/>
      <c r="F39" s="30"/>
    </row>
    <row r="40" spans="2:8" ht="15.75" customHeight="1">
      <c r="B40" s="14"/>
      <c r="C40" s="14"/>
      <c r="D40" s="14"/>
      <c r="E40" s="14"/>
      <c r="F40" s="14"/>
      <c r="G40" s="14"/>
      <c r="H40" s="14"/>
    </row>
    <row r="41" spans="2:8" ht="15.75" customHeight="1"/>
    <row r="42" spans="2:8" ht="15.75" customHeight="1">
      <c r="D42" s="26"/>
    </row>
    <row r="43" spans="2:8" ht="15.75" customHeight="1"/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</sheetData>
  <phoneticPr fontId="0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B1:K58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4" width="19.5703125" bestFit="1" customWidth="1"/>
    <col min="5" max="5" width="3.140625" customWidth="1"/>
    <col min="6" max="6" width="19.42578125" customWidth="1"/>
    <col min="7" max="7" width="3.140625" customWidth="1"/>
    <col min="8" max="8" width="18.85546875" bestFit="1" customWidth="1"/>
    <col min="9" max="9" width="3.140625" customWidth="1"/>
    <col min="11" max="11" width="15.5703125" bestFit="1" customWidth="1"/>
  </cols>
  <sheetData>
    <row r="1" spans="2:5" ht="18">
      <c r="C1" s="1" t="s">
        <v>436</v>
      </c>
    </row>
    <row r="2" spans="2:5" ht="15.75" customHeight="1">
      <c r="C2" s="3" t="s">
        <v>65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13" t="s">
        <v>236</v>
      </c>
      <c r="D7" s="85">
        <v>18000000</v>
      </c>
      <c r="E7" s="9"/>
    </row>
    <row r="8" spans="2:5" ht="15.75" customHeight="1">
      <c r="B8" s="8"/>
      <c r="C8" s="13" t="s">
        <v>237</v>
      </c>
      <c r="D8" s="85">
        <v>6000000</v>
      </c>
      <c r="E8" s="9"/>
    </row>
    <row r="9" spans="2:5" ht="15.75" customHeight="1">
      <c r="B9" s="8"/>
      <c r="C9" s="13" t="s">
        <v>238</v>
      </c>
      <c r="D9" s="275">
        <v>4500000</v>
      </c>
      <c r="E9" s="9"/>
    </row>
    <row r="10" spans="2:5" ht="15.75" customHeight="1">
      <c r="B10" s="8"/>
      <c r="C10" s="13" t="s">
        <v>239</v>
      </c>
      <c r="D10" s="91">
        <v>4</v>
      </c>
      <c r="E10" s="9"/>
    </row>
    <row r="11" spans="2:5" ht="15.75" customHeight="1">
      <c r="B11" s="8"/>
      <c r="C11" s="13" t="s">
        <v>142</v>
      </c>
      <c r="D11" s="85">
        <v>6700000</v>
      </c>
      <c r="E11" s="9"/>
    </row>
    <row r="12" spans="2:5" ht="15.75" customHeight="1">
      <c r="B12" s="8"/>
      <c r="C12" s="13" t="s">
        <v>91</v>
      </c>
      <c r="D12" s="85">
        <v>250000</v>
      </c>
      <c r="E12" s="9"/>
    </row>
    <row r="13" spans="2:5" ht="15.75" customHeight="1">
      <c r="B13" s="8"/>
      <c r="C13" s="13" t="s">
        <v>20</v>
      </c>
      <c r="D13" s="153">
        <v>0.1</v>
      </c>
      <c r="E13" s="9"/>
    </row>
    <row r="14" spans="2:5" ht="15.75" customHeight="1">
      <c r="B14" s="8"/>
      <c r="C14" s="13" t="s">
        <v>6</v>
      </c>
      <c r="D14" s="153">
        <v>0.39</v>
      </c>
      <c r="E14" s="9"/>
    </row>
    <row r="15" spans="2:5" ht="15.75" customHeight="1">
      <c r="B15" s="8"/>
      <c r="C15" s="13" t="s">
        <v>52</v>
      </c>
      <c r="D15" s="59"/>
      <c r="E15" s="9"/>
    </row>
    <row r="16" spans="2:5" ht="15.75" customHeight="1" thickBot="1">
      <c r="B16" s="10"/>
      <c r="C16" s="28"/>
      <c r="D16" s="62"/>
      <c r="E16" s="12"/>
    </row>
    <row r="17" spans="2:10" ht="15.75" customHeight="1"/>
    <row r="18" spans="2:10" ht="15.75" customHeight="1">
      <c r="C18" s="2" t="s">
        <v>2</v>
      </c>
    </row>
    <row r="19" spans="2:10" ht="15.75" customHeight="1" thickBot="1"/>
    <row r="20" spans="2:10" ht="15.75" customHeight="1">
      <c r="B20" s="15"/>
      <c r="C20" s="16"/>
      <c r="D20" s="16"/>
      <c r="E20" s="16"/>
      <c r="F20" s="16"/>
      <c r="G20" s="16"/>
      <c r="H20" s="16"/>
      <c r="I20" s="17"/>
      <c r="J20" s="30"/>
    </row>
    <row r="21" spans="2:10" ht="30">
      <c r="B21" s="18"/>
      <c r="C21" s="20"/>
      <c r="D21" s="338" t="s">
        <v>291</v>
      </c>
      <c r="E21" s="338"/>
      <c r="F21" s="338" t="s">
        <v>303</v>
      </c>
      <c r="G21" s="338"/>
      <c r="H21" s="339" t="s">
        <v>412</v>
      </c>
      <c r="I21" s="21"/>
      <c r="J21" s="30"/>
    </row>
    <row r="22" spans="2:10" ht="15.75" customHeight="1">
      <c r="B22" s="18"/>
      <c r="C22" s="266" t="s">
        <v>424</v>
      </c>
      <c r="D22" s="266"/>
      <c r="E22" s="266"/>
      <c r="F22" s="266"/>
      <c r="G22" s="266"/>
      <c r="H22" s="20"/>
      <c r="I22" s="21"/>
      <c r="J22" s="30"/>
    </row>
    <row r="23" spans="2:10" ht="15.75" customHeight="1">
      <c r="B23" s="18"/>
      <c r="C23" s="19" t="s">
        <v>240</v>
      </c>
      <c r="D23" s="80">
        <f>-D7</f>
        <v>-18000000</v>
      </c>
      <c r="E23" s="138"/>
      <c r="F23" s="138"/>
      <c r="G23" s="19"/>
      <c r="H23" s="80">
        <f>-D7</f>
        <v>-18000000</v>
      </c>
      <c r="I23" s="21"/>
      <c r="J23" s="30"/>
    </row>
    <row r="24" spans="2:10" ht="15.75" customHeight="1">
      <c r="B24" s="18"/>
      <c r="C24" s="19" t="s">
        <v>91</v>
      </c>
      <c r="D24" s="81">
        <f>-D12</f>
        <v>-250000</v>
      </c>
      <c r="E24" s="138"/>
      <c r="F24" s="138"/>
      <c r="G24" s="19"/>
      <c r="H24" s="81">
        <f>-D12</f>
        <v>-250000</v>
      </c>
      <c r="I24" s="21"/>
      <c r="J24" s="30"/>
    </row>
    <row r="25" spans="2:10" ht="15.75" customHeight="1">
      <c r="B25" s="18"/>
      <c r="C25" s="19" t="s">
        <v>431</v>
      </c>
      <c r="D25" s="138"/>
      <c r="E25" s="138"/>
      <c r="F25" s="80">
        <f>-D9</f>
        <v>-4500000</v>
      </c>
      <c r="G25" s="19"/>
      <c r="H25" s="81">
        <f>D9</f>
        <v>4500000</v>
      </c>
      <c r="I25" s="21"/>
      <c r="J25" s="30"/>
    </row>
    <row r="26" spans="2:10" ht="15.75" customHeight="1">
      <c r="B26" s="18"/>
      <c r="C26" s="19" t="s">
        <v>241</v>
      </c>
      <c r="D26" s="340"/>
      <c r="E26" s="138"/>
      <c r="F26" s="83">
        <f>-H26</f>
        <v>-585000</v>
      </c>
      <c r="G26" s="19"/>
      <c r="H26" s="83">
        <f>(D8-D9)*D14</f>
        <v>585000</v>
      </c>
      <c r="I26" s="21"/>
      <c r="J26" s="30"/>
    </row>
    <row r="27" spans="2:10" ht="15.75" customHeight="1">
      <c r="B27" s="18"/>
      <c r="C27" s="19" t="s">
        <v>200</v>
      </c>
      <c r="D27" s="80">
        <f>D23+D24</f>
        <v>-18250000</v>
      </c>
      <c r="E27" s="138"/>
      <c r="F27" s="80">
        <f>SUM(F25:F26)</f>
        <v>-5085000</v>
      </c>
      <c r="G27" s="20"/>
      <c r="H27" s="80">
        <f>H23+H24+H25+H26</f>
        <v>-13165000</v>
      </c>
      <c r="I27" s="21"/>
      <c r="J27" s="30"/>
    </row>
    <row r="28" spans="2:10" ht="15.75" customHeight="1">
      <c r="B28" s="18"/>
      <c r="C28" s="20"/>
      <c r="D28" s="138"/>
      <c r="E28" s="138"/>
      <c r="F28" s="138"/>
      <c r="G28" s="20"/>
      <c r="H28" s="20"/>
      <c r="I28" s="21"/>
      <c r="J28" s="30"/>
    </row>
    <row r="29" spans="2:10" ht="15.75" customHeight="1">
      <c r="B29" s="18"/>
      <c r="C29" s="266" t="s">
        <v>242</v>
      </c>
      <c r="D29" s="341"/>
      <c r="E29" s="341"/>
      <c r="F29" s="341"/>
      <c r="G29" s="266"/>
      <c r="H29" s="20"/>
      <c r="I29" s="21"/>
      <c r="J29" s="30"/>
    </row>
    <row r="30" spans="2:10" ht="15.75" customHeight="1">
      <c r="B30" s="18"/>
      <c r="C30" s="19" t="s">
        <v>243</v>
      </c>
      <c r="D30" s="80">
        <f>D11</f>
        <v>6700000</v>
      </c>
      <c r="E30" s="138"/>
      <c r="F30" s="138"/>
      <c r="G30" s="19"/>
      <c r="H30" s="80">
        <f>D11</f>
        <v>6700000</v>
      </c>
      <c r="I30" s="21"/>
      <c r="J30" s="30"/>
    </row>
    <row r="31" spans="2:10" ht="15.75" customHeight="1">
      <c r="B31" s="18"/>
      <c r="C31" s="19" t="s">
        <v>5</v>
      </c>
      <c r="D31" s="83">
        <f>D7/D10</f>
        <v>4500000</v>
      </c>
      <c r="E31" s="138"/>
      <c r="F31" s="185">
        <f>D8/D10</f>
        <v>1500000</v>
      </c>
      <c r="G31" s="19"/>
      <c r="H31" s="83">
        <f>((D7/D10)-(D8/D10))</f>
        <v>3000000</v>
      </c>
      <c r="I31" s="21"/>
      <c r="J31" s="30"/>
    </row>
    <row r="32" spans="2:10" ht="15.75" customHeight="1">
      <c r="B32" s="18"/>
      <c r="C32" s="19" t="s">
        <v>8</v>
      </c>
      <c r="D32" s="80">
        <f>(D30-D31)</f>
        <v>2200000</v>
      </c>
      <c r="E32" s="138"/>
      <c r="F32" s="80">
        <f>-F31</f>
        <v>-1500000</v>
      </c>
      <c r="G32" s="19"/>
      <c r="H32" s="80">
        <f>H30-H31</f>
        <v>3700000</v>
      </c>
      <c r="I32" s="21"/>
      <c r="J32" s="30"/>
    </row>
    <row r="33" spans="2:11" ht="15.75" customHeight="1">
      <c r="B33" s="18"/>
      <c r="C33" s="19" t="s">
        <v>79</v>
      </c>
      <c r="D33" s="83">
        <f>D32*D14</f>
        <v>858000</v>
      </c>
      <c r="E33" s="138"/>
      <c r="F33" s="83">
        <f>F32*D14</f>
        <v>-585000</v>
      </c>
      <c r="G33" s="19"/>
      <c r="H33" s="227">
        <f>H32*D14</f>
        <v>1443000</v>
      </c>
      <c r="I33" s="21"/>
      <c r="J33" s="30"/>
    </row>
    <row r="34" spans="2:11" ht="15.75" customHeight="1" thickBot="1">
      <c r="B34" s="18"/>
      <c r="C34" s="19" t="s">
        <v>115</v>
      </c>
      <c r="D34" s="127">
        <f>D32-D33</f>
        <v>1342000</v>
      </c>
      <c r="E34" s="138"/>
      <c r="F34" s="127">
        <f>F32-F33</f>
        <v>-915000</v>
      </c>
      <c r="G34" s="19"/>
      <c r="H34" s="160">
        <f>H32-H33</f>
        <v>2257000</v>
      </c>
      <c r="I34" s="21"/>
      <c r="J34" s="30"/>
    </row>
    <row r="35" spans="2:11" ht="15.75" customHeight="1" thickTop="1">
      <c r="B35" s="18"/>
      <c r="C35" s="19" t="s">
        <v>11</v>
      </c>
      <c r="D35" s="80">
        <f>D34+D31</f>
        <v>5842000</v>
      </c>
      <c r="E35" s="138"/>
      <c r="F35" s="80">
        <f>F34+F31</f>
        <v>585000</v>
      </c>
      <c r="G35" s="19"/>
      <c r="H35" s="277">
        <f>H34+H31</f>
        <v>5257000</v>
      </c>
      <c r="I35" s="21"/>
      <c r="J35" s="30"/>
    </row>
    <row r="36" spans="2:11" ht="15.75" customHeight="1">
      <c r="B36" s="18"/>
      <c r="C36" s="19"/>
      <c r="D36" s="138"/>
      <c r="E36" s="138"/>
      <c r="F36" s="138"/>
      <c r="G36" s="19"/>
      <c r="H36" s="277"/>
      <c r="I36" s="21"/>
      <c r="J36" s="30"/>
    </row>
    <row r="37" spans="2:11" ht="15.75" customHeight="1">
      <c r="B37" s="18"/>
      <c r="C37" s="157" t="s">
        <v>24</v>
      </c>
      <c r="D37" s="278" t="s">
        <v>25</v>
      </c>
      <c r="E37" s="342"/>
      <c r="F37" s="278" t="s">
        <v>25</v>
      </c>
      <c r="G37" s="157"/>
      <c r="H37" s="278" t="s">
        <v>25</v>
      </c>
      <c r="I37" s="21"/>
      <c r="J37" s="30"/>
    </row>
    <row r="38" spans="2:11" ht="15.75" customHeight="1">
      <c r="B38" s="18"/>
      <c r="C38" s="77">
        <v>0</v>
      </c>
      <c r="D38" s="344">
        <f>D27</f>
        <v>-18250000</v>
      </c>
      <c r="E38" s="343"/>
      <c r="F38" s="344">
        <f>F27</f>
        <v>-5085000</v>
      </c>
      <c r="G38" s="77"/>
      <c r="H38" s="277">
        <f>H27</f>
        <v>-13165000</v>
      </c>
      <c r="I38" s="21"/>
      <c r="J38" s="30"/>
    </row>
    <row r="39" spans="2:11" ht="15.75" customHeight="1">
      <c r="B39" s="18"/>
      <c r="C39" s="77">
        <v>1</v>
      </c>
      <c r="D39" s="345">
        <f>D35</f>
        <v>5842000</v>
      </c>
      <c r="E39" s="343"/>
      <c r="F39" s="345">
        <f>F35</f>
        <v>585000</v>
      </c>
      <c r="G39" s="77"/>
      <c r="H39" s="140">
        <f>H35</f>
        <v>5257000</v>
      </c>
      <c r="I39" s="21"/>
      <c r="J39" s="30"/>
    </row>
    <row r="40" spans="2:11" ht="15.75" customHeight="1">
      <c r="B40" s="18"/>
      <c r="C40" s="77">
        <v>2</v>
      </c>
      <c r="D40" s="345">
        <f>D35</f>
        <v>5842000</v>
      </c>
      <c r="E40" s="343"/>
      <c r="F40" s="345">
        <f>F35</f>
        <v>585000</v>
      </c>
      <c r="G40" s="77"/>
      <c r="H40" s="140">
        <f>H35</f>
        <v>5257000</v>
      </c>
      <c r="I40" s="21"/>
      <c r="J40" s="30"/>
    </row>
    <row r="41" spans="2:11" ht="15.75" customHeight="1">
      <c r="B41" s="18"/>
      <c r="C41" s="77">
        <v>3</v>
      </c>
      <c r="D41" s="345">
        <f>D35</f>
        <v>5842000</v>
      </c>
      <c r="E41" s="343"/>
      <c r="F41" s="345">
        <f>F35</f>
        <v>585000</v>
      </c>
      <c r="G41" s="77"/>
      <c r="H41" s="140">
        <f>H35</f>
        <v>5257000</v>
      </c>
      <c r="I41" s="21"/>
      <c r="J41" s="31"/>
    </row>
    <row r="42" spans="2:11" ht="15.75" customHeight="1">
      <c r="B42" s="18"/>
      <c r="C42" s="77">
        <v>4</v>
      </c>
      <c r="D42" s="345">
        <f>D35+D12</f>
        <v>6092000</v>
      </c>
      <c r="E42" s="343"/>
      <c r="F42" s="345">
        <f>F35</f>
        <v>585000</v>
      </c>
      <c r="G42" s="77"/>
      <c r="H42" s="140">
        <f>H35+D12</f>
        <v>5507000</v>
      </c>
      <c r="I42" s="21"/>
      <c r="J42" s="31"/>
    </row>
    <row r="43" spans="2:11" ht="15.75" customHeight="1">
      <c r="B43" s="18"/>
      <c r="C43" s="19"/>
      <c r="D43" s="19"/>
      <c r="E43" s="19"/>
      <c r="F43" s="19"/>
      <c r="G43" s="19"/>
      <c r="H43" s="142"/>
      <c r="I43" s="21"/>
      <c r="J43" s="31"/>
    </row>
    <row r="44" spans="2:11" ht="15.75" customHeight="1">
      <c r="B44" s="18"/>
      <c r="C44" s="19" t="s">
        <v>21</v>
      </c>
      <c r="D44" s="131">
        <f>NPV(D13,D39:D42)+D38</f>
        <v>439107.3014138341</v>
      </c>
      <c r="E44" s="19"/>
      <c r="F44" s="131">
        <f>NPV(D13,F39:F42)+F38</f>
        <v>-3230628.713885664</v>
      </c>
      <c r="G44" s="19"/>
      <c r="H44" s="139">
        <f>NPV(D13,H39:H42)+H38</f>
        <v>3669736.0152994953</v>
      </c>
      <c r="I44" s="21"/>
      <c r="J44" s="31"/>
      <c r="K44" s="346"/>
    </row>
    <row r="45" spans="2:11" ht="15.75" customHeight="1">
      <c r="B45" s="18"/>
      <c r="C45" s="19"/>
      <c r="D45" s="19"/>
      <c r="E45" s="19"/>
      <c r="F45" s="19"/>
      <c r="G45" s="19"/>
      <c r="H45" s="142"/>
      <c r="I45" s="21"/>
      <c r="J45" s="31"/>
    </row>
    <row r="46" spans="2:11" ht="15.75" customHeight="1">
      <c r="B46" s="18"/>
      <c r="C46" s="19" t="s">
        <v>73</v>
      </c>
      <c r="D46" s="136">
        <f>IRR(D38:D42)</f>
        <v>0.1109986888279057</v>
      </c>
      <c r="E46" s="19"/>
      <c r="F46" s="136">
        <f>IRR(F38:F42)</f>
        <v>-0.2515252774929892</v>
      </c>
      <c r="G46" s="19"/>
      <c r="H46" s="163">
        <f>IRR(H38:H42)</f>
        <v>0.22232293511754581</v>
      </c>
      <c r="I46" s="21"/>
      <c r="J46" s="31"/>
    </row>
    <row r="47" spans="2:11" ht="15.75" customHeight="1" thickBot="1">
      <c r="B47" s="23"/>
      <c r="C47" s="53"/>
      <c r="D47" s="53"/>
      <c r="E47" s="53"/>
      <c r="F47" s="53"/>
      <c r="G47" s="53"/>
      <c r="H47" s="64"/>
      <c r="I47" s="25"/>
      <c r="J47" s="30"/>
    </row>
    <row r="48" spans="2:11" ht="15.75" customHeight="1">
      <c r="B48" s="14"/>
      <c r="C48" s="14"/>
      <c r="D48" s="14"/>
      <c r="E48" s="14"/>
      <c r="F48" s="14"/>
      <c r="G48" s="14"/>
      <c r="H48" s="14"/>
    </row>
    <row r="49" spans="4:6" ht="15.75" customHeight="1"/>
    <row r="50" spans="4:6" ht="15.75" customHeight="1">
      <c r="D50" s="26"/>
      <c r="F50" s="346"/>
    </row>
    <row r="51" spans="4:6" ht="15.75" customHeight="1"/>
    <row r="52" spans="4:6" ht="15.75" customHeight="1"/>
    <row r="53" spans="4:6" ht="15.75" customHeight="1"/>
    <row r="54" spans="4:6" ht="15.75" customHeight="1"/>
    <row r="55" spans="4:6" ht="15.75" customHeight="1"/>
    <row r="56" spans="4:6" ht="15.75" customHeight="1"/>
    <row r="57" spans="4:6" ht="15.75" customHeight="1"/>
    <row r="58" spans="4:6" ht="15.75" customHeight="1"/>
  </sheetData>
  <phoneticPr fontId="0" type="noConversion"/>
  <pageMargins left="0.75" right="0.75" top="1" bottom="1" header="0.5" footer="0.5"/>
  <pageSetup scale="84" orientation="portrait" horizontalDpi="360" verticalDpi="36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B1:M61"/>
  <sheetViews>
    <sheetView zoomScaleNormal="100" workbookViewId="0"/>
  </sheetViews>
  <sheetFormatPr defaultRowHeight="12.75"/>
  <cols>
    <col min="2" max="2" width="3.140625" customWidth="1"/>
    <col min="3" max="3" width="30.42578125" bestFit="1" customWidth="1"/>
    <col min="4" max="4" width="16.28515625" bestFit="1" customWidth="1"/>
    <col min="5" max="11" width="15.140625" customWidth="1"/>
    <col min="12" max="12" width="3.140625" customWidth="1"/>
  </cols>
  <sheetData>
    <row r="1" spans="2:5" ht="18">
      <c r="C1" s="1" t="s">
        <v>436</v>
      </c>
    </row>
    <row r="2" spans="2:5" ht="15.75" customHeight="1">
      <c r="C2" s="3" t="s">
        <v>70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13" t="s">
        <v>249</v>
      </c>
      <c r="D7" s="85">
        <v>270000</v>
      </c>
      <c r="E7" s="9"/>
    </row>
    <row r="8" spans="2:5" ht="15.75" customHeight="1">
      <c r="B8" s="8"/>
      <c r="C8" s="13" t="s">
        <v>252</v>
      </c>
      <c r="D8" s="85">
        <v>105000</v>
      </c>
      <c r="E8" s="9"/>
    </row>
    <row r="9" spans="2:5" ht="15.75" customHeight="1">
      <c r="B9" s="8"/>
      <c r="C9" s="13" t="s">
        <v>250</v>
      </c>
      <c r="D9" s="153">
        <v>0.05</v>
      </c>
      <c r="E9" s="9"/>
    </row>
    <row r="10" spans="2:5" ht="15.75" customHeight="1">
      <c r="B10" s="8"/>
      <c r="C10" s="13" t="s">
        <v>253</v>
      </c>
      <c r="D10" s="85">
        <v>30000</v>
      </c>
      <c r="E10" s="9"/>
    </row>
    <row r="11" spans="2:5" ht="15.75" customHeight="1">
      <c r="B11" s="8"/>
      <c r="C11" s="13" t="s">
        <v>251</v>
      </c>
      <c r="D11" s="153">
        <v>0.06</v>
      </c>
      <c r="E11" s="9"/>
    </row>
    <row r="12" spans="2:5" ht="15.75" customHeight="1">
      <c r="B12" s="8"/>
      <c r="C12" s="13" t="s">
        <v>210</v>
      </c>
      <c r="D12" s="153">
        <v>0.08</v>
      </c>
      <c r="E12" s="9"/>
    </row>
    <row r="13" spans="2:5" ht="15.75" customHeight="1">
      <c r="B13" s="8"/>
      <c r="C13" s="13" t="s">
        <v>6</v>
      </c>
      <c r="D13" s="153">
        <v>0.34</v>
      </c>
      <c r="E13" s="9"/>
    </row>
    <row r="14" spans="2:5" ht="15.75" customHeight="1">
      <c r="B14" s="8"/>
      <c r="C14" s="13" t="s">
        <v>264</v>
      </c>
      <c r="D14" s="283">
        <v>7</v>
      </c>
      <c r="E14" s="9"/>
    </row>
    <row r="15" spans="2:5" ht="15.75" customHeight="1">
      <c r="B15" s="8"/>
      <c r="C15" s="13" t="s">
        <v>52</v>
      </c>
      <c r="D15" s="59"/>
      <c r="E15" s="9"/>
    </row>
    <row r="16" spans="2:5" ht="15.75" customHeight="1" thickBot="1">
      <c r="B16" s="10"/>
      <c r="C16" s="28"/>
      <c r="D16" s="62"/>
      <c r="E16" s="12"/>
    </row>
    <row r="17" spans="2:13" ht="15.75" customHeight="1"/>
    <row r="18" spans="2:13" ht="15.75" customHeight="1">
      <c r="C18" s="2" t="s">
        <v>2</v>
      </c>
    </row>
    <row r="19" spans="2:13" ht="15.75" customHeight="1" thickBot="1"/>
    <row r="20" spans="2:13" ht="15.75" customHeight="1"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7"/>
      <c r="M20" s="30"/>
    </row>
    <row r="21" spans="2:13" ht="15.75" customHeight="1">
      <c r="B21" s="18"/>
      <c r="C21" s="19" t="s">
        <v>211</v>
      </c>
      <c r="D21" s="254">
        <f>((1+D12)*(1+D9))-1</f>
        <v>0.13400000000000012</v>
      </c>
      <c r="E21" s="20"/>
      <c r="F21" s="20"/>
      <c r="G21" s="20"/>
      <c r="H21" s="20"/>
      <c r="I21" s="20"/>
      <c r="J21" s="20"/>
      <c r="K21" s="20"/>
      <c r="L21" s="21"/>
      <c r="M21" s="30"/>
    </row>
    <row r="22" spans="2:13" ht="15.75" customHeight="1">
      <c r="B22" s="18"/>
      <c r="C22" s="20"/>
      <c r="D22" s="20"/>
      <c r="E22" s="20"/>
      <c r="F22" s="20"/>
      <c r="G22" s="20"/>
      <c r="H22" s="20"/>
      <c r="I22" s="20"/>
      <c r="J22" s="20"/>
      <c r="K22" s="20"/>
      <c r="L22" s="21"/>
      <c r="M22" s="30"/>
    </row>
    <row r="23" spans="2:13" ht="15.75" customHeight="1">
      <c r="B23" s="18"/>
      <c r="C23" s="266" t="s">
        <v>254</v>
      </c>
      <c r="D23" s="267" t="s">
        <v>180</v>
      </c>
      <c r="E23" s="267" t="s">
        <v>181</v>
      </c>
      <c r="F23" s="267" t="s">
        <v>182</v>
      </c>
      <c r="G23" s="267" t="s">
        <v>183</v>
      </c>
      <c r="H23" s="267" t="s">
        <v>184</v>
      </c>
      <c r="I23" s="267" t="s">
        <v>231</v>
      </c>
      <c r="J23" s="267" t="s">
        <v>256</v>
      </c>
      <c r="K23" s="267" t="s">
        <v>257</v>
      </c>
      <c r="L23" s="21"/>
      <c r="M23" s="30"/>
    </row>
    <row r="24" spans="2:13" ht="15.75" customHeight="1">
      <c r="B24" s="18"/>
      <c r="C24" s="19" t="s">
        <v>255</v>
      </c>
      <c r="D24" s="19"/>
      <c r="E24" s="224">
        <f>D8</f>
        <v>105000</v>
      </c>
      <c r="F24" s="87">
        <f t="shared" ref="F24:K24" si="0">E24*(1+$D$9)</f>
        <v>110250</v>
      </c>
      <c r="G24" s="87">
        <f t="shared" si="0"/>
        <v>115762.5</v>
      </c>
      <c r="H24" s="87">
        <f t="shared" si="0"/>
        <v>121550.625</v>
      </c>
      <c r="I24" s="87">
        <f t="shared" si="0"/>
        <v>127628.15625</v>
      </c>
      <c r="J24" s="87">
        <f t="shared" si="0"/>
        <v>134009.56406249999</v>
      </c>
      <c r="K24" s="87">
        <f t="shared" si="0"/>
        <v>140710.042265625</v>
      </c>
      <c r="L24" s="21"/>
      <c r="M24" s="30"/>
    </row>
    <row r="25" spans="2:13" ht="15.75" customHeight="1">
      <c r="B25" s="18"/>
      <c r="C25" s="19" t="s">
        <v>14</v>
      </c>
      <c r="D25" s="19"/>
      <c r="E25" s="224">
        <f>D10</f>
        <v>30000</v>
      </c>
      <c r="F25" s="233">
        <f t="shared" ref="F25:K25" si="1">E25*(1+$D$11)</f>
        <v>31800</v>
      </c>
      <c r="G25" s="233">
        <f t="shared" si="1"/>
        <v>33708</v>
      </c>
      <c r="H25" s="233">
        <f t="shared" si="1"/>
        <v>35730.480000000003</v>
      </c>
      <c r="I25" s="233">
        <f t="shared" si="1"/>
        <v>37874.308800000006</v>
      </c>
      <c r="J25" s="233">
        <f t="shared" si="1"/>
        <v>40146.767328000009</v>
      </c>
      <c r="K25" s="233">
        <f t="shared" si="1"/>
        <v>42555.573367680008</v>
      </c>
      <c r="L25" s="21"/>
      <c r="M25" s="30"/>
    </row>
    <row r="26" spans="2:13" ht="15.75" customHeight="1">
      <c r="B26" s="18"/>
      <c r="C26" s="19" t="s">
        <v>5</v>
      </c>
      <c r="D26" s="19"/>
      <c r="E26" s="280">
        <f>D7/7</f>
        <v>38571.428571428572</v>
      </c>
      <c r="F26" s="280">
        <f t="shared" ref="F26:K26" si="2">E26</f>
        <v>38571.428571428572</v>
      </c>
      <c r="G26" s="280">
        <f t="shared" si="2"/>
        <v>38571.428571428572</v>
      </c>
      <c r="H26" s="280">
        <f t="shared" si="2"/>
        <v>38571.428571428572</v>
      </c>
      <c r="I26" s="280">
        <f t="shared" si="2"/>
        <v>38571.428571428572</v>
      </c>
      <c r="J26" s="280">
        <f t="shared" si="2"/>
        <v>38571.428571428572</v>
      </c>
      <c r="K26" s="280">
        <f t="shared" si="2"/>
        <v>38571.428571428572</v>
      </c>
      <c r="L26" s="21"/>
      <c r="M26" s="30"/>
    </row>
    <row r="27" spans="2:13" ht="15.75" customHeight="1">
      <c r="B27" s="18"/>
      <c r="C27" s="20" t="s">
        <v>8</v>
      </c>
      <c r="D27" s="20"/>
      <c r="E27" s="224">
        <f>E24-E25-E26</f>
        <v>36428.571428571428</v>
      </c>
      <c r="F27" s="224">
        <f t="shared" ref="F27:K27" si="3">F24-F25-F26</f>
        <v>39878.571428571428</v>
      </c>
      <c r="G27" s="224">
        <f t="shared" si="3"/>
        <v>43483.071428571428</v>
      </c>
      <c r="H27" s="224">
        <f t="shared" si="3"/>
        <v>47248.716428571417</v>
      </c>
      <c r="I27" s="224">
        <f t="shared" si="3"/>
        <v>51182.418878571429</v>
      </c>
      <c r="J27" s="224">
        <f t="shared" si="3"/>
        <v>55291.368163071405</v>
      </c>
      <c r="K27" s="224">
        <f t="shared" si="3"/>
        <v>59583.040326516413</v>
      </c>
      <c r="L27" s="21"/>
      <c r="M27" s="30"/>
    </row>
    <row r="28" spans="2:13" ht="15.75" customHeight="1">
      <c r="B28" s="18"/>
      <c r="C28" s="19" t="s">
        <v>79</v>
      </c>
      <c r="D28" s="19"/>
      <c r="E28" s="233">
        <f>E27*$D$13</f>
        <v>12385.714285714286</v>
      </c>
      <c r="F28" s="233">
        <f t="shared" ref="F28:K28" si="4">F27*$D$13</f>
        <v>13558.714285714286</v>
      </c>
      <c r="G28" s="233">
        <f t="shared" si="4"/>
        <v>14784.244285714287</v>
      </c>
      <c r="H28" s="233">
        <f t="shared" si="4"/>
        <v>16064.563585714282</v>
      </c>
      <c r="I28" s="233">
        <f t="shared" si="4"/>
        <v>17402.022418714289</v>
      </c>
      <c r="J28" s="233">
        <f t="shared" si="4"/>
        <v>18799.065175444281</v>
      </c>
      <c r="K28" s="233">
        <f t="shared" si="4"/>
        <v>20258.233711015582</v>
      </c>
      <c r="L28" s="21"/>
      <c r="M28" s="30"/>
    </row>
    <row r="29" spans="2:13" ht="15.75" customHeight="1" thickBot="1">
      <c r="B29" s="18"/>
      <c r="C29" s="19" t="s">
        <v>115</v>
      </c>
      <c r="D29" s="19"/>
      <c r="E29" s="279">
        <f>E27-E28</f>
        <v>24042.857142857141</v>
      </c>
      <c r="F29" s="279">
        <f t="shared" ref="F29:K29" si="5">F27-F28</f>
        <v>26319.857142857141</v>
      </c>
      <c r="G29" s="279">
        <f t="shared" si="5"/>
        <v>28698.827142857139</v>
      </c>
      <c r="H29" s="279">
        <f t="shared" si="5"/>
        <v>31184.152842857133</v>
      </c>
      <c r="I29" s="279">
        <f t="shared" si="5"/>
        <v>33780.39645985714</v>
      </c>
      <c r="J29" s="279">
        <f t="shared" si="5"/>
        <v>36492.302987627125</v>
      </c>
      <c r="K29" s="279">
        <f t="shared" si="5"/>
        <v>39324.806615500827</v>
      </c>
      <c r="L29" s="21"/>
      <c r="M29" s="30"/>
    </row>
    <row r="30" spans="2:13" ht="15.75" customHeight="1" thickTop="1">
      <c r="B30" s="18"/>
      <c r="C30" s="19" t="s">
        <v>11</v>
      </c>
      <c r="D30" s="19"/>
      <c r="E30" s="224">
        <f>E29+E26</f>
        <v>62614.28571428571</v>
      </c>
      <c r="F30" s="224">
        <f t="shared" ref="F30:K30" si="6">F29+F26</f>
        <v>64891.28571428571</v>
      </c>
      <c r="G30" s="224">
        <f t="shared" si="6"/>
        <v>67270.255714285711</v>
      </c>
      <c r="H30" s="224">
        <f t="shared" si="6"/>
        <v>69755.581414285698</v>
      </c>
      <c r="I30" s="224">
        <f t="shared" si="6"/>
        <v>72351.825031285713</v>
      </c>
      <c r="J30" s="224">
        <f t="shared" si="6"/>
        <v>75063.731559055697</v>
      </c>
      <c r="K30" s="224">
        <f t="shared" si="6"/>
        <v>77896.235186929407</v>
      </c>
      <c r="L30" s="21"/>
      <c r="M30" s="30"/>
    </row>
    <row r="31" spans="2:13" ht="15.75" customHeight="1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21"/>
      <c r="M31" s="30"/>
    </row>
    <row r="32" spans="2:13" ht="15.75" customHeight="1">
      <c r="B32" s="18"/>
      <c r="C32" s="19" t="s">
        <v>119</v>
      </c>
      <c r="D32" s="185">
        <f>-D7</f>
        <v>-270000</v>
      </c>
      <c r="E32" s="276"/>
      <c r="F32" s="276"/>
      <c r="G32" s="276"/>
      <c r="H32" s="276"/>
      <c r="I32" s="276"/>
      <c r="J32" s="276"/>
      <c r="K32" s="276"/>
      <c r="L32" s="21"/>
      <c r="M32" s="30"/>
    </row>
    <row r="33" spans="2:13" ht="15.75" customHeight="1"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21"/>
      <c r="M33" s="30"/>
    </row>
    <row r="34" spans="2:13" ht="15.75" customHeight="1">
      <c r="B34" s="18"/>
      <c r="C34" s="19" t="s">
        <v>120</v>
      </c>
      <c r="D34" s="184">
        <f>D32</f>
        <v>-270000</v>
      </c>
      <c r="E34" s="87">
        <f>E30</f>
        <v>62614.28571428571</v>
      </c>
      <c r="F34" s="87">
        <f t="shared" ref="F34:K34" si="7">F30</f>
        <v>64891.28571428571</v>
      </c>
      <c r="G34" s="87">
        <f t="shared" si="7"/>
        <v>67270.255714285711</v>
      </c>
      <c r="H34" s="87">
        <f t="shared" si="7"/>
        <v>69755.581414285698</v>
      </c>
      <c r="I34" s="87">
        <f t="shared" si="7"/>
        <v>72351.825031285713</v>
      </c>
      <c r="J34" s="87">
        <f t="shared" si="7"/>
        <v>75063.731559055697</v>
      </c>
      <c r="K34" s="87">
        <f t="shared" si="7"/>
        <v>77896.235186929407</v>
      </c>
      <c r="L34" s="21"/>
      <c r="M34" s="30"/>
    </row>
    <row r="35" spans="2:13" ht="15.75" customHeight="1">
      <c r="B35" s="18"/>
      <c r="C35" s="20"/>
      <c r="D35" s="20"/>
      <c r="E35" s="20"/>
      <c r="F35" s="20"/>
      <c r="G35" s="20"/>
      <c r="H35" s="20"/>
      <c r="I35" s="20"/>
      <c r="J35" s="20"/>
      <c r="K35" s="20"/>
      <c r="L35" s="21"/>
      <c r="M35" s="30"/>
    </row>
    <row r="36" spans="2:13" ht="15.75" customHeight="1">
      <c r="B36" s="18"/>
      <c r="C36" s="19" t="s">
        <v>21</v>
      </c>
      <c r="D36" s="131">
        <f>NPV(D21,E34:K34)+D34</f>
        <v>30170.712799560744</v>
      </c>
      <c r="E36" s="266"/>
      <c r="F36" s="266"/>
      <c r="G36" s="266"/>
      <c r="H36" s="266"/>
      <c r="I36" s="266"/>
      <c r="J36" s="266"/>
      <c r="K36" s="266"/>
      <c r="L36" s="21"/>
      <c r="M36" s="30"/>
    </row>
    <row r="37" spans="2:13" ht="15.75" customHeight="1"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21"/>
      <c r="M37" s="30"/>
    </row>
    <row r="38" spans="2:13" ht="15.7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21"/>
      <c r="M38" s="30"/>
    </row>
    <row r="39" spans="2:13" ht="15.75" customHeight="1">
      <c r="B39" s="18"/>
      <c r="C39" s="19" t="s">
        <v>258</v>
      </c>
      <c r="D39" s="19"/>
      <c r="E39" s="19"/>
      <c r="F39" s="19"/>
      <c r="G39" s="19"/>
      <c r="H39" s="19"/>
      <c r="I39" s="19"/>
      <c r="J39" s="19"/>
      <c r="K39" s="19"/>
      <c r="L39" s="21"/>
      <c r="M39" s="30"/>
    </row>
    <row r="40" spans="2:13" ht="15.7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21"/>
      <c r="M40" s="30"/>
    </row>
    <row r="41" spans="2:13" ht="15.75" customHeight="1">
      <c r="B41" s="18"/>
      <c r="C41" s="19" t="s">
        <v>259</v>
      </c>
      <c r="D41" s="87">
        <f>D8*((1/(D21-D9)-((1/(D21-D9))*(((1+D9)/(1+D21))^D14))))</f>
        <v>520637.00592233229</v>
      </c>
      <c r="E41" s="19"/>
      <c r="F41" s="19"/>
      <c r="G41" s="19"/>
      <c r="H41" s="19"/>
      <c r="I41" s="19"/>
      <c r="J41" s="19"/>
      <c r="K41" s="19"/>
      <c r="L41" s="21"/>
      <c r="M41" s="30"/>
    </row>
    <row r="42" spans="2:13" ht="15.75" customHeight="1">
      <c r="B42" s="18"/>
      <c r="C42" s="19" t="s">
        <v>260</v>
      </c>
      <c r="D42" s="87">
        <f>D41*(1-D13)</f>
        <v>343620.42390873929</v>
      </c>
      <c r="E42" s="19"/>
      <c r="F42" s="19"/>
      <c r="G42" s="19"/>
      <c r="H42" s="19"/>
      <c r="I42" s="19"/>
      <c r="J42" s="19"/>
      <c r="K42" s="19"/>
      <c r="L42" s="21"/>
      <c r="M42" s="30"/>
    </row>
    <row r="43" spans="2:13" ht="15.75" customHeight="1">
      <c r="B43" s="18"/>
      <c r="C43" s="19"/>
      <c r="D43" s="87"/>
      <c r="E43" s="19"/>
      <c r="F43" s="19"/>
      <c r="G43" s="19"/>
      <c r="H43" s="19"/>
      <c r="I43" s="19"/>
      <c r="J43" s="19"/>
      <c r="K43" s="19"/>
      <c r="L43" s="21"/>
      <c r="M43" s="30"/>
    </row>
    <row r="44" spans="2:13" ht="15.75" customHeight="1">
      <c r="B44" s="18"/>
      <c r="C44" s="19" t="s">
        <v>261</v>
      </c>
      <c r="D44" s="87">
        <f>D10*((1/(D21-D11)-((1/(D21-D11))*(((1+D11)/(1+D21))^D14))))</f>
        <v>152627.44231106466</v>
      </c>
      <c r="E44" s="19"/>
      <c r="F44" s="19"/>
      <c r="G44" s="19"/>
      <c r="H44" s="19"/>
      <c r="I44" s="19"/>
      <c r="J44" s="19"/>
      <c r="K44" s="19"/>
      <c r="L44" s="21"/>
      <c r="M44" s="30"/>
    </row>
    <row r="45" spans="2:13" ht="15.75" customHeight="1">
      <c r="B45" s="18"/>
      <c r="C45" s="226" t="s">
        <v>262</v>
      </c>
      <c r="D45" s="284">
        <f>D44*(1-D13)</f>
        <v>100734.11192530267</v>
      </c>
      <c r="E45" s="157"/>
      <c r="F45" s="157"/>
      <c r="G45" s="157"/>
      <c r="H45" s="157"/>
      <c r="I45" s="157"/>
      <c r="J45" s="157"/>
      <c r="K45" s="157"/>
      <c r="L45" s="21"/>
      <c r="M45" s="30"/>
    </row>
    <row r="46" spans="2:13" ht="15.75" customHeight="1">
      <c r="B46" s="18"/>
      <c r="C46" s="226"/>
      <c r="D46" s="281"/>
      <c r="E46" s="77"/>
      <c r="F46" s="77"/>
      <c r="G46" s="77"/>
      <c r="H46" s="77"/>
      <c r="I46" s="77"/>
      <c r="J46" s="77"/>
      <c r="K46" s="77"/>
      <c r="L46" s="21"/>
      <c r="M46" s="30"/>
    </row>
    <row r="47" spans="2:13" ht="15.75" customHeight="1">
      <c r="B47" s="18"/>
      <c r="C47" s="226" t="s">
        <v>263</v>
      </c>
      <c r="D47" s="142">
        <f>PV(D21,D14,-(D7/D14))*D13</f>
        <v>57284.400816124267</v>
      </c>
      <c r="E47" s="77"/>
      <c r="F47" s="77"/>
      <c r="G47" s="77"/>
      <c r="H47" s="77"/>
      <c r="I47" s="77"/>
      <c r="J47" s="77"/>
      <c r="K47" s="77"/>
      <c r="L47" s="21"/>
      <c r="M47" s="30"/>
    </row>
    <row r="48" spans="2:13" ht="15.75" customHeight="1">
      <c r="B48" s="18"/>
      <c r="C48" s="226"/>
      <c r="D48" s="282"/>
      <c r="E48" s="77"/>
      <c r="F48" s="77"/>
      <c r="G48" s="77"/>
      <c r="H48" s="77"/>
      <c r="I48" s="77"/>
      <c r="J48" s="77"/>
      <c r="K48" s="77"/>
      <c r="L48" s="21"/>
      <c r="M48" s="30"/>
    </row>
    <row r="49" spans="2:13" ht="15.75" customHeight="1">
      <c r="B49" s="18"/>
      <c r="C49" s="226" t="s">
        <v>21</v>
      </c>
      <c r="D49" s="285">
        <f>-D7+D42-D45+D47</f>
        <v>30170.71279956089</v>
      </c>
      <c r="E49" s="77"/>
      <c r="F49" s="77"/>
      <c r="G49" s="77"/>
      <c r="H49" s="77"/>
      <c r="I49" s="77"/>
      <c r="J49" s="77"/>
      <c r="K49" s="77"/>
      <c r="L49" s="21"/>
      <c r="M49" s="31"/>
    </row>
    <row r="50" spans="2:13" ht="15.75" customHeight="1" thickBot="1">
      <c r="B50" s="23"/>
      <c r="C50" s="53"/>
      <c r="D50" s="53"/>
      <c r="E50" s="53"/>
      <c r="F50" s="53"/>
      <c r="G50" s="53"/>
      <c r="H50" s="53"/>
      <c r="I50" s="53"/>
      <c r="J50" s="53"/>
      <c r="K50" s="53"/>
      <c r="L50" s="25"/>
      <c r="M50" s="30"/>
    </row>
    <row r="51" spans="2:13" ht="15.75" customHeight="1">
      <c r="B51" s="14"/>
      <c r="C51" s="14"/>
      <c r="D51" s="14"/>
      <c r="E51" s="14"/>
      <c r="F51" s="14"/>
      <c r="G51" s="14"/>
      <c r="H51" s="14"/>
    </row>
    <row r="52" spans="2:13" ht="15.75" customHeight="1"/>
    <row r="53" spans="2:13" ht="15.75" customHeight="1">
      <c r="D53" s="26"/>
    </row>
    <row r="54" spans="2:13" ht="15.75" customHeight="1"/>
    <row r="55" spans="2:13" ht="15.75" customHeight="1"/>
    <row r="56" spans="2:13" ht="15.75" customHeight="1"/>
    <row r="57" spans="2:13" ht="15.75" customHeight="1"/>
    <row r="58" spans="2:13" ht="15.75" customHeight="1"/>
    <row r="59" spans="2:13" ht="15.75" customHeight="1"/>
    <row r="60" spans="2:13" ht="15.75" customHeight="1"/>
    <row r="61" spans="2:13" ht="15.75" customHeight="1"/>
  </sheetData>
  <phoneticPr fontId="0" type="noConversion"/>
  <pageMargins left="0.75" right="0.75" top="1" bottom="1" header="0.5" footer="0.5"/>
  <pageSetup scale="55" orientation="portrait" horizontalDpi="360" verticalDpi="360" r:id="rId1"/>
  <headerFooter alignWithMargins="0"/>
  <colBreaks count="1" manualBreakCount="1">
    <brk id="11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B1:K59"/>
  <sheetViews>
    <sheetView zoomScaleNormal="100" workbookViewId="0"/>
  </sheetViews>
  <sheetFormatPr defaultRowHeight="12.75"/>
  <cols>
    <col min="2" max="2" width="3.140625" customWidth="1"/>
    <col min="3" max="3" width="30.42578125" bestFit="1" customWidth="1"/>
    <col min="4" max="4" width="17.5703125" bestFit="1" customWidth="1"/>
    <col min="5" max="9" width="15.140625" customWidth="1"/>
    <col min="10" max="10" width="3.140625" customWidth="1"/>
  </cols>
  <sheetData>
    <row r="1" spans="2:5" ht="18">
      <c r="C1" s="1" t="s">
        <v>436</v>
      </c>
    </row>
    <row r="2" spans="2:5" ht="15.75" customHeight="1">
      <c r="C2" s="3" t="s">
        <v>71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13" t="s">
        <v>267</v>
      </c>
      <c r="D7" s="91">
        <v>7000</v>
      </c>
      <c r="E7" s="9"/>
    </row>
    <row r="8" spans="2:5" ht="15.75" customHeight="1">
      <c r="B8" s="8"/>
      <c r="C8" s="13" t="s">
        <v>266</v>
      </c>
      <c r="D8" s="153">
        <v>0.08</v>
      </c>
      <c r="E8" s="9"/>
    </row>
    <row r="9" spans="2:5" ht="15.75" customHeight="1">
      <c r="B9" s="8"/>
      <c r="C9" s="13" t="s">
        <v>91</v>
      </c>
      <c r="D9" s="265">
        <v>35000</v>
      </c>
      <c r="E9" s="9"/>
    </row>
    <row r="10" spans="2:5" ht="15.75" customHeight="1">
      <c r="B10" s="8"/>
      <c r="C10" s="13" t="s">
        <v>81</v>
      </c>
      <c r="D10" s="85">
        <v>95000</v>
      </c>
      <c r="E10" s="9"/>
    </row>
    <row r="11" spans="2:5" ht="15.75" customHeight="1">
      <c r="B11" s="8"/>
      <c r="C11" s="13" t="s">
        <v>80</v>
      </c>
      <c r="D11" s="265">
        <v>20</v>
      </c>
      <c r="E11" s="9"/>
    </row>
    <row r="12" spans="2:5" ht="15.75" customHeight="1">
      <c r="B12" s="8"/>
      <c r="C12" s="13" t="s">
        <v>109</v>
      </c>
      <c r="D12" s="265">
        <v>48</v>
      </c>
      <c r="E12" s="9"/>
    </row>
    <row r="13" spans="2:5" ht="15.75" customHeight="1">
      <c r="B13" s="8"/>
      <c r="C13" s="13" t="s">
        <v>31</v>
      </c>
      <c r="D13" s="265">
        <v>175000</v>
      </c>
      <c r="E13" s="9"/>
    </row>
    <row r="14" spans="2:5" ht="15.75" customHeight="1">
      <c r="B14" s="8"/>
      <c r="C14" s="13" t="s">
        <v>6</v>
      </c>
      <c r="D14" s="153">
        <v>0.34</v>
      </c>
      <c r="E14" s="9"/>
    </row>
    <row r="15" spans="2:5" ht="15.75" customHeight="1">
      <c r="B15" s="8"/>
      <c r="C15" s="13" t="s">
        <v>20</v>
      </c>
      <c r="D15" s="153">
        <v>0.25</v>
      </c>
      <c r="E15" s="9"/>
    </row>
    <row r="16" spans="2:5" ht="15.75" customHeight="1">
      <c r="B16" s="8"/>
      <c r="C16" s="13" t="s">
        <v>52</v>
      </c>
      <c r="D16" s="59"/>
      <c r="E16" s="9"/>
    </row>
    <row r="17" spans="2:11" ht="15.75" customHeight="1" thickBot="1">
      <c r="B17" s="10"/>
      <c r="C17" s="28"/>
      <c r="D17" s="62"/>
      <c r="E17" s="12"/>
    </row>
    <row r="18" spans="2:11" ht="15.75" customHeight="1"/>
    <row r="19" spans="2:11" ht="15.75" customHeight="1">
      <c r="C19" s="2" t="s">
        <v>2</v>
      </c>
    </row>
    <row r="20" spans="2:11" ht="15.75" customHeight="1" thickBot="1"/>
    <row r="21" spans="2:11" ht="15.75" customHeight="1">
      <c r="B21" s="15"/>
      <c r="C21" s="16"/>
      <c r="D21" s="16"/>
      <c r="E21" s="16"/>
      <c r="F21" s="16"/>
      <c r="G21" s="16"/>
      <c r="H21" s="16"/>
      <c r="I21" s="16"/>
      <c r="J21" s="17"/>
      <c r="K21" s="30"/>
    </row>
    <row r="22" spans="2:11" ht="15.75" customHeight="1">
      <c r="B22" s="18"/>
      <c r="C22" s="19" t="s">
        <v>268</v>
      </c>
      <c r="D22" s="20"/>
      <c r="E22" s="81">
        <f>D7</f>
        <v>7000</v>
      </c>
      <c r="F22" s="81">
        <f>(E22*(1+$D$8))</f>
        <v>7560.0000000000009</v>
      </c>
      <c r="G22" s="81">
        <f>(F22*(1+$D$8))</f>
        <v>8164.8000000000011</v>
      </c>
      <c r="H22" s="81">
        <f>(G22*(1+$D$8))</f>
        <v>8817.9840000000022</v>
      </c>
      <c r="I22" s="81">
        <f>(H22*(1+$D$8))</f>
        <v>9523.4227200000023</v>
      </c>
      <c r="J22" s="21"/>
      <c r="K22" s="30"/>
    </row>
    <row r="23" spans="2:11" ht="15.75" customHeight="1">
      <c r="B23" s="18"/>
      <c r="C23" s="20"/>
      <c r="D23" s="20"/>
      <c r="E23" s="20"/>
      <c r="F23" s="20"/>
      <c r="G23" s="20"/>
      <c r="H23" s="20"/>
      <c r="I23" s="20"/>
      <c r="J23" s="21"/>
      <c r="K23" s="30"/>
    </row>
    <row r="24" spans="2:11" ht="15.75" customHeight="1">
      <c r="B24" s="18"/>
      <c r="C24" s="266"/>
      <c r="D24" s="267" t="s">
        <v>180</v>
      </c>
      <c r="E24" s="267" t="s">
        <v>181</v>
      </c>
      <c r="F24" s="267" t="s">
        <v>182</v>
      </c>
      <c r="G24" s="267" t="s">
        <v>183</v>
      </c>
      <c r="H24" s="267" t="s">
        <v>184</v>
      </c>
      <c r="I24" s="267" t="s">
        <v>231</v>
      </c>
      <c r="J24" s="21"/>
      <c r="K24" s="30"/>
    </row>
    <row r="25" spans="2:11" ht="15.75" customHeight="1">
      <c r="B25" s="18"/>
      <c r="C25" s="19" t="s">
        <v>255</v>
      </c>
      <c r="D25" s="19"/>
      <c r="E25" s="224">
        <f>E22*$D$12</f>
        <v>336000</v>
      </c>
      <c r="F25" s="224">
        <f>F22*$D$12</f>
        <v>362880.00000000006</v>
      </c>
      <c r="G25" s="224">
        <f>G22*$D$12</f>
        <v>391910.40000000002</v>
      </c>
      <c r="H25" s="224">
        <f>H22*$D$12</f>
        <v>423263.23200000008</v>
      </c>
      <c r="I25" s="224">
        <f>I22*$D$12</f>
        <v>457124.29056000011</v>
      </c>
      <c r="J25" s="21"/>
      <c r="K25" s="30"/>
    </row>
    <row r="26" spans="2:11" ht="15.75" customHeight="1">
      <c r="B26" s="18"/>
      <c r="C26" s="19" t="s">
        <v>81</v>
      </c>
      <c r="D26" s="19"/>
      <c r="E26" s="233">
        <f>$D$10</f>
        <v>95000</v>
      </c>
      <c r="F26" s="233">
        <f>$D$10</f>
        <v>95000</v>
      </c>
      <c r="G26" s="233">
        <f>$D$10</f>
        <v>95000</v>
      </c>
      <c r="H26" s="233">
        <f>$D$10</f>
        <v>95000</v>
      </c>
      <c r="I26" s="233">
        <f>$D$10</f>
        <v>95000</v>
      </c>
      <c r="J26" s="21"/>
      <c r="K26" s="30"/>
    </row>
    <row r="27" spans="2:11" ht="15.75" customHeight="1">
      <c r="B27" s="18"/>
      <c r="C27" s="19" t="s">
        <v>80</v>
      </c>
      <c r="D27" s="19"/>
      <c r="E27" s="233">
        <f>E22*$D$11</f>
        <v>140000</v>
      </c>
      <c r="F27" s="233">
        <f>F22*$D$11</f>
        <v>151200.00000000003</v>
      </c>
      <c r="G27" s="233">
        <f>G22*$D$11</f>
        <v>163296.00000000003</v>
      </c>
      <c r="H27" s="233">
        <f>H22*$D$11</f>
        <v>176359.68000000005</v>
      </c>
      <c r="I27" s="233">
        <f>I22*$D$11</f>
        <v>190468.45440000005</v>
      </c>
      <c r="J27" s="21"/>
      <c r="K27" s="30"/>
    </row>
    <row r="28" spans="2:11" ht="15.75" customHeight="1">
      <c r="B28" s="18"/>
      <c r="C28" s="19" t="s">
        <v>5</v>
      </c>
      <c r="D28" s="19"/>
      <c r="E28" s="280">
        <f>D13/5</f>
        <v>35000</v>
      </c>
      <c r="F28" s="280">
        <f>E28</f>
        <v>35000</v>
      </c>
      <c r="G28" s="280">
        <f>F28</f>
        <v>35000</v>
      </c>
      <c r="H28" s="280">
        <f>G28</f>
        <v>35000</v>
      </c>
      <c r="I28" s="280">
        <f>H28</f>
        <v>35000</v>
      </c>
      <c r="J28" s="21"/>
      <c r="K28" s="30"/>
    </row>
    <row r="29" spans="2:11" ht="15.75" customHeight="1">
      <c r="B29" s="18"/>
      <c r="C29" s="19" t="s">
        <v>8</v>
      </c>
      <c r="D29" s="20"/>
      <c r="E29" s="224">
        <f>E25-E26-E27-E28</f>
        <v>66000</v>
      </c>
      <c r="F29" s="224">
        <f>F25-F26-F27-F28</f>
        <v>81680.000000000029</v>
      </c>
      <c r="G29" s="224">
        <f>G25-G26-G27-G28</f>
        <v>98614.399999999994</v>
      </c>
      <c r="H29" s="224">
        <f>H25-H26-H27-H28</f>
        <v>116903.55200000003</v>
      </c>
      <c r="I29" s="224">
        <f>I25-I26-I27-I28</f>
        <v>136655.83616000006</v>
      </c>
      <c r="J29" s="21"/>
      <c r="K29" s="30"/>
    </row>
    <row r="30" spans="2:11" ht="15.75" customHeight="1">
      <c r="B30" s="18"/>
      <c r="C30" s="19" t="s">
        <v>79</v>
      </c>
      <c r="D30" s="19"/>
      <c r="E30" s="233">
        <f>E29*$D$14</f>
        <v>22440</v>
      </c>
      <c r="F30" s="233">
        <f>F29*$D$14</f>
        <v>27771.200000000012</v>
      </c>
      <c r="G30" s="233">
        <f>G29*$D$14</f>
        <v>33528.896000000001</v>
      </c>
      <c r="H30" s="233">
        <f>H29*$D$14</f>
        <v>39747.207680000014</v>
      </c>
      <c r="I30" s="233">
        <f>I29*$D$14</f>
        <v>46462.984294400027</v>
      </c>
      <c r="J30" s="21"/>
      <c r="K30" s="30"/>
    </row>
    <row r="31" spans="2:11" ht="15.75" customHeight="1" thickBot="1">
      <c r="B31" s="18"/>
      <c r="C31" s="19" t="s">
        <v>115</v>
      </c>
      <c r="D31" s="19"/>
      <c r="E31" s="279">
        <f>E29-E30</f>
        <v>43560</v>
      </c>
      <c r="F31" s="279">
        <f>F29-F30</f>
        <v>53908.800000000017</v>
      </c>
      <c r="G31" s="279">
        <f>G29-G30</f>
        <v>65085.503999999994</v>
      </c>
      <c r="H31" s="279">
        <f>H29-H30</f>
        <v>77156.344320000004</v>
      </c>
      <c r="I31" s="279">
        <f>I29-I30</f>
        <v>90192.851865600038</v>
      </c>
      <c r="J31" s="21"/>
      <c r="K31" s="30"/>
    </row>
    <row r="32" spans="2:11" ht="15.75" customHeight="1" thickTop="1">
      <c r="B32" s="18"/>
      <c r="C32" s="19" t="s">
        <v>11</v>
      </c>
      <c r="D32" s="19"/>
      <c r="E32" s="224">
        <f>E31+E28</f>
        <v>78560</v>
      </c>
      <c r="F32" s="224">
        <f>F31+F28</f>
        <v>88908.800000000017</v>
      </c>
      <c r="G32" s="224">
        <f>G31+G28</f>
        <v>100085.50399999999</v>
      </c>
      <c r="H32" s="224">
        <f>H31+H28</f>
        <v>112156.34432</v>
      </c>
      <c r="I32" s="224">
        <f>I31+I28</f>
        <v>125192.85186560004</v>
      </c>
      <c r="J32" s="21"/>
      <c r="K32" s="30"/>
    </row>
    <row r="33" spans="2:11" ht="15.75" customHeight="1">
      <c r="B33" s="18"/>
      <c r="C33" s="19"/>
      <c r="D33" s="19"/>
      <c r="E33" s="19"/>
      <c r="F33" s="19"/>
      <c r="G33" s="19"/>
      <c r="H33" s="19"/>
      <c r="I33" s="19"/>
      <c r="J33" s="21"/>
      <c r="K33" s="30"/>
    </row>
    <row r="34" spans="2:11" ht="15.75" customHeight="1">
      <c r="B34" s="18"/>
      <c r="C34" s="19" t="s">
        <v>119</v>
      </c>
      <c r="D34" s="80">
        <f>-D13</f>
        <v>-175000</v>
      </c>
      <c r="E34" s="19"/>
      <c r="F34" s="19"/>
      <c r="G34" s="19"/>
      <c r="H34" s="19"/>
      <c r="I34" s="19"/>
      <c r="J34" s="21"/>
      <c r="K34" s="30"/>
    </row>
    <row r="35" spans="2:11" ht="15.75" customHeight="1">
      <c r="B35" s="18"/>
      <c r="C35" s="19" t="s">
        <v>91</v>
      </c>
      <c r="D35" s="83">
        <f>-D9</f>
        <v>-35000</v>
      </c>
      <c r="E35" s="405"/>
      <c r="F35" s="405"/>
      <c r="G35" s="405"/>
      <c r="H35" s="405"/>
      <c r="I35" s="83">
        <f>D9</f>
        <v>35000</v>
      </c>
      <c r="J35" s="21"/>
      <c r="K35" s="30"/>
    </row>
    <row r="36" spans="2:11" ht="15.75" customHeight="1">
      <c r="B36" s="18"/>
      <c r="C36" s="19"/>
      <c r="D36" s="19"/>
      <c r="E36" s="19"/>
      <c r="F36" s="19"/>
      <c r="G36" s="19"/>
      <c r="H36" s="19"/>
      <c r="I36" s="19"/>
      <c r="J36" s="21"/>
      <c r="K36" s="30"/>
    </row>
    <row r="37" spans="2:11" ht="15.75" customHeight="1">
      <c r="B37" s="18"/>
      <c r="C37" s="19" t="s">
        <v>120</v>
      </c>
      <c r="D37" s="87">
        <f t="shared" ref="D37:I37" si="0">D34+D35+D32</f>
        <v>-210000</v>
      </c>
      <c r="E37" s="87">
        <f t="shared" si="0"/>
        <v>78560</v>
      </c>
      <c r="F37" s="87">
        <f t="shared" si="0"/>
        <v>88908.800000000017</v>
      </c>
      <c r="G37" s="87">
        <f t="shared" si="0"/>
        <v>100085.50399999999</v>
      </c>
      <c r="H37" s="87">
        <f t="shared" si="0"/>
        <v>112156.34432</v>
      </c>
      <c r="I37" s="87">
        <f t="shared" si="0"/>
        <v>160192.85186560004</v>
      </c>
      <c r="J37" s="21"/>
      <c r="K37" s="30"/>
    </row>
    <row r="38" spans="2:11" ht="15.75" customHeight="1">
      <c r="B38" s="18"/>
      <c r="C38" s="20"/>
      <c r="D38" s="20"/>
      <c r="E38" s="20"/>
      <c r="F38" s="20"/>
      <c r="G38" s="20"/>
      <c r="H38" s="20"/>
      <c r="I38" s="20"/>
      <c r="J38" s="21"/>
      <c r="K38" s="30"/>
    </row>
    <row r="39" spans="2:11" ht="15.75" customHeight="1">
      <c r="B39" s="18"/>
      <c r="C39" s="19" t="s">
        <v>21</v>
      </c>
      <c r="D39" s="131">
        <f>NPV(D15,E37:I37)+D37</f>
        <v>59424.642380791833</v>
      </c>
      <c r="E39" s="266"/>
      <c r="F39" s="266"/>
      <c r="G39" s="266"/>
      <c r="H39" s="266"/>
      <c r="I39" s="266"/>
      <c r="J39" s="21"/>
      <c r="K39" s="30"/>
    </row>
    <row r="40" spans="2:11" ht="15.75" customHeight="1">
      <c r="B40" s="18"/>
      <c r="C40" s="19"/>
      <c r="D40" s="88"/>
      <c r="E40" s="266"/>
      <c r="F40" s="266"/>
      <c r="G40" s="266"/>
      <c r="H40" s="266"/>
      <c r="I40" s="266"/>
      <c r="J40" s="21"/>
      <c r="K40" s="30"/>
    </row>
    <row r="41" spans="2:11" ht="15.75" customHeight="1">
      <c r="B41" s="18"/>
      <c r="C41" s="266" t="s">
        <v>413</v>
      </c>
      <c r="D41" s="88"/>
      <c r="E41" s="266"/>
      <c r="F41" s="266"/>
      <c r="G41" s="266"/>
      <c r="H41" s="266"/>
      <c r="I41" s="266"/>
      <c r="J41" s="21"/>
      <c r="K41" s="30"/>
    </row>
    <row r="42" spans="2:11" ht="15.75" customHeight="1">
      <c r="B42" s="18"/>
      <c r="C42" s="19" t="s">
        <v>414</v>
      </c>
      <c r="D42" s="87">
        <f>E25*((1/($D$15-$D$8))-((1/($D$15-$D$8))*(((1+$D$8)/(1+$D$15))^5)))</f>
        <v>1024860.4321579004</v>
      </c>
      <c r="E42" s="266"/>
      <c r="F42" s="266"/>
      <c r="G42" s="266"/>
      <c r="H42" s="266"/>
      <c r="I42" s="266"/>
      <c r="J42" s="21"/>
      <c r="K42" s="30"/>
    </row>
    <row r="43" spans="2:11" ht="15.75" customHeight="1">
      <c r="B43" s="18"/>
      <c r="C43" s="19" t="s">
        <v>415</v>
      </c>
      <c r="D43" s="87">
        <f>E27*((1/($D$15-$D$8))-((1/($D$15-$D$8))*(((1+$D$8)/(1+$D$15))^5)))</f>
        <v>427025.18006579188</v>
      </c>
      <c r="E43" s="266"/>
      <c r="F43" s="266"/>
      <c r="G43" s="266"/>
      <c r="H43" s="266"/>
      <c r="I43" s="266"/>
      <c r="J43" s="21"/>
      <c r="K43" s="30"/>
    </row>
    <row r="44" spans="2:11" ht="15.75" customHeight="1">
      <c r="B44" s="18"/>
      <c r="C44" s="19" t="s">
        <v>416</v>
      </c>
      <c r="D44" s="87">
        <f>PV(D15,5,-E26)</f>
        <v>255481.60000000001</v>
      </c>
      <c r="E44" s="266"/>
      <c r="F44" s="266"/>
      <c r="G44" s="266"/>
      <c r="H44" s="266"/>
      <c r="I44" s="266"/>
      <c r="J44" s="21"/>
      <c r="K44" s="30"/>
    </row>
    <row r="45" spans="2:11" ht="15.75" customHeight="1">
      <c r="B45" s="18"/>
      <c r="C45" s="19" t="s">
        <v>417</v>
      </c>
      <c r="D45" s="87">
        <f>PV(D15,5,-E28)</f>
        <v>94124.800000000003</v>
      </c>
      <c r="E45" s="266"/>
      <c r="F45" s="266"/>
      <c r="G45" s="266"/>
      <c r="H45" s="266"/>
      <c r="I45" s="266"/>
      <c r="J45" s="21"/>
      <c r="K45" s="30"/>
    </row>
    <row r="46" spans="2:11" ht="15.75" customHeight="1">
      <c r="B46" s="18"/>
      <c r="C46" s="19"/>
      <c r="D46" s="88"/>
      <c r="E46" s="266"/>
      <c r="F46" s="266"/>
      <c r="G46" s="266"/>
      <c r="H46" s="266"/>
      <c r="I46" s="266"/>
      <c r="J46" s="21"/>
      <c r="K46" s="30"/>
    </row>
    <row r="47" spans="2:11" ht="15.75" customHeight="1">
      <c r="B47" s="18"/>
      <c r="C47" s="19" t="s">
        <v>21</v>
      </c>
      <c r="D47" s="131">
        <f>D37+((D42-D43-D44)*(1-D14))+(D45*D14)+(I35/((1+D15)^5))</f>
        <v>59424.642380791673</v>
      </c>
      <c r="E47" s="266"/>
      <c r="F47" s="266"/>
      <c r="G47" s="266"/>
      <c r="H47" s="266"/>
      <c r="I47" s="266"/>
      <c r="J47" s="21"/>
      <c r="K47" s="30"/>
    </row>
    <row r="48" spans="2:11" ht="15.75" customHeight="1" thickBot="1">
      <c r="B48" s="23"/>
      <c r="C48" s="53"/>
      <c r="D48" s="53"/>
      <c r="E48" s="53"/>
      <c r="F48" s="53"/>
      <c r="G48" s="53"/>
      <c r="H48" s="53"/>
      <c r="I48" s="53"/>
      <c r="J48" s="25"/>
      <c r="K48" s="30"/>
    </row>
    <row r="49" spans="2:8" ht="15.75" customHeight="1">
      <c r="B49" s="14"/>
      <c r="C49" s="14"/>
      <c r="D49" s="14"/>
      <c r="E49" s="14"/>
      <c r="F49" s="14"/>
      <c r="G49" s="14"/>
      <c r="H49" s="14"/>
    </row>
    <row r="50" spans="2:8" ht="15.75" customHeight="1"/>
    <row r="51" spans="2:8" ht="15.75" customHeight="1">
      <c r="D51" s="26"/>
    </row>
    <row r="52" spans="2:8" ht="15.75" customHeight="1"/>
    <row r="53" spans="2:8" ht="15.75" customHeight="1"/>
    <row r="54" spans="2:8" ht="15.75" customHeight="1"/>
    <row r="55" spans="2:8" ht="15.75" customHeight="1"/>
    <row r="56" spans="2:8" ht="15.75" customHeight="1"/>
    <row r="57" spans="2:8" ht="15.75" customHeight="1"/>
    <row r="58" spans="2:8" ht="15.75" customHeight="1"/>
    <row r="59" spans="2:8" ht="15.75" customHeight="1"/>
  </sheetData>
  <phoneticPr fontId="0" type="noConversion"/>
  <pageMargins left="0.75" right="0.75" top="1" bottom="1" header="0.5" footer="0.5"/>
  <pageSetup scale="66" orientation="portrait" horizontalDpi="360" verticalDpi="36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B1:J65"/>
  <sheetViews>
    <sheetView zoomScaleNormal="100" workbookViewId="0"/>
  </sheetViews>
  <sheetFormatPr defaultRowHeight="12.75"/>
  <cols>
    <col min="1" max="1" width="9.140625" style="358"/>
    <col min="2" max="2" width="3.140625" style="358" customWidth="1"/>
    <col min="3" max="3" width="23.140625" style="358" customWidth="1"/>
    <col min="4" max="4" width="18.28515625" style="358" bestFit="1" customWidth="1"/>
    <col min="5" max="8" width="17.5703125" style="358" bestFit="1" customWidth="1"/>
    <col min="9" max="9" width="3.140625" style="358" customWidth="1"/>
    <col min="10" max="16384" width="9.140625" style="358"/>
  </cols>
  <sheetData>
    <row r="1" spans="2:5" ht="18">
      <c r="C1" s="359" t="s">
        <v>436</v>
      </c>
    </row>
    <row r="2" spans="2:5" ht="15.75" customHeight="1">
      <c r="C2" s="360" t="s">
        <v>265</v>
      </c>
    </row>
    <row r="3" spans="2:5" ht="15.75" customHeight="1"/>
    <row r="4" spans="2:5" ht="15.75" customHeight="1">
      <c r="C4" s="361" t="s">
        <v>1</v>
      </c>
    </row>
    <row r="5" spans="2:5" ht="15.75" customHeight="1" thickBot="1"/>
    <row r="6" spans="2:5" ht="15.75" customHeight="1">
      <c r="B6" s="362"/>
      <c r="C6" s="363"/>
      <c r="D6" s="363"/>
      <c r="E6" s="364"/>
    </row>
    <row r="7" spans="2:5" ht="15.75" customHeight="1">
      <c r="B7" s="365"/>
      <c r="C7" s="366" t="s">
        <v>269</v>
      </c>
      <c r="D7" s="367">
        <v>1000000</v>
      </c>
      <c r="E7" s="368"/>
    </row>
    <row r="8" spans="2:5" ht="15.75" customHeight="1">
      <c r="B8" s="365"/>
      <c r="C8" s="366" t="s">
        <v>440</v>
      </c>
      <c r="D8" s="265">
        <v>900000</v>
      </c>
      <c r="E8" s="368"/>
    </row>
    <row r="9" spans="2:5" ht="15.75" customHeight="1">
      <c r="B9" s="365"/>
      <c r="C9" s="366" t="s">
        <v>441</v>
      </c>
      <c r="D9" s="265">
        <v>1200000</v>
      </c>
      <c r="E9" s="368"/>
    </row>
    <row r="10" spans="2:5" ht="15.75" customHeight="1">
      <c r="B10" s="365"/>
      <c r="C10" s="366" t="s">
        <v>276</v>
      </c>
      <c r="D10" s="265">
        <v>125000</v>
      </c>
      <c r="E10" s="368"/>
    </row>
    <row r="11" spans="2:5" ht="15.75" customHeight="1">
      <c r="B11" s="365"/>
      <c r="C11" s="366" t="s">
        <v>270</v>
      </c>
      <c r="D11" s="369">
        <v>6700</v>
      </c>
      <c r="E11" s="368"/>
    </row>
    <row r="12" spans="2:5" ht="15.75" customHeight="1">
      <c r="B12" s="365"/>
      <c r="C12" s="366" t="s">
        <v>271</v>
      </c>
      <c r="D12" s="283">
        <v>7500</v>
      </c>
      <c r="E12" s="368"/>
    </row>
    <row r="13" spans="2:5" ht="15.75" customHeight="1">
      <c r="B13" s="365"/>
      <c r="C13" s="366" t="s">
        <v>272</v>
      </c>
      <c r="D13" s="283">
        <v>9100</v>
      </c>
      <c r="E13" s="368"/>
    </row>
    <row r="14" spans="2:5" ht="15.75" customHeight="1">
      <c r="B14" s="365"/>
      <c r="C14" s="366" t="s">
        <v>273</v>
      </c>
      <c r="D14" s="283">
        <v>6200</v>
      </c>
      <c r="E14" s="368"/>
    </row>
    <row r="15" spans="2:5" ht="15.75" customHeight="1">
      <c r="B15" s="365"/>
      <c r="C15" s="366" t="s">
        <v>274</v>
      </c>
      <c r="D15" s="265">
        <v>275</v>
      </c>
      <c r="E15" s="368"/>
    </row>
    <row r="16" spans="2:5" ht="15.75" customHeight="1">
      <c r="B16" s="365"/>
      <c r="C16" s="366" t="s">
        <v>81</v>
      </c>
      <c r="D16" s="265">
        <v>350000</v>
      </c>
      <c r="E16" s="368"/>
    </row>
    <row r="17" spans="2:10" ht="15.75" customHeight="1">
      <c r="B17" s="365"/>
      <c r="C17" s="366" t="s">
        <v>80</v>
      </c>
      <c r="D17" s="153">
        <v>0.15</v>
      </c>
      <c r="E17" s="368"/>
    </row>
    <row r="18" spans="2:10" ht="15.75" customHeight="1">
      <c r="B18" s="365"/>
      <c r="C18" s="366" t="s">
        <v>275</v>
      </c>
      <c r="D18" s="265">
        <v>3100000</v>
      </c>
      <c r="E18" s="368"/>
    </row>
    <row r="19" spans="2:10" ht="15.75" customHeight="1">
      <c r="B19" s="365"/>
      <c r="C19" s="366" t="s">
        <v>33</v>
      </c>
      <c r="D19" s="265">
        <v>300000</v>
      </c>
      <c r="E19" s="368"/>
    </row>
    <row r="20" spans="2:10" ht="15.75" customHeight="1">
      <c r="B20" s="365"/>
      <c r="C20" s="366" t="s">
        <v>91</v>
      </c>
      <c r="D20" s="265">
        <v>120000</v>
      </c>
      <c r="E20" s="368"/>
    </row>
    <row r="21" spans="2:10" ht="15.75" customHeight="1">
      <c r="B21" s="365"/>
      <c r="C21" s="366" t="s">
        <v>6</v>
      </c>
      <c r="D21" s="153">
        <v>0.38</v>
      </c>
      <c r="E21" s="368"/>
    </row>
    <row r="22" spans="2:10" ht="15.75" customHeight="1">
      <c r="B22" s="365"/>
      <c r="C22" s="366" t="s">
        <v>20</v>
      </c>
      <c r="D22" s="153">
        <v>0.13</v>
      </c>
      <c r="E22" s="368"/>
    </row>
    <row r="23" spans="2:10" ht="15.75" customHeight="1">
      <c r="B23" s="365"/>
      <c r="C23" s="366" t="s">
        <v>277</v>
      </c>
      <c r="D23" s="155">
        <v>0.33329999999999999</v>
      </c>
      <c r="E23" s="368"/>
    </row>
    <row r="24" spans="2:10" ht="15.75" customHeight="1">
      <c r="B24" s="365"/>
      <c r="C24" s="366" t="s">
        <v>278</v>
      </c>
      <c r="D24" s="155">
        <v>0.44450000000000001</v>
      </c>
      <c r="E24" s="368"/>
    </row>
    <row r="25" spans="2:10" ht="15.75" customHeight="1">
      <c r="B25" s="365"/>
      <c r="C25" s="366" t="s">
        <v>279</v>
      </c>
      <c r="D25" s="155">
        <v>0.14810000000000001</v>
      </c>
      <c r="E25" s="368"/>
    </row>
    <row r="26" spans="2:10" ht="15.75" customHeight="1">
      <c r="B26" s="365"/>
      <c r="C26" s="366" t="s">
        <v>280</v>
      </c>
      <c r="D26" s="155">
        <v>7.4099999999999999E-2</v>
      </c>
      <c r="E26" s="368"/>
    </row>
    <row r="27" spans="2:10" ht="15.75" customHeight="1" thickBot="1">
      <c r="B27" s="370"/>
      <c r="C27" s="371"/>
      <c r="D27" s="372"/>
      <c r="E27" s="373"/>
    </row>
    <row r="28" spans="2:10" ht="15.75" customHeight="1"/>
    <row r="29" spans="2:10" ht="15.75" customHeight="1">
      <c r="C29" s="361" t="s">
        <v>2</v>
      </c>
    </row>
    <row r="30" spans="2:10" ht="15.75" customHeight="1" thickBot="1"/>
    <row r="31" spans="2:10" ht="15.75" customHeight="1">
      <c r="B31" s="374"/>
      <c r="C31" s="375"/>
      <c r="D31" s="375"/>
      <c r="E31" s="375"/>
      <c r="F31" s="375"/>
      <c r="G31" s="375"/>
      <c r="H31" s="375"/>
      <c r="I31" s="376"/>
      <c r="J31" s="377"/>
    </row>
    <row r="32" spans="2:10" ht="15.75" customHeight="1">
      <c r="B32" s="378"/>
      <c r="C32" s="379" t="s">
        <v>28</v>
      </c>
      <c r="D32" s="380"/>
      <c r="E32" s="380"/>
      <c r="F32" s="380"/>
      <c r="G32" s="380"/>
      <c r="H32" s="380"/>
      <c r="I32" s="381"/>
      <c r="J32" s="377"/>
    </row>
    <row r="33" spans="2:10" ht="15.75" customHeight="1">
      <c r="B33" s="378"/>
      <c r="C33" s="382" t="s">
        <v>281</v>
      </c>
      <c r="D33" s="383">
        <f>D19</f>
        <v>300000</v>
      </c>
      <c r="E33" s="380"/>
      <c r="F33" s="380"/>
      <c r="G33" s="380"/>
      <c r="H33" s="380"/>
      <c r="I33" s="381"/>
      <c r="J33" s="377"/>
    </row>
    <row r="34" spans="2:10" ht="15.75" customHeight="1">
      <c r="B34" s="378"/>
      <c r="C34" s="382" t="s">
        <v>79</v>
      </c>
      <c r="D34" s="384">
        <f>D19*-D21</f>
        <v>-114000</v>
      </c>
      <c r="E34" s="380"/>
      <c r="F34" s="380"/>
      <c r="G34" s="380"/>
      <c r="H34" s="380"/>
      <c r="I34" s="381"/>
      <c r="J34" s="377"/>
    </row>
    <row r="35" spans="2:10" ht="15.75" customHeight="1">
      <c r="B35" s="378"/>
      <c r="C35" s="382" t="s">
        <v>200</v>
      </c>
      <c r="D35" s="383">
        <f>D33+D34</f>
        <v>186000</v>
      </c>
      <c r="E35" s="380"/>
      <c r="F35" s="380"/>
      <c r="G35" s="380"/>
      <c r="H35" s="380"/>
      <c r="I35" s="381"/>
      <c r="J35" s="377"/>
    </row>
    <row r="36" spans="2:10" ht="15.75" customHeight="1">
      <c r="B36" s="378"/>
      <c r="C36" s="380"/>
      <c r="D36" s="380"/>
      <c r="E36" s="380"/>
      <c r="F36" s="380"/>
      <c r="G36" s="380"/>
      <c r="H36" s="380"/>
      <c r="I36" s="381"/>
      <c r="J36" s="377"/>
    </row>
    <row r="37" spans="2:10" ht="15.75" customHeight="1">
      <c r="B37" s="378"/>
      <c r="C37" s="379"/>
      <c r="D37" s="385" t="s">
        <v>180</v>
      </c>
      <c r="E37" s="385" t="s">
        <v>181</v>
      </c>
      <c r="F37" s="385" t="s">
        <v>182</v>
      </c>
      <c r="G37" s="385" t="s">
        <v>183</v>
      </c>
      <c r="H37" s="385" t="s">
        <v>184</v>
      </c>
      <c r="I37" s="381"/>
      <c r="J37" s="377"/>
    </row>
    <row r="38" spans="2:10" ht="15.75" customHeight="1">
      <c r="B38" s="378"/>
      <c r="C38" s="382" t="s">
        <v>255</v>
      </c>
      <c r="D38" s="382"/>
      <c r="E38" s="383">
        <f>D11*D15</f>
        <v>1842500</v>
      </c>
      <c r="F38" s="383">
        <f>D12*D15</f>
        <v>2062500</v>
      </c>
      <c r="G38" s="383">
        <f>D13*D15</f>
        <v>2502500</v>
      </c>
      <c r="H38" s="383">
        <f>D14*D15</f>
        <v>1705000</v>
      </c>
      <c r="I38" s="381"/>
      <c r="J38" s="377"/>
    </row>
    <row r="39" spans="2:10" ht="15.75" customHeight="1">
      <c r="B39" s="378"/>
      <c r="C39" s="382" t="s">
        <v>81</v>
      </c>
      <c r="D39" s="382"/>
      <c r="E39" s="386">
        <f>D16</f>
        <v>350000</v>
      </c>
      <c r="F39" s="386">
        <f>D16</f>
        <v>350000</v>
      </c>
      <c r="G39" s="386">
        <f>D16</f>
        <v>350000</v>
      </c>
      <c r="H39" s="386">
        <f>D16</f>
        <v>350000</v>
      </c>
      <c r="I39" s="381"/>
      <c r="J39" s="377"/>
    </row>
    <row r="40" spans="2:10" ht="15.75" customHeight="1">
      <c r="B40" s="378"/>
      <c r="C40" s="382" t="s">
        <v>80</v>
      </c>
      <c r="D40" s="382"/>
      <c r="E40" s="386">
        <f>E38*D17</f>
        <v>276375</v>
      </c>
      <c r="F40" s="386">
        <f>F38*D17</f>
        <v>309375</v>
      </c>
      <c r="G40" s="386">
        <f>G38*D17</f>
        <v>375375</v>
      </c>
      <c r="H40" s="386">
        <f>H38*D17</f>
        <v>255750</v>
      </c>
      <c r="I40" s="381"/>
      <c r="J40" s="377"/>
    </row>
    <row r="41" spans="2:10" ht="15.75" customHeight="1">
      <c r="B41" s="378"/>
      <c r="C41" s="382" t="s">
        <v>5</v>
      </c>
      <c r="D41" s="382"/>
      <c r="E41" s="384">
        <f>D18*D23</f>
        <v>1033230</v>
      </c>
      <c r="F41" s="384">
        <f>D18*D24</f>
        <v>1377950</v>
      </c>
      <c r="G41" s="384">
        <f>D18*D25</f>
        <v>459110.00000000006</v>
      </c>
      <c r="H41" s="384">
        <f>D18*D26</f>
        <v>229710</v>
      </c>
      <c r="I41" s="381"/>
      <c r="J41" s="377"/>
    </row>
    <row r="42" spans="2:10" ht="15.75" customHeight="1">
      <c r="B42" s="378"/>
      <c r="C42" s="380" t="s">
        <v>8</v>
      </c>
      <c r="D42" s="380"/>
      <c r="E42" s="383">
        <f>E38-E39-E40-E41</f>
        <v>182895</v>
      </c>
      <c r="F42" s="383">
        <f>F38-F39-F40-F41</f>
        <v>25175</v>
      </c>
      <c r="G42" s="383">
        <f>G38-G39-G40-G41</f>
        <v>1318015</v>
      </c>
      <c r="H42" s="383">
        <f>H38-H39-H40-H41</f>
        <v>869540</v>
      </c>
      <c r="I42" s="381"/>
      <c r="J42" s="377"/>
    </row>
    <row r="43" spans="2:10" ht="15.75" customHeight="1">
      <c r="B43" s="378"/>
      <c r="C43" s="382" t="s">
        <v>79</v>
      </c>
      <c r="D43" s="382"/>
      <c r="E43" s="386">
        <f>E42*$D$21</f>
        <v>69500.100000000006</v>
      </c>
      <c r="F43" s="386">
        <f>F42*$D$21</f>
        <v>9566.5</v>
      </c>
      <c r="G43" s="386">
        <f>G42*$D$21</f>
        <v>500845.7</v>
      </c>
      <c r="H43" s="386">
        <f>H42*$D$21</f>
        <v>330425.2</v>
      </c>
      <c r="I43" s="381"/>
      <c r="J43" s="377"/>
    </row>
    <row r="44" spans="2:10" ht="15.75" customHeight="1" thickBot="1">
      <c r="B44" s="378"/>
      <c r="C44" s="382" t="s">
        <v>115</v>
      </c>
      <c r="D44" s="382"/>
      <c r="E44" s="387">
        <f>E42-E43</f>
        <v>113394.9</v>
      </c>
      <c r="F44" s="387">
        <f>F42-F43</f>
        <v>15608.5</v>
      </c>
      <c r="G44" s="387">
        <f>G42-G43</f>
        <v>817169.3</v>
      </c>
      <c r="H44" s="387">
        <f>H42-H43</f>
        <v>539114.80000000005</v>
      </c>
      <c r="I44" s="381"/>
      <c r="J44" s="377"/>
    </row>
    <row r="45" spans="2:10" ht="15.75" customHeight="1" thickTop="1">
      <c r="B45" s="378"/>
      <c r="C45" s="382" t="s">
        <v>11</v>
      </c>
      <c r="D45" s="382"/>
      <c r="E45" s="383">
        <f>E44+E41</f>
        <v>1146624.8999999999</v>
      </c>
      <c r="F45" s="383">
        <f>F44+F41</f>
        <v>1393558.5</v>
      </c>
      <c r="G45" s="383">
        <f>G44+G41</f>
        <v>1276279.3</v>
      </c>
      <c r="H45" s="383">
        <f>H44+H41</f>
        <v>768824.8</v>
      </c>
      <c r="I45" s="381"/>
      <c r="J45" s="377"/>
    </row>
    <row r="46" spans="2:10" ht="15.75" customHeight="1">
      <c r="B46" s="378"/>
      <c r="C46" s="382"/>
      <c r="D46" s="382"/>
      <c r="E46" s="382"/>
      <c r="F46" s="382"/>
      <c r="G46" s="382"/>
      <c r="H46" s="382"/>
      <c r="I46" s="381"/>
      <c r="J46" s="377"/>
    </row>
    <row r="47" spans="2:10" ht="15.75" customHeight="1">
      <c r="B47" s="378"/>
      <c r="C47" s="382" t="s">
        <v>119</v>
      </c>
      <c r="D47" s="383">
        <f>-D18</f>
        <v>-3100000</v>
      </c>
      <c r="E47" s="382"/>
      <c r="F47" s="382"/>
      <c r="G47" s="382"/>
      <c r="H47" s="386">
        <f>D35</f>
        <v>186000</v>
      </c>
      <c r="I47" s="381"/>
      <c r="J47" s="377"/>
    </row>
    <row r="48" spans="2:10" ht="15.75" customHeight="1">
      <c r="B48" s="378"/>
      <c r="C48" s="382" t="s">
        <v>418</v>
      </c>
      <c r="D48" s="386">
        <f>-D8</f>
        <v>-900000</v>
      </c>
      <c r="E48" s="388"/>
      <c r="F48" s="388"/>
      <c r="G48" s="388"/>
      <c r="H48" s="386">
        <f>D9</f>
        <v>1200000</v>
      </c>
      <c r="I48" s="381"/>
      <c r="J48" s="377"/>
    </row>
    <row r="49" spans="2:10" ht="15.75" customHeight="1">
      <c r="B49" s="378"/>
      <c r="C49" s="382" t="s">
        <v>91</v>
      </c>
      <c r="D49" s="384">
        <f>-D20</f>
        <v>-120000</v>
      </c>
      <c r="E49" s="389"/>
      <c r="F49" s="389"/>
      <c r="G49" s="389"/>
      <c r="H49" s="384">
        <f>D20</f>
        <v>120000</v>
      </c>
      <c r="I49" s="381"/>
      <c r="J49" s="377"/>
    </row>
    <row r="50" spans="2:10" ht="15.75" customHeight="1">
      <c r="B50" s="378"/>
      <c r="C50" s="382"/>
      <c r="D50" s="382"/>
      <c r="E50" s="382"/>
      <c r="F50" s="382"/>
      <c r="G50" s="382"/>
      <c r="H50" s="382"/>
      <c r="I50" s="381"/>
      <c r="J50" s="377"/>
    </row>
    <row r="51" spans="2:10" ht="15.75" customHeight="1">
      <c r="B51" s="378"/>
      <c r="C51" s="382" t="s">
        <v>120</v>
      </c>
      <c r="D51" s="390">
        <f>D47+D48+D49+D45</f>
        <v>-4120000</v>
      </c>
      <c r="E51" s="390">
        <f>E47+E49+E45</f>
        <v>1146624.8999999999</v>
      </c>
      <c r="F51" s="390">
        <f>F47+F49+F45</f>
        <v>1393558.5</v>
      </c>
      <c r="G51" s="390">
        <f>G47+G49+G45</f>
        <v>1276279.3</v>
      </c>
      <c r="H51" s="390">
        <f>H47+H48+H49+H45</f>
        <v>2274824.7999999998</v>
      </c>
      <c r="I51" s="381"/>
      <c r="J51" s="377"/>
    </row>
    <row r="52" spans="2:10" ht="15.75" customHeight="1">
      <c r="B52" s="378"/>
      <c r="C52" s="380"/>
      <c r="D52" s="380"/>
      <c r="E52" s="380"/>
      <c r="F52" s="380"/>
      <c r="G52" s="380"/>
      <c r="H52" s="380"/>
      <c r="I52" s="381"/>
      <c r="J52" s="377"/>
    </row>
    <row r="53" spans="2:10" ht="15.75" customHeight="1">
      <c r="B53" s="378"/>
      <c r="C53" s="382" t="s">
        <v>21</v>
      </c>
      <c r="D53" s="391">
        <f>NPV(D22,E51:H51)+D51</f>
        <v>265791.24625347462</v>
      </c>
      <c r="E53" s="379"/>
      <c r="F53" s="379"/>
      <c r="G53" s="379"/>
      <c r="H53" s="379"/>
      <c r="I53" s="381"/>
      <c r="J53" s="377"/>
    </row>
    <row r="54" spans="2:10" ht="15.75" customHeight="1" thickBot="1">
      <c r="B54" s="392"/>
      <c r="C54" s="393"/>
      <c r="D54" s="393"/>
      <c r="E54" s="393"/>
      <c r="F54" s="393"/>
      <c r="G54" s="393"/>
      <c r="H54" s="393"/>
      <c r="I54" s="394"/>
      <c r="J54" s="377"/>
    </row>
    <row r="55" spans="2:10" ht="15.75" customHeight="1">
      <c r="B55" s="395"/>
      <c r="C55" s="395"/>
      <c r="D55" s="395"/>
      <c r="E55" s="395"/>
      <c r="F55" s="395"/>
      <c r="G55" s="395"/>
      <c r="H55" s="395"/>
    </row>
    <row r="56" spans="2:10" ht="15.75" customHeight="1"/>
    <row r="57" spans="2:10" ht="15.75" customHeight="1">
      <c r="D57" s="396"/>
    </row>
    <row r="58" spans="2:10" ht="15.75" customHeight="1"/>
    <row r="59" spans="2:10" ht="15.75" customHeight="1"/>
    <row r="60" spans="2:10" ht="15.75" customHeight="1"/>
    <row r="61" spans="2:10" ht="15.75" customHeight="1"/>
    <row r="62" spans="2:10" ht="15.75" customHeight="1"/>
    <row r="63" spans="2:10" ht="15.75" customHeight="1"/>
    <row r="64" spans="2:10" ht="15.75" customHeight="1"/>
    <row r="65" ht="15.75" customHeight="1"/>
  </sheetData>
  <phoneticPr fontId="41" type="noConversion"/>
  <pageMargins left="0.75" right="0.75" top="1" bottom="1" header="0.5" footer="0.5"/>
  <pageSetup scale="71" orientation="portrait" horizontalDpi="360" verticalDpi="36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B1:J74"/>
  <sheetViews>
    <sheetView zoomScaleNormal="100" workbookViewId="0"/>
  </sheetViews>
  <sheetFormatPr defaultRowHeight="12.75"/>
  <cols>
    <col min="2" max="2" width="3.140625" customWidth="1"/>
    <col min="3" max="3" width="26" bestFit="1" customWidth="1"/>
    <col min="4" max="4" width="21.5703125" bestFit="1" customWidth="1"/>
    <col min="5" max="5" width="3.140625" customWidth="1"/>
    <col min="6" max="6" width="19.7109375" customWidth="1"/>
    <col min="7" max="7" width="3.140625" customWidth="1"/>
    <col min="8" max="8" width="19.7109375" customWidth="1"/>
    <col min="9" max="9" width="3.140625" customWidth="1"/>
  </cols>
  <sheetData>
    <row r="1" spans="2:5" ht="18">
      <c r="C1" s="1" t="s">
        <v>436</v>
      </c>
    </row>
    <row r="2" spans="2:5" ht="15.75" customHeight="1">
      <c r="C2" s="3" t="s">
        <v>123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274" t="s">
        <v>282</v>
      </c>
      <c r="D7" s="85"/>
      <c r="E7" s="9"/>
    </row>
    <row r="8" spans="2:5" ht="15.75" customHeight="1">
      <c r="B8" s="8"/>
      <c r="C8" s="13" t="s">
        <v>283</v>
      </c>
      <c r="D8" s="265">
        <v>2200000</v>
      </c>
      <c r="E8" s="9"/>
    </row>
    <row r="9" spans="2:5" ht="15.75" customHeight="1">
      <c r="B9" s="8"/>
      <c r="C9" s="13" t="s">
        <v>284</v>
      </c>
      <c r="D9" s="265">
        <v>1400000</v>
      </c>
      <c r="E9" s="9"/>
    </row>
    <row r="10" spans="2:5" ht="15.75" customHeight="1">
      <c r="B10" s="8"/>
      <c r="C10" s="13" t="s">
        <v>285</v>
      </c>
      <c r="D10" s="85">
        <v>845000</v>
      </c>
      <c r="E10" s="9"/>
    </row>
    <row r="11" spans="2:5" ht="15.75" customHeight="1">
      <c r="B11" s="8"/>
      <c r="C11" s="13" t="s">
        <v>5</v>
      </c>
      <c r="D11" s="397">
        <f>D9/5</f>
        <v>280000</v>
      </c>
      <c r="E11" s="9"/>
    </row>
    <row r="12" spans="2:5" ht="15.75" customHeight="1">
      <c r="B12" s="8"/>
      <c r="C12" s="13" t="s">
        <v>286</v>
      </c>
      <c r="D12" s="265">
        <v>120000</v>
      </c>
      <c r="E12" s="9"/>
    </row>
    <row r="13" spans="2:5" ht="15.75" customHeight="1">
      <c r="B13" s="8"/>
      <c r="C13" s="13" t="s">
        <v>287</v>
      </c>
      <c r="D13" s="265">
        <v>0</v>
      </c>
      <c r="E13" s="9"/>
    </row>
    <row r="14" spans="2:5" ht="15.75" customHeight="1">
      <c r="B14" s="8"/>
      <c r="C14" s="13"/>
      <c r="D14" s="265"/>
      <c r="E14" s="9"/>
    </row>
    <row r="15" spans="2:5" ht="15.75" customHeight="1">
      <c r="B15" s="8"/>
      <c r="C15" s="274" t="s">
        <v>288</v>
      </c>
      <c r="D15" s="265"/>
      <c r="E15" s="9"/>
    </row>
    <row r="16" spans="2:5" ht="15.75" customHeight="1">
      <c r="B16" s="8"/>
      <c r="C16" s="13" t="s">
        <v>46</v>
      </c>
      <c r="D16" s="265">
        <v>4300000</v>
      </c>
      <c r="E16" s="9"/>
    </row>
    <row r="17" spans="2:10" ht="15.75" customHeight="1">
      <c r="B17" s="8"/>
      <c r="C17" s="13" t="s">
        <v>285</v>
      </c>
      <c r="D17" s="265">
        <v>330000</v>
      </c>
      <c r="E17" s="9"/>
    </row>
    <row r="18" spans="2:10" ht="15.75" customHeight="1">
      <c r="B18" s="8"/>
      <c r="C18" s="13" t="s">
        <v>33</v>
      </c>
      <c r="D18" s="265">
        <v>800000</v>
      </c>
      <c r="E18" s="9"/>
    </row>
    <row r="19" spans="2:10" ht="15.75" customHeight="1">
      <c r="B19" s="8"/>
      <c r="C19" s="13"/>
      <c r="D19" s="265"/>
      <c r="E19" s="9"/>
    </row>
    <row r="20" spans="2:10" ht="15.75" customHeight="1">
      <c r="B20" s="8"/>
      <c r="C20" s="13" t="s">
        <v>289</v>
      </c>
      <c r="D20" s="265"/>
      <c r="E20" s="9"/>
    </row>
    <row r="21" spans="2:10" ht="15.75" customHeight="1">
      <c r="B21" s="8"/>
      <c r="C21" s="13" t="s">
        <v>290</v>
      </c>
      <c r="D21" s="265">
        <v>3200000</v>
      </c>
      <c r="E21" s="9"/>
    </row>
    <row r="22" spans="2:10" ht="15.75" customHeight="1">
      <c r="B22" s="8"/>
      <c r="C22" s="13"/>
      <c r="D22" s="265"/>
      <c r="E22" s="9"/>
    </row>
    <row r="23" spans="2:10" ht="15.75" customHeight="1">
      <c r="B23" s="8"/>
      <c r="C23" s="13" t="s">
        <v>6</v>
      </c>
      <c r="D23" s="153">
        <v>0.4</v>
      </c>
      <c r="E23" s="9"/>
    </row>
    <row r="24" spans="2:10" ht="15.75" customHeight="1">
      <c r="B24" s="8"/>
      <c r="C24" s="13" t="s">
        <v>20</v>
      </c>
      <c r="D24" s="153">
        <v>0.08</v>
      </c>
      <c r="E24" s="9"/>
    </row>
    <row r="25" spans="2:10" ht="15.75" customHeight="1" thickBot="1">
      <c r="B25" s="10"/>
      <c r="C25" s="28"/>
      <c r="D25" s="62"/>
      <c r="E25" s="12"/>
    </row>
    <row r="26" spans="2:10" ht="15.75" customHeight="1"/>
    <row r="27" spans="2:10" ht="15.75" customHeight="1">
      <c r="C27" s="2" t="s">
        <v>2</v>
      </c>
    </row>
    <row r="28" spans="2:10" ht="15.75" customHeight="1" thickBot="1"/>
    <row r="29" spans="2:10" ht="15.75" customHeight="1">
      <c r="B29" s="15"/>
      <c r="C29" s="16"/>
      <c r="D29" s="16"/>
      <c r="E29" s="16"/>
      <c r="F29" s="16"/>
      <c r="G29" s="16"/>
      <c r="H29" s="16"/>
      <c r="I29" s="17"/>
      <c r="J29" s="30"/>
    </row>
    <row r="30" spans="2:10" ht="15.75" customHeight="1">
      <c r="B30" s="18"/>
      <c r="C30" s="266"/>
      <c r="D30" s="266" t="s">
        <v>294</v>
      </c>
      <c r="E30" s="20"/>
      <c r="F30" s="266" t="s">
        <v>295</v>
      </c>
      <c r="G30" s="266"/>
      <c r="H30" s="266" t="s">
        <v>430</v>
      </c>
      <c r="I30" s="21"/>
      <c r="J30" s="30"/>
    </row>
    <row r="31" spans="2:10" ht="15.75" customHeight="1">
      <c r="B31" s="18"/>
      <c r="C31" s="266"/>
      <c r="D31" s="20"/>
      <c r="E31" s="20"/>
      <c r="F31" s="20"/>
      <c r="G31" s="20"/>
      <c r="H31" s="20"/>
      <c r="I31" s="21"/>
      <c r="J31" s="30"/>
    </row>
    <row r="32" spans="2:10" ht="15.75" customHeight="1">
      <c r="B32" s="18"/>
      <c r="C32" s="266" t="s">
        <v>92</v>
      </c>
      <c r="D32" s="20"/>
      <c r="E32" s="20"/>
      <c r="F32" s="20"/>
      <c r="G32" s="20"/>
      <c r="H32" s="20"/>
      <c r="I32" s="21"/>
      <c r="J32" s="30"/>
    </row>
    <row r="33" spans="2:10" ht="15.75" customHeight="1">
      <c r="B33" s="18"/>
      <c r="C33" s="19" t="s">
        <v>291</v>
      </c>
      <c r="D33" s="80">
        <f>-D16</f>
        <v>-4300000</v>
      </c>
      <c r="E33" s="20"/>
      <c r="F33" s="80">
        <v>0</v>
      </c>
      <c r="G33" s="80"/>
      <c r="H33" s="80">
        <f>-D16</f>
        <v>-4300000</v>
      </c>
      <c r="I33" s="21"/>
      <c r="J33" s="30"/>
    </row>
    <row r="34" spans="2:10" ht="15.75" customHeight="1">
      <c r="B34" s="18"/>
      <c r="C34" s="19" t="s">
        <v>431</v>
      </c>
      <c r="D34" s="81">
        <v>0</v>
      </c>
      <c r="E34" s="20"/>
      <c r="F34" s="81">
        <f>-D8</f>
        <v>-2200000</v>
      </c>
      <c r="G34" s="81"/>
      <c r="H34" s="81">
        <f>-F34</f>
        <v>2200000</v>
      </c>
      <c r="I34" s="21"/>
      <c r="J34" s="30"/>
    </row>
    <row r="35" spans="2:10" ht="15.75" customHeight="1">
      <c r="B35" s="18"/>
      <c r="C35" s="19" t="s">
        <v>292</v>
      </c>
      <c r="D35" s="83">
        <v>0</v>
      </c>
      <c r="E35" s="20"/>
      <c r="F35" s="83">
        <f>-(D9-D8)*D23</f>
        <v>320000</v>
      </c>
      <c r="G35" s="81"/>
      <c r="H35" s="83">
        <f>-F35</f>
        <v>-320000</v>
      </c>
      <c r="I35" s="21"/>
      <c r="J35" s="30"/>
    </row>
    <row r="36" spans="2:10" ht="15.75" customHeight="1">
      <c r="B36" s="18"/>
      <c r="C36" s="19" t="s">
        <v>200</v>
      </c>
      <c r="D36" s="80">
        <f>SUM(D33:D35)</f>
        <v>-4300000</v>
      </c>
      <c r="E36" s="20"/>
      <c r="F36" s="80">
        <f>SUM(F33:F35)</f>
        <v>-1880000</v>
      </c>
      <c r="G36" s="80"/>
      <c r="H36" s="80">
        <f>SUM(H33:H35)</f>
        <v>-2420000</v>
      </c>
      <c r="I36" s="21"/>
      <c r="J36" s="30"/>
    </row>
    <row r="37" spans="2:10" ht="15.75" customHeight="1">
      <c r="B37" s="18"/>
      <c r="C37" s="20"/>
      <c r="D37" s="20"/>
      <c r="E37" s="20"/>
      <c r="F37" s="20"/>
      <c r="G37" s="20"/>
      <c r="H37" s="88"/>
      <c r="I37" s="21"/>
      <c r="J37" s="30"/>
    </row>
    <row r="38" spans="2:10" ht="15.75" customHeight="1">
      <c r="B38" s="18"/>
      <c r="C38" s="19" t="s">
        <v>235</v>
      </c>
      <c r="D38" s="80">
        <f>D17</f>
        <v>330000</v>
      </c>
      <c r="E38" s="81"/>
      <c r="F38" s="80">
        <f>D10</f>
        <v>845000</v>
      </c>
      <c r="G38" s="80"/>
      <c r="H38" s="80">
        <f>D38-F38</f>
        <v>-515000</v>
      </c>
      <c r="I38" s="21"/>
      <c r="J38" s="30"/>
    </row>
    <row r="39" spans="2:10" ht="15.75" customHeight="1">
      <c r="B39" s="18"/>
      <c r="C39" s="19" t="s">
        <v>5</v>
      </c>
      <c r="D39" s="83">
        <f>D16/5</f>
        <v>860000</v>
      </c>
      <c r="E39" s="81"/>
      <c r="F39" s="83">
        <f>D11</f>
        <v>280000</v>
      </c>
      <c r="G39" s="81"/>
      <c r="H39" s="83">
        <f>D39-F39</f>
        <v>580000</v>
      </c>
      <c r="I39" s="21"/>
      <c r="J39" s="30"/>
    </row>
    <row r="40" spans="2:10" ht="15.75" customHeight="1">
      <c r="B40" s="18"/>
      <c r="C40" s="20" t="s">
        <v>8</v>
      </c>
      <c r="D40" s="80">
        <f>-D38-D39</f>
        <v>-1190000</v>
      </c>
      <c r="E40" s="80"/>
      <c r="F40" s="80">
        <f>-F38-F39</f>
        <v>-1125000</v>
      </c>
      <c r="G40" s="80"/>
      <c r="H40" s="184">
        <f>-H38-H39</f>
        <v>-65000</v>
      </c>
      <c r="I40" s="21"/>
      <c r="J40" s="30"/>
    </row>
    <row r="41" spans="2:10" ht="15.75" customHeight="1">
      <c r="B41" s="18"/>
      <c r="C41" s="19" t="s">
        <v>79</v>
      </c>
      <c r="D41" s="81">
        <f>D40*D23</f>
        <v>-476000</v>
      </c>
      <c r="E41" s="81"/>
      <c r="F41" s="81">
        <f>F40*D23</f>
        <v>-450000</v>
      </c>
      <c r="G41" s="81"/>
      <c r="H41" s="292">
        <f>H40*D23</f>
        <v>-26000</v>
      </c>
      <c r="I41" s="21"/>
      <c r="J41" s="30"/>
    </row>
    <row r="42" spans="2:10" ht="15.75" customHeight="1" thickBot="1">
      <c r="B42" s="18"/>
      <c r="C42" s="19" t="s">
        <v>115</v>
      </c>
      <c r="D42" s="127">
        <f>D40-D41</f>
        <v>-714000</v>
      </c>
      <c r="E42" s="80"/>
      <c r="F42" s="127">
        <f>F40-F41</f>
        <v>-675000</v>
      </c>
      <c r="G42" s="80"/>
      <c r="H42" s="291">
        <f>H40-H41</f>
        <v>-39000</v>
      </c>
      <c r="I42" s="21"/>
      <c r="J42" s="30"/>
    </row>
    <row r="43" spans="2:10" ht="15.75" customHeight="1" thickTop="1">
      <c r="B43" s="18"/>
      <c r="C43" s="19" t="s">
        <v>11</v>
      </c>
      <c r="D43" s="80">
        <f>D42+D39</f>
        <v>146000</v>
      </c>
      <c r="E43" s="80"/>
      <c r="F43" s="80">
        <f>F42+F39</f>
        <v>-395000</v>
      </c>
      <c r="G43" s="80"/>
      <c r="H43" s="184">
        <f>H42+H39</f>
        <v>541000</v>
      </c>
      <c r="I43" s="21"/>
      <c r="J43" s="30"/>
    </row>
    <row r="44" spans="2:10" ht="15.75" customHeight="1">
      <c r="B44" s="18"/>
      <c r="C44" s="19"/>
      <c r="D44" s="80"/>
      <c r="E44" s="80"/>
      <c r="F44" s="80"/>
      <c r="G44" s="80"/>
      <c r="H44" s="87"/>
      <c r="I44" s="21"/>
      <c r="J44" s="30"/>
    </row>
    <row r="45" spans="2:10" ht="15.75" customHeight="1">
      <c r="B45" s="18"/>
      <c r="C45" s="266" t="s">
        <v>28</v>
      </c>
      <c r="D45" s="80"/>
      <c r="E45" s="80"/>
      <c r="F45" s="80"/>
      <c r="G45" s="80"/>
      <c r="H45" s="87"/>
      <c r="I45" s="21"/>
      <c r="J45" s="30"/>
    </row>
    <row r="46" spans="2:10" ht="15.75" customHeight="1">
      <c r="B46" s="18"/>
      <c r="C46" s="19" t="s">
        <v>293</v>
      </c>
      <c r="D46" s="80">
        <f>D18</f>
        <v>800000</v>
      </c>
      <c r="E46" s="80"/>
      <c r="F46" s="80">
        <f>D12</f>
        <v>120000</v>
      </c>
      <c r="G46" s="80"/>
      <c r="H46" s="184">
        <f>D46</f>
        <v>800000</v>
      </c>
      <c r="I46" s="21"/>
      <c r="J46" s="30"/>
    </row>
    <row r="47" spans="2:10" ht="15.75" customHeight="1">
      <c r="B47" s="18"/>
      <c r="C47" s="19" t="s">
        <v>79</v>
      </c>
      <c r="D47" s="81">
        <f>-D18*D23</f>
        <v>-320000</v>
      </c>
      <c r="E47" s="80"/>
      <c r="F47" s="80">
        <f>(D13-D12)*D23</f>
        <v>-48000</v>
      </c>
      <c r="G47" s="80"/>
      <c r="H47" s="81">
        <f>D47</f>
        <v>-320000</v>
      </c>
      <c r="I47" s="21"/>
      <c r="J47" s="30"/>
    </row>
    <row r="48" spans="2:10" ht="15.75" customHeight="1">
      <c r="B48" s="18"/>
      <c r="C48" s="19" t="s">
        <v>298</v>
      </c>
      <c r="D48" s="81">
        <v>0</v>
      </c>
      <c r="E48" s="80"/>
      <c r="F48" s="80">
        <v>0</v>
      </c>
      <c r="G48" s="80"/>
      <c r="H48" s="81">
        <f>-F46</f>
        <v>-120000</v>
      </c>
      <c r="I48" s="21"/>
      <c r="J48" s="30"/>
    </row>
    <row r="49" spans="2:10" ht="15.75" customHeight="1">
      <c r="B49" s="18"/>
      <c r="C49" s="19" t="s">
        <v>299</v>
      </c>
      <c r="D49" s="83">
        <v>0</v>
      </c>
      <c r="E49" s="80"/>
      <c r="F49" s="185">
        <v>0</v>
      </c>
      <c r="G49" s="20"/>
      <c r="H49" s="83">
        <f>-F47</f>
        <v>48000</v>
      </c>
      <c r="I49" s="21"/>
      <c r="J49" s="30"/>
    </row>
    <row r="50" spans="2:10" ht="15.75" customHeight="1">
      <c r="B50" s="18"/>
      <c r="C50" s="19" t="s">
        <v>200</v>
      </c>
      <c r="D50" s="80">
        <f>SUM(D46:D47)</f>
        <v>480000</v>
      </c>
      <c r="E50" s="80"/>
      <c r="F50" s="80">
        <f>SUM(F46:F47)</f>
        <v>72000</v>
      </c>
      <c r="G50" s="88"/>
      <c r="H50" s="184">
        <f>SUM(H46:H49)</f>
        <v>408000</v>
      </c>
      <c r="I50" s="21"/>
      <c r="J50" s="30"/>
    </row>
    <row r="51" spans="2:10" ht="15.75" customHeight="1">
      <c r="B51" s="18"/>
      <c r="C51" s="20"/>
      <c r="D51" s="20"/>
      <c r="E51" s="20"/>
      <c r="F51" s="20"/>
      <c r="G51" s="266"/>
      <c r="H51" s="88"/>
      <c r="I51" s="21"/>
      <c r="J51" s="30"/>
    </row>
    <row r="52" spans="2:10" ht="15.75" customHeight="1">
      <c r="B52" s="18"/>
      <c r="C52" s="19" t="s">
        <v>21</v>
      </c>
      <c r="D52" s="131">
        <f>PV(D24,5,-D43,-D50)+D36</f>
        <v>-3390384.4000103977</v>
      </c>
      <c r="E52" s="266"/>
      <c r="F52" s="131">
        <f>PV(D24,5,-F43,-F50)+F36</f>
        <v>-3408118.4744594144</v>
      </c>
      <c r="G52" s="266"/>
      <c r="H52" s="131">
        <f>PV(D24,5,-H43,-H50)+H36</f>
        <v>17734.074449016713</v>
      </c>
      <c r="I52" s="21"/>
      <c r="J52" s="30"/>
    </row>
    <row r="53" spans="2:10" ht="15.75" customHeight="1">
      <c r="B53" s="18"/>
      <c r="C53" s="19"/>
      <c r="D53" s="88"/>
      <c r="E53" s="266"/>
      <c r="F53" s="266"/>
      <c r="G53" s="266"/>
      <c r="H53" s="266"/>
      <c r="I53" s="21"/>
      <c r="J53" s="30"/>
    </row>
    <row r="54" spans="2:10" ht="15.75" customHeight="1">
      <c r="B54" s="18"/>
      <c r="C54" s="19" t="s">
        <v>296</v>
      </c>
      <c r="D54" s="88" t="str">
        <f>IF(F52&gt;D52,"keep the old machine","buy the new machine")</f>
        <v>buy the new machine</v>
      </c>
      <c r="E54" s="266"/>
      <c r="F54" s="266"/>
      <c r="G54" s="266"/>
      <c r="H54" s="266"/>
      <c r="I54" s="21"/>
      <c r="J54" s="30"/>
    </row>
    <row r="55" spans="2:10" ht="15.75" customHeight="1">
      <c r="B55" s="18"/>
      <c r="C55" s="19" t="s">
        <v>297</v>
      </c>
      <c r="D55" s="88"/>
      <c r="E55" s="266"/>
      <c r="F55" s="266"/>
      <c r="G55" s="347"/>
      <c r="H55" s="347"/>
      <c r="I55" s="21"/>
      <c r="J55" s="30"/>
    </row>
    <row r="56" spans="2:10" ht="15.75" customHeight="1">
      <c r="B56" s="18"/>
      <c r="C56" s="19"/>
      <c r="D56" s="88"/>
      <c r="E56" s="266"/>
      <c r="F56" s="266"/>
      <c r="G56" s="266"/>
      <c r="H56" s="266"/>
      <c r="I56" s="21"/>
      <c r="J56" s="30"/>
    </row>
    <row r="57" spans="2:10" ht="15.75" customHeight="1">
      <c r="B57" s="18"/>
      <c r="C57" s="19" t="s">
        <v>300</v>
      </c>
      <c r="D57" s="88"/>
      <c r="E57" s="266"/>
      <c r="F57" s="266"/>
      <c r="G57" s="266"/>
      <c r="H57" s="266"/>
      <c r="I57" s="21"/>
      <c r="J57" s="30"/>
    </row>
    <row r="58" spans="2:10" ht="15.75" customHeight="1">
      <c r="B58" s="18"/>
      <c r="C58" s="19" t="s">
        <v>301</v>
      </c>
      <c r="D58" s="88"/>
      <c r="E58" s="266"/>
      <c r="F58" s="266"/>
      <c r="G58" s="266"/>
      <c r="H58" s="266"/>
      <c r="I58" s="21"/>
      <c r="J58" s="30"/>
    </row>
    <row r="59" spans="2:10" ht="15.75" customHeight="1">
      <c r="B59" s="18"/>
      <c r="C59" s="19" t="s">
        <v>302</v>
      </c>
      <c r="D59" s="88"/>
      <c r="E59" s="266"/>
      <c r="F59" s="266"/>
      <c r="G59" s="266"/>
      <c r="H59" s="266"/>
      <c r="I59" s="21"/>
      <c r="J59" s="30"/>
    </row>
    <row r="60" spans="2:10" ht="15.75" customHeight="1">
      <c r="B60" s="18"/>
      <c r="C60" s="19"/>
      <c r="D60" s="88"/>
      <c r="E60" s="266"/>
      <c r="F60" s="266"/>
      <c r="G60" s="88"/>
      <c r="H60" s="88"/>
      <c r="I60" s="21"/>
      <c r="J60" s="30"/>
    </row>
    <row r="61" spans="2:10" ht="15.75" customHeight="1">
      <c r="B61" s="18"/>
      <c r="C61" s="19" t="s">
        <v>304</v>
      </c>
      <c r="D61" s="293" t="s">
        <v>303</v>
      </c>
      <c r="E61" s="266"/>
      <c r="F61" s="266"/>
      <c r="G61" s="266"/>
      <c r="H61" s="266"/>
      <c r="I61" s="21"/>
      <c r="J61" s="30"/>
    </row>
    <row r="62" spans="2:10" ht="15.75" customHeight="1">
      <c r="B62" s="18"/>
      <c r="C62" s="87">
        <f>D52</f>
        <v>-3390384.4000103977</v>
      </c>
      <c r="D62" s="87">
        <f>F52</f>
        <v>-3408118.4744594144</v>
      </c>
      <c r="E62" s="294" t="s">
        <v>305</v>
      </c>
      <c r="F62" s="131">
        <f>C62-D62</f>
        <v>17734.074449016713</v>
      </c>
      <c r="G62" s="266"/>
      <c r="H62" s="266"/>
      <c r="I62" s="21"/>
      <c r="J62" s="30"/>
    </row>
    <row r="63" spans="2:10" ht="15.75" customHeight="1">
      <c r="B63" s="18"/>
      <c r="C63" s="19"/>
      <c r="D63" s="88"/>
      <c r="E63" s="266"/>
      <c r="F63" s="266"/>
      <c r="G63" s="19"/>
      <c r="H63" s="19"/>
      <c r="I63" s="21"/>
      <c r="J63" s="30"/>
    </row>
    <row r="64" spans="2:10" ht="15.75" customHeight="1">
      <c r="B64" s="350"/>
      <c r="C64" s="19" t="s">
        <v>306</v>
      </c>
      <c r="D64" s="88"/>
      <c r="E64" s="266"/>
      <c r="F64" s="266"/>
      <c r="G64" s="56"/>
      <c r="H64" s="56"/>
      <c r="I64" s="180"/>
    </row>
    <row r="65" spans="2:9" ht="15.75" customHeight="1" thickBot="1">
      <c r="B65" s="351"/>
      <c r="C65" s="53"/>
      <c r="D65" s="53"/>
      <c r="E65" s="53"/>
      <c r="F65" s="53"/>
      <c r="G65" s="352"/>
      <c r="H65" s="352"/>
      <c r="I65" s="200"/>
    </row>
    <row r="66" spans="2:9" ht="15.75" customHeight="1">
      <c r="C66" s="14"/>
      <c r="D66" s="14"/>
      <c r="E66" s="14"/>
      <c r="F66" s="14"/>
    </row>
    <row r="67" spans="2:9" ht="15.75" customHeight="1"/>
    <row r="68" spans="2:9" ht="15.75" customHeight="1">
      <c r="D68" s="26"/>
    </row>
    <row r="69" spans="2:9" ht="15.75" customHeight="1"/>
    <row r="70" spans="2:9" ht="15.75" customHeight="1"/>
    <row r="71" spans="2:9" ht="15.75" customHeight="1"/>
    <row r="72" spans="2:9" ht="15.75" customHeight="1"/>
    <row r="73" spans="2:9" ht="15.75" customHeight="1"/>
    <row r="74" spans="2:9" ht="15.75" customHeight="1"/>
  </sheetData>
  <phoneticPr fontId="0" type="noConversion"/>
  <pageMargins left="0.75" right="0.75" top="1" bottom="1" header="0.5" footer="0.5"/>
  <pageSetup scale="81" orientation="portrait" horizontalDpi="360" verticalDpi="360" r:id="rId1"/>
  <headerFooter alignWithMargins="0"/>
  <rowBreaks count="1" manualBreakCount="1">
    <brk id="52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B1:H51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2:7" ht="18">
      <c r="C1" s="1" t="s">
        <v>436</v>
      </c>
    </row>
    <row r="2" spans="2:7" ht="15.75" customHeight="1">
      <c r="C2" s="3" t="s">
        <v>124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274" t="s">
        <v>307</v>
      </c>
      <c r="D7" s="4"/>
      <c r="E7" s="9"/>
      <c r="G7" s="57"/>
    </row>
    <row r="8" spans="2:7" ht="15.75" customHeight="1">
      <c r="B8" s="8"/>
      <c r="C8" s="13" t="s">
        <v>46</v>
      </c>
      <c r="D8" s="85">
        <v>900</v>
      </c>
      <c r="E8" s="9"/>
    </row>
    <row r="9" spans="2:7" ht="15.75" customHeight="1">
      <c r="B9" s="8"/>
      <c r="C9" s="13" t="s">
        <v>309</v>
      </c>
      <c r="D9" s="85">
        <v>120</v>
      </c>
      <c r="E9" s="9"/>
    </row>
    <row r="10" spans="2:7" ht="15.75" customHeight="1">
      <c r="B10" s="8"/>
      <c r="C10" s="13" t="s">
        <v>48</v>
      </c>
      <c r="D10" s="287">
        <v>3</v>
      </c>
      <c r="E10" s="9"/>
    </row>
    <row r="11" spans="2:7" ht="15.75" customHeight="1">
      <c r="B11" s="8"/>
      <c r="C11" s="274" t="s">
        <v>308</v>
      </c>
      <c r="D11" s="84"/>
      <c r="E11" s="9"/>
    </row>
    <row r="12" spans="2:7" ht="15.75" customHeight="1">
      <c r="B12" s="8"/>
      <c r="C12" s="13" t="s">
        <v>46</v>
      </c>
      <c r="D12" s="85">
        <v>1400</v>
      </c>
      <c r="E12" s="9"/>
    </row>
    <row r="13" spans="2:7" ht="15.75" customHeight="1">
      <c r="B13" s="8"/>
      <c r="C13" s="13" t="s">
        <v>309</v>
      </c>
      <c r="D13" s="85">
        <v>95</v>
      </c>
      <c r="E13" s="9"/>
    </row>
    <row r="14" spans="2:7" ht="15.75" customHeight="1">
      <c r="B14" s="8"/>
      <c r="C14" s="13" t="s">
        <v>48</v>
      </c>
      <c r="D14" s="91">
        <v>5</v>
      </c>
      <c r="E14" s="9"/>
    </row>
    <row r="15" spans="2:7" ht="15.75" customHeight="1">
      <c r="B15" s="8"/>
      <c r="C15" s="13"/>
      <c r="D15" s="86"/>
      <c r="E15" s="9"/>
    </row>
    <row r="16" spans="2:7" ht="15.75" customHeight="1">
      <c r="B16" s="8"/>
      <c r="C16" s="13" t="s">
        <v>207</v>
      </c>
      <c r="D16" s="153">
        <v>0.05</v>
      </c>
      <c r="E16" s="9"/>
    </row>
    <row r="17" spans="2:8" ht="15.75" customHeight="1">
      <c r="B17" s="8"/>
      <c r="C17" s="13" t="s">
        <v>228</v>
      </c>
      <c r="D17" s="84">
        <v>0.14000000000000001</v>
      </c>
      <c r="E17" s="9"/>
    </row>
    <row r="18" spans="2:8" ht="15.75" customHeight="1" thickBot="1">
      <c r="B18" s="10"/>
      <c r="C18" s="28"/>
      <c r="D18" s="62"/>
      <c r="E18" s="12"/>
    </row>
    <row r="19" spans="2:8" ht="15.75" customHeight="1"/>
    <row r="20" spans="2:8" ht="15.75" customHeight="1">
      <c r="C20" s="2" t="s">
        <v>2</v>
      </c>
    </row>
    <row r="21" spans="2:8" ht="15.75" customHeight="1" thickBot="1"/>
    <row r="22" spans="2:8" ht="15.75" customHeight="1">
      <c r="B22" s="15"/>
      <c r="C22" s="16"/>
      <c r="D22" s="16"/>
      <c r="E22" s="16"/>
      <c r="F22" s="16"/>
      <c r="G22" s="17"/>
      <c r="H22" s="30"/>
    </row>
    <row r="23" spans="2:8" ht="15.75" customHeight="1">
      <c r="B23" s="18"/>
      <c r="C23" s="19" t="s">
        <v>311</v>
      </c>
      <c r="D23" s="254">
        <f>((1+D17)/(1+D16))-1</f>
        <v>8.5714285714285854E-2</v>
      </c>
      <c r="E23" s="20"/>
      <c r="F23" s="20"/>
      <c r="G23" s="21"/>
      <c r="H23" s="30"/>
    </row>
    <row r="24" spans="2:8" ht="15.75" customHeight="1">
      <c r="B24" s="18"/>
      <c r="C24" s="20"/>
      <c r="D24" s="20"/>
      <c r="E24" s="20"/>
      <c r="F24" s="20"/>
      <c r="G24" s="21"/>
      <c r="H24" s="30"/>
    </row>
    <row r="25" spans="2:8" ht="15.75" customHeight="1">
      <c r="B25" s="18"/>
      <c r="C25" s="266" t="s">
        <v>307</v>
      </c>
      <c r="D25" s="142"/>
      <c r="E25" s="20"/>
      <c r="F25" s="20"/>
      <c r="G25" s="21"/>
      <c r="H25" s="30"/>
    </row>
    <row r="26" spans="2:8" ht="15.75" customHeight="1">
      <c r="B26" s="18"/>
      <c r="C26" s="19" t="s">
        <v>310</v>
      </c>
      <c r="D26" s="142">
        <f>-D8+PV(D23,D10,D9)</f>
        <v>-1206.0905379792973</v>
      </c>
      <c r="E26" s="19"/>
      <c r="F26" s="20"/>
      <c r="G26" s="21"/>
      <c r="H26" s="31"/>
    </row>
    <row r="27" spans="2:8" ht="15.75" customHeight="1">
      <c r="B27" s="18"/>
      <c r="C27" s="19"/>
      <c r="D27" s="142"/>
      <c r="E27" s="19"/>
      <c r="F27" s="20"/>
      <c r="G27" s="21"/>
      <c r="H27" s="31"/>
    </row>
    <row r="28" spans="2:8" ht="15.75" customHeight="1">
      <c r="B28" s="18"/>
      <c r="C28" s="19" t="s">
        <v>43</v>
      </c>
      <c r="D28" s="139">
        <f>PMT(D23,D10,-D26)</f>
        <v>-472.83678062372735</v>
      </c>
      <c r="E28" s="19"/>
      <c r="F28" s="20"/>
      <c r="G28" s="21"/>
      <c r="H28" s="31"/>
    </row>
    <row r="29" spans="2:8" ht="15.75" customHeight="1">
      <c r="B29" s="18"/>
      <c r="C29" s="19"/>
      <c r="D29" s="162"/>
      <c r="E29" s="19"/>
      <c r="F29" s="20"/>
      <c r="G29" s="21"/>
      <c r="H29" s="31"/>
    </row>
    <row r="30" spans="2:8" ht="15.75" customHeight="1">
      <c r="B30" s="18"/>
      <c r="C30" s="266" t="s">
        <v>308</v>
      </c>
      <c r="D30" s="143"/>
      <c r="E30" s="19"/>
      <c r="F30" s="20"/>
      <c r="G30" s="21"/>
      <c r="H30" s="31"/>
    </row>
    <row r="31" spans="2:8" ht="15.75" customHeight="1">
      <c r="B31" s="18"/>
      <c r="C31" s="19" t="s">
        <v>21</v>
      </c>
      <c r="D31" s="142">
        <f>-D12+PV(D23,D14,D13)</f>
        <v>-1773.6627790705259</v>
      </c>
      <c r="E31" s="19"/>
      <c r="F31" s="20"/>
      <c r="G31" s="21"/>
      <c r="H31" s="31"/>
    </row>
    <row r="32" spans="2:8" ht="15.75" customHeight="1">
      <c r="B32" s="18"/>
      <c r="C32" s="19"/>
      <c r="D32" s="142"/>
      <c r="E32" s="19"/>
      <c r="F32" s="20"/>
      <c r="G32" s="21"/>
      <c r="H32" s="31"/>
    </row>
    <row r="33" spans="2:8" ht="15.75" customHeight="1">
      <c r="B33" s="18"/>
      <c r="C33" s="19" t="s">
        <v>43</v>
      </c>
      <c r="D33" s="139">
        <f>PMT(D23,D14,-D31)</f>
        <v>-450.93590651665448</v>
      </c>
      <c r="E33" s="19"/>
      <c r="F33" s="20"/>
      <c r="G33" s="21"/>
      <c r="H33" s="31"/>
    </row>
    <row r="34" spans="2:8" ht="15.75" customHeight="1">
      <c r="B34" s="18"/>
      <c r="C34" s="19"/>
      <c r="D34" s="63"/>
      <c r="E34" s="19"/>
      <c r="F34" s="20"/>
      <c r="G34" s="21"/>
      <c r="H34" s="31"/>
    </row>
    <row r="35" spans="2:8" ht="15.75" customHeight="1">
      <c r="B35" s="18"/>
      <c r="C35" s="19" t="s">
        <v>312</v>
      </c>
      <c r="D35" s="63"/>
      <c r="E35" s="19"/>
      <c r="F35" s="20"/>
      <c r="G35" s="21"/>
      <c r="H35" s="31"/>
    </row>
    <row r="36" spans="2:8" ht="15.75" customHeight="1">
      <c r="B36" s="18"/>
      <c r="C36" s="19" t="s">
        <v>57</v>
      </c>
      <c r="D36" s="63"/>
      <c r="E36" s="19"/>
      <c r="F36" s="20"/>
      <c r="G36" s="21"/>
      <c r="H36" s="31"/>
    </row>
    <row r="37" spans="2:8" ht="15.75" customHeight="1">
      <c r="B37" s="18"/>
      <c r="C37" s="19" t="s">
        <v>313</v>
      </c>
      <c r="D37" s="63"/>
      <c r="E37" s="19"/>
      <c r="F37" s="20"/>
      <c r="G37" s="21"/>
      <c r="H37" s="31"/>
    </row>
    <row r="38" spans="2:8" ht="15.75" customHeight="1">
      <c r="B38" s="18"/>
      <c r="C38" s="19" t="s">
        <v>314</v>
      </c>
      <c r="D38" s="63"/>
      <c r="E38" s="19"/>
      <c r="F38" s="144" t="str">
        <f>IF(D28&gt;D33,"XX40","RH45")</f>
        <v>RH45</v>
      </c>
      <c r="G38" s="21"/>
      <c r="H38" s="31"/>
    </row>
    <row r="39" spans="2:8" ht="15.75" customHeight="1">
      <c r="B39" s="18"/>
      <c r="C39" s="19" t="s">
        <v>315</v>
      </c>
      <c r="D39" s="213"/>
      <c r="E39" s="19"/>
      <c r="F39" s="20"/>
      <c r="G39" s="21"/>
      <c r="H39" s="31"/>
    </row>
    <row r="40" spans="2:8" ht="15.75" customHeight="1" thickBot="1">
      <c r="B40" s="23"/>
      <c r="C40" s="53"/>
      <c r="D40" s="64"/>
      <c r="E40" s="24"/>
      <c r="F40" s="24"/>
      <c r="G40" s="25"/>
      <c r="H40" s="30"/>
    </row>
    <row r="41" spans="2:8" ht="15.75" customHeight="1">
      <c r="B41" s="14"/>
      <c r="C41" s="14"/>
      <c r="D41" s="14"/>
      <c r="E41" s="14"/>
      <c r="F41" s="14"/>
      <c r="G41" s="14"/>
      <c r="H41" s="14"/>
    </row>
    <row r="42" spans="2:8" ht="15.75" customHeight="1"/>
    <row r="43" spans="2:8" ht="15.75" customHeight="1">
      <c r="D43" s="26"/>
    </row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</sheetData>
  <phoneticPr fontId="0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B1:K67"/>
  <sheetViews>
    <sheetView zoomScaleNormal="100" workbookViewId="0"/>
  </sheetViews>
  <sheetFormatPr defaultRowHeight="12.75"/>
  <cols>
    <col min="2" max="2" width="3.140625" customWidth="1"/>
    <col min="3" max="3" width="30.42578125" bestFit="1" customWidth="1"/>
    <col min="4" max="4" width="18.28515625" bestFit="1" customWidth="1"/>
    <col min="5" max="9" width="17.5703125" bestFit="1" customWidth="1"/>
    <col min="10" max="10" width="3.140625" customWidth="1"/>
  </cols>
  <sheetData>
    <row r="1" spans="2:5" ht="18">
      <c r="C1" s="1" t="s">
        <v>436</v>
      </c>
    </row>
    <row r="2" spans="2:5" ht="15.75" customHeight="1">
      <c r="C2" s="3" t="s">
        <v>134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13" t="s">
        <v>316</v>
      </c>
      <c r="D7" s="85">
        <v>975000</v>
      </c>
      <c r="E7" s="9"/>
    </row>
    <row r="8" spans="2:5" ht="15.75" customHeight="1">
      <c r="B8" s="8"/>
      <c r="C8" s="13" t="s">
        <v>321</v>
      </c>
      <c r="D8" s="283">
        <v>20000</v>
      </c>
      <c r="E8" s="9"/>
    </row>
    <row r="9" spans="2:5" ht="15.75" customHeight="1">
      <c r="B9" s="8"/>
      <c r="C9" s="13" t="s">
        <v>317</v>
      </c>
      <c r="D9" s="265">
        <v>40</v>
      </c>
      <c r="E9" s="9"/>
    </row>
    <row r="10" spans="2:5" ht="15.75" customHeight="1">
      <c r="B10" s="8"/>
      <c r="C10" s="13" t="s">
        <v>318</v>
      </c>
      <c r="D10" s="153">
        <v>0.05</v>
      </c>
      <c r="E10" s="9"/>
    </row>
    <row r="11" spans="2:5" ht="15.75" customHeight="1">
      <c r="B11" s="8"/>
      <c r="C11" s="13" t="s">
        <v>319</v>
      </c>
      <c r="D11" s="265">
        <v>15</v>
      </c>
      <c r="E11" s="9"/>
    </row>
    <row r="12" spans="2:5" ht="15.75" customHeight="1">
      <c r="B12" s="8"/>
      <c r="C12" s="13" t="s">
        <v>320</v>
      </c>
      <c r="D12" s="153">
        <v>0.06</v>
      </c>
      <c r="E12" s="9"/>
    </row>
    <row r="13" spans="2:5" ht="15.75" customHeight="1">
      <c r="B13" s="8"/>
      <c r="C13" s="13" t="s">
        <v>81</v>
      </c>
      <c r="D13" s="265">
        <v>195000</v>
      </c>
      <c r="E13" s="9"/>
    </row>
    <row r="14" spans="2:5" ht="15.75" customHeight="1">
      <c r="B14" s="8"/>
      <c r="C14" s="13" t="s">
        <v>91</v>
      </c>
      <c r="D14" s="265">
        <v>25000</v>
      </c>
      <c r="E14" s="9"/>
    </row>
    <row r="15" spans="2:5" ht="15.75" customHeight="1">
      <c r="B15" s="8"/>
      <c r="C15" s="13" t="s">
        <v>6</v>
      </c>
      <c r="D15" s="153">
        <v>0.34</v>
      </c>
      <c r="E15" s="9"/>
    </row>
    <row r="16" spans="2:5" ht="15.75" customHeight="1">
      <c r="B16" s="8"/>
      <c r="C16" s="13" t="s">
        <v>20</v>
      </c>
      <c r="D16" s="153">
        <v>0.11</v>
      </c>
      <c r="E16" s="9"/>
    </row>
    <row r="17" spans="2:11" ht="15.75" customHeight="1">
      <c r="B17" s="8"/>
      <c r="C17" s="13" t="s">
        <v>52</v>
      </c>
      <c r="D17" s="59"/>
      <c r="E17" s="9"/>
    </row>
    <row r="18" spans="2:11" ht="15.75" customHeight="1" thickBot="1">
      <c r="B18" s="10"/>
      <c r="C18" s="28"/>
      <c r="D18" s="62"/>
      <c r="E18" s="12"/>
    </row>
    <row r="19" spans="2:11" ht="15.75" customHeight="1"/>
    <row r="20" spans="2:11" ht="15.75" customHeight="1">
      <c r="C20" s="2" t="s">
        <v>2</v>
      </c>
    </row>
    <row r="21" spans="2:11" ht="15.75" customHeight="1" thickBot="1"/>
    <row r="22" spans="2:11" ht="15.75" customHeight="1">
      <c r="B22" s="15"/>
      <c r="C22" s="16"/>
      <c r="D22" s="16"/>
      <c r="E22" s="16"/>
      <c r="F22" s="16"/>
      <c r="G22" s="16"/>
      <c r="H22" s="16"/>
      <c r="I22" s="16"/>
      <c r="J22" s="17"/>
      <c r="K22" s="30"/>
    </row>
    <row r="23" spans="2:11" ht="15.75" customHeight="1">
      <c r="B23" s="18"/>
      <c r="C23" s="19" t="s">
        <v>274</v>
      </c>
      <c r="D23" s="20"/>
      <c r="E23" s="87">
        <f>D9</f>
        <v>40</v>
      </c>
      <c r="F23" s="87">
        <f>E23*(1+$D$10)</f>
        <v>42</v>
      </c>
      <c r="G23" s="87">
        <f>F23*(1+$D$10)</f>
        <v>44.1</v>
      </c>
      <c r="H23" s="87">
        <f>G23*(1+$D$10)</f>
        <v>46.305000000000007</v>
      </c>
      <c r="I23" s="87">
        <f>H23*(1+$D$10)</f>
        <v>48.620250000000006</v>
      </c>
      <c r="J23" s="21"/>
      <c r="K23" s="30"/>
    </row>
    <row r="24" spans="2:11" ht="15.75" customHeight="1">
      <c r="B24" s="18"/>
      <c r="C24" s="19" t="s">
        <v>178</v>
      </c>
      <c r="D24" s="20"/>
      <c r="E24" s="87">
        <f>D11</f>
        <v>15</v>
      </c>
      <c r="F24" s="87">
        <f>E24*(1+$D$12)</f>
        <v>15.9</v>
      </c>
      <c r="G24" s="87">
        <f>F24*(1+$D$12)</f>
        <v>16.854000000000003</v>
      </c>
      <c r="H24" s="87">
        <f>G24*(1+$D$12)</f>
        <v>17.865240000000004</v>
      </c>
      <c r="I24" s="87">
        <f>H24*(1+$D$12)</f>
        <v>18.937154400000004</v>
      </c>
      <c r="J24" s="21"/>
      <c r="K24" s="30"/>
    </row>
    <row r="25" spans="2:11" ht="15.75" customHeight="1">
      <c r="B25" s="18"/>
      <c r="C25" s="20"/>
      <c r="D25" s="20"/>
      <c r="E25" s="20"/>
      <c r="F25" s="20"/>
      <c r="G25" s="20"/>
      <c r="H25" s="20"/>
      <c r="I25" s="20"/>
      <c r="J25" s="21"/>
      <c r="K25" s="30"/>
    </row>
    <row r="26" spans="2:11" ht="15.75" customHeight="1">
      <c r="B26" s="18"/>
      <c r="C26" s="266"/>
      <c r="D26" s="267" t="s">
        <v>180</v>
      </c>
      <c r="E26" s="267" t="s">
        <v>181</v>
      </c>
      <c r="F26" s="267" t="s">
        <v>182</v>
      </c>
      <c r="G26" s="267" t="s">
        <v>183</v>
      </c>
      <c r="H26" s="267" t="s">
        <v>184</v>
      </c>
      <c r="I26" s="267" t="s">
        <v>231</v>
      </c>
      <c r="J26" s="21"/>
      <c r="K26" s="30"/>
    </row>
    <row r="27" spans="2:11" ht="15.75" customHeight="1">
      <c r="B27" s="18"/>
      <c r="C27" s="19" t="s">
        <v>255</v>
      </c>
      <c r="D27" s="19"/>
      <c r="E27" s="224">
        <f>E23*$D$8</f>
        <v>800000</v>
      </c>
      <c r="F27" s="224">
        <f>F23*$D$8</f>
        <v>840000</v>
      </c>
      <c r="G27" s="224">
        <f>G23*$D$8</f>
        <v>882000</v>
      </c>
      <c r="H27" s="224">
        <f>H23*$D$8</f>
        <v>926100.00000000012</v>
      </c>
      <c r="I27" s="224">
        <f>I23*$D$8</f>
        <v>972405.00000000012</v>
      </c>
      <c r="J27" s="21"/>
      <c r="K27" s="30"/>
    </row>
    <row r="28" spans="2:11" ht="15.75" customHeight="1">
      <c r="B28" s="18"/>
      <c r="C28" s="19" t="s">
        <v>81</v>
      </c>
      <c r="D28" s="19"/>
      <c r="E28" s="233">
        <f>D13</f>
        <v>195000</v>
      </c>
      <c r="F28" s="233">
        <f>E28</f>
        <v>195000</v>
      </c>
      <c r="G28" s="233">
        <f>F28</f>
        <v>195000</v>
      </c>
      <c r="H28" s="233">
        <f>G28</f>
        <v>195000</v>
      </c>
      <c r="I28" s="233">
        <f>H28</f>
        <v>195000</v>
      </c>
      <c r="J28" s="21"/>
      <c r="K28" s="30"/>
    </row>
    <row r="29" spans="2:11" ht="15.75" customHeight="1">
      <c r="B29" s="18"/>
      <c r="C29" s="19" t="s">
        <v>80</v>
      </c>
      <c r="D29" s="19"/>
      <c r="E29" s="233">
        <f>E24*$D$8</f>
        <v>300000</v>
      </c>
      <c r="F29" s="233">
        <f>F24*$D$8</f>
        <v>318000</v>
      </c>
      <c r="G29" s="233">
        <f>G24*$D$8</f>
        <v>337080.00000000006</v>
      </c>
      <c r="H29" s="233">
        <f>H24*$D$8</f>
        <v>357304.80000000005</v>
      </c>
      <c r="I29" s="233">
        <f>I24*$D$8</f>
        <v>378743.08800000011</v>
      </c>
      <c r="J29" s="21"/>
      <c r="K29" s="30"/>
    </row>
    <row r="30" spans="2:11" ht="15.75" customHeight="1">
      <c r="B30" s="18"/>
      <c r="C30" s="19" t="s">
        <v>5</v>
      </c>
      <c r="D30" s="19"/>
      <c r="E30" s="280">
        <f>D7/5</f>
        <v>195000</v>
      </c>
      <c r="F30" s="280">
        <f>E30</f>
        <v>195000</v>
      </c>
      <c r="G30" s="280">
        <f>F30</f>
        <v>195000</v>
      </c>
      <c r="H30" s="280">
        <f>G30</f>
        <v>195000</v>
      </c>
      <c r="I30" s="280">
        <f>H30</f>
        <v>195000</v>
      </c>
      <c r="J30" s="21"/>
      <c r="K30" s="30"/>
    </row>
    <row r="31" spans="2:11" ht="15.75" customHeight="1">
      <c r="B31" s="18"/>
      <c r="C31" s="19" t="s">
        <v>8</v>
      </c>
      <c r="D31" s="20"/>
      <c r="E31" s="224">
        <f>E27-E28-E29-E30</f>
        <v>110000</v>
      </c>
      <c r="F31" s="224">
        <f>F27-F28-F29-F30</f>
        <v>132000</v>
      </c>
      <c r="G31" s="224">
        <f>G27-G28-G29-G30</f>
        <v>154919.99999999994</v>
      </c>
      <c r="H31" s="224">
        <f>H27-H28-H29-H30</f>
        <v>178795.20000000007</v>
      </c>
      <c r="I31" s="224">
        <f>I27-I28-I29-I30</f>
        <v>203661.91200000001</v>
      </c>
      <c r="J31" s="21"/>
      <c r="K31" s="30"/>
    </row>
    <row r="32" spans="2:11" ht="15.75" customHeight="1">
      <c r="B32" s="18"/>
      <c r="C32" s="19" t="s">
        <v>79</v>
      </c>
      <c r="D32" s="19"/>
      <c r="E32" s="233">
        <f>E31*$D$15</f>
        <v>37400</v>
      </c>
      <c r="F32" s="233">
        <f>F31*$D$15</f>
        <v>44880</v>
      </c>
      <c r="G32" s="233">
        <f>G31*$D$15</f>
        <v>52672.799999999981</v>
      </c>
      <c r="H32" s="233">
        <f>H31*$D$15</f>
        <v>60790.368000000031</v>
      </c>
      <c r="I32" s="233">
        <f>I31*$D$15</f>
        <v>69245.050080000015</v>
      </c>
      <c r="J32" s="21"/>
      <c r="K32" s="30"/>
    </row>
    <row r="33" spans="2:11" ht="15.75" customHeight="1" thickBot="1">
      <c r="B33" s="18"/>
      <c r="C33" s="19" t="s">
        <v>115</v>
      </c>
      <c r="D33" s="19"/>
      <c r="E33" s="279">
        <f>E31-E32</f>
        <v>72600</v>
      </c>
      <c r="F33" s="279">
        <f>F31-F32</f>
        <v>87120</v>
      </c>
      <c r="G33" s="279">
        <f>G31-G32</f>
        <v>102247.19999999995</v>
      </c>
      <c r="H33" s="279">
        <f>H31-H32</f>
        <v>118004.83200000004</v>
      </c>
      <c r="I33" s="279">
        <f>I31-I32</f>
        <v>134416.86192</v>
      </c>
      <c r="J33" s="21"/>
      <c r="K33" s="30"/>
    </row>
    <row r="34" spans="2:11" ht="15.75" customHeight="1" thickTop="1">
      <c r="B34" s="18"/>
      <c r="C34" s="19" t="s">
        <v>11</v>
      </c>
      <c r="D34" s="19"/>
      <c r="E34" s="224">
        <f>E33+E30</f>
        <v>267600</v>
      </c>
      <c r="F34" s="224">
        <f>F33+F30</f>
        <v>282120</v>
      </c>
      <c r="G34" s="224">
        <f>G33+G30</f>
        <v>297247.19999999995</v>
      </c>
      <c r="H34" s="224">
        <f>H33+H30</f>
        <v>313004.83200000005</v>
      </c>
      <c r="I34" s="224">
        <f>I33+I30</f>
        <v>329416.86192</v>
      </c>
      <c r="J34" s="21"/>
      <c r="K34" s="30"/>
    </row>
    <row r="35" spans="2:11" ht="15.75" customHeight="1">
      <c r="B35" s="18"/>
      <c r="C35" s="19"/>
      <c r="D35" s="19"/>
      <c r="E35" s="19"/>
      <c r="F35" s="19"/>
      <c r="G35" s="19"/>
      <c r="H35" s="19"/>
      <c r="I35" s="19"/>
      <c r="J35" s="21"/>
      <c r="K35" s="30"/>
    </row>
    <row r="36" spans="2:11" ht="15.75" customHeight="1">
      <c r="B36" s="18"/>
      <c r="C36" s="19" t="s">
        <v>119</v>
      </c>
      <c r="D36" s="80">
        <f>-D7</f>
        <v>-975000</v>
      </c>
      <c r="E36" s="19"/>
      <c r="F36" s="19"/>
      <c r="G36" s="19"/>
      <c r="H36" s="19"/>
      <c r="I36" s="19"/>
      <c r="J36" s="21"/>
      <c r="K36" s="30"/>
    </row>
    <row r="37" spans="2:11" ht="15.75" customHeight="1">
      <c r="B37" s="18"/>
      <c r="C37" s="19" t="s">
        <v>91</v>
      </c>
      <c r="D37" s="398">
        <f>-D14</f>
        <v>-25000</v>
      </c>
      <c r="E37" s="399"/>
      <c r="F37" s="399"/>
      <c r="G37" s="399"/>
      <c r="H37" s="399"/>
      <c r="I37" s="398">
        <f>D14</f>
        <v>25000</v>
      </c>
      <c r="J37" s="21"/>
      <c r="K37" s="30"/>
    </row>
    <row r="38" spans="2:11" ht="15.75" customHeight="1">
      <c r="B38" s="18"/>
      <c r="C38" s="19"/>
      <c r="D38" s="19"/>
      <c r="E38" s="19"/>
      <c r="F38" s="19"/>
      <c r="G38" s="19"/>
      <c r="H38" s="19"/>
      <c r="I38" s="19"/>
      <c r="J38" s="21"/>
      <c r="K38" s="30"/>
    </row>
    <row r="39" spans="2:11" ht="15.75" customHeight="1">
      <c r="B39" s="18"/>
      <c r="C39" s="19" t="s">
        <v>120</v>
      </c>
      <c r="D39" s="87">
        <f t="shared" ref="D39:I39" si="0">D36+D37+D34</f>
        <v>-1000000</v>
      </c>
      <c r="E39" s="87">
        <f t="shared" si="0"/>
        <v>267600</v>
      </c>
      <c r="F39" s="87">
        <f t="shared" si="0"/>
        <v>282120</v>
      </c>
      <c r="G39" s="87">
        <f t="shared" si="0"/>
        <v>297247.19999999995</v>
      </c>
      <c r="H39" s="87">
        <f t="shared" si="0"/>
        <v>313004.83200000005</v>
      </c>
      <c r="I39" s="87">
        <f t="shared" si="0"/>
        <v>354416.86192</v>
      </c>
      <c r="J39" s="21"/>
      <c r="K39" s="30"/>
    </row>
    <row r="40" spans="2:11" ht="15.75" customHeight="1">
      <c r="B40" s="18"/>
      <c r="C40" s="20"/>
      <c r="D40" s="20"/>
      <c r="E40" s="20"/>
      <c r="F40" s="20"/>
      <c r="G40" s="20"/>
      <c r="H40" s="20"/>
      <c r="I40" s="20"/>
      <c r="J40" s="21"/>
      <c r="K40" s="30"/>
    </row>
    <row r="41" spans="2:11" ht="15.75" customHeight="1">
      <c r="B41" s="18"/>
      <c r="C41" s="19" t="s">
        <v>21</v>
      </c>
      <c r="D41" s="131">
        <f>NPV(D16,E39:I39)+D39</f>
        <v>103915.72799195629</v>
      </c>
      <c r="E41" s="266"/>
      <c r="F41" s="266"/>
      <c r="G41" s="266"/>
      <c r="H41" s="266"/>
      <c r="I41" s="266"/>
      <c r="J41" s="21"/>
      <c r="K41" s="30"/>
    </row>
    <row r="42" spans="2:11" ht="15.75" customHeight="1">
      <c r="B42" s="18"/>
      <c r="C42" s="19"/>
      <c r="D42" s="88"/>
      <c r="E42" s="266"/>
      <c r="F42" s="266"/>
      <c r="G42" s="266"/>
      <c r="H42" s="266"/>
      <c r="I42" s="266"/>
      <c r="J42" s="21"/>
      <c r="K42" s="30"/>
    </row>
    <row r="43" spans="2:11" ht="15.75" customHeight="1">
      <c r="B43" s="18"/>
      <c r="C43" s="266" t="s">
        <v>413</v>
      </c>
      <c r="D43" s="87"/>
      <c r="E43" s="266"/>
      <c r="F43" s="266"/>
      <c r="G43" s="266"/>
      <c r="H43" s="266"/>
      <c r="I43" s="266"/>
      <c r="J43" s="21"/>
      <c r="K43" s="30"/>
    </row>
    <row r="44" spans="2:11" ht="15.75" customHeight="1">
      <c r="B44" s="18"/>
      <c r="C44" s="19" t="s">
        <v>414</v>
      </c>
      <c r="D44" s="87">
        <f>E27*((1/(D16-D10))-((1/(D16-D10))*(((1+D10)/(1+D16))^5)))</f>
        <v>3234520.1567696324</v>
      </c>
      <c r="E44" s="266"/>
      <c r="F44" s="266"/>
      <c r="G44" s="266"/>
      <c r="H44" s="266"/>
      <c r="I44" s="266"/>
      <c r="J44" s="21"/>
      <c r="K44" s="30"/>
    </row>
    <row r="45" spans="2:11" ht="15.75" customHeight="1">
      <c r="B45" s="18"/>
      <c r="C45" s="19" t="s">
        <v>415</v>
      </c>
      <c r="D45" s="87">
        <f>E29*((1/(D16-D12))-((1/(D16-D12))*(((1+D12)/(1+D16))^5)))</f>
        <v>1234969.5223880885</v>
      </c>
      <c r="E45" s="348"/>
      <c r="F45" s="266"/>
      <c r="G45" s="266"/>
      <c r="H45" s="266"/>
      <c r="I45" s="266"/>
      <c r="J45" s="21"/>
      <c r="K45" s="30"/>
    </row>
    <row r="46" spans="2:11" ht="15.75" customHeight="1">
      <c r="B46" s="18"/>
      <c r="C46" s="19" t="s">
        <v>416</v>
      </c>
      <c r="D46" s="87">
        <f>PV(D16,5,-D13)</f>
        <v>720699.91844164603</v>
      </c>
      <c r="E46" s="266"/>
      <c r="F46" s="266"/>
      <c r="G46" s="266"/>
      <c r="H46" s="266"/>
      <c r="I46" s="266"/>
      <c r="J46" s="21"/>
      <c r="K46" s="30"/>
    </row>
    <row r="47" spans="2:11" ht="15.75" customHeight="1">
      <c r="B47" s="18"/>
      <c r="C47" s="19" t="s">
        <v>417</v>
      </c>
      <c r="D47" s="87">
        <f>PV(D16,5,-E30)</f>
        <v>720699.91844164603</v>
      </c>
      <c r="E47" s="266"/>
      <c r="F47" s="349"/>
      <c r="G47" s="266"/>
      <c r="H47" s="266"/>
      <c r="I47" s="266"/>
      <c r="J47" s="21"/>
      <c r="K47" s="30"/>
    </row>
    <row r="48" spans="2:11" ht="15.75" customHeight="1">
      <c r="B48" s="18"/>
      <c r="C48" s="19"/>
      <c r="D48" s="87"/>
      <c r="E48" s="266"/>
      <c r="F48" s="266"/>
      <c r="G48" s="266"/>
      <c r="H48" s="266"/>
      <c r="I48" s="266"/>
      <c r="J48" s="21"/>
      <c r="K48" s="30"/>
    </row>
    <row r="49" spans="2:11" ht="15.75" customHeight="1">
      <c r="B49" s="18"/>
      <c r="C49" s="19" t="s">
        <v>422</v>
      </c>
      <c r="D49" s="87">
        <f>D44*(1-$D$15)</f>
        <v>2134783.3034679573</v>
      </c>
      <c r="E49" s="266"/>
      <c r="F49" s="266"/>
      <c r="G49" s="266"/>
      <c r="H49" s="266"/>
      <c r="I49" s="266"/>
      <c r="J49" s="21"/>
      <c r="K49" s="30"/>
    </row>
    <row r="50" spans="2:11" ht="15.75" customHeight="1">
      <c r="B50" s="18"/>
      <c r="C50" s="19" t="s">
        <v>423</v>
      </c>
      <c r="D50" s="87">
        <f>D45*(1-$D$15)</f>
        <v>815079.88477613835</v>
      </c>
      <c r="E50" s="266"/>
      <c r="F50" s="266"/>
      <c r="G50" s="266"/>
      <c r="H50" s="266"/>
      <c r="I50" s="266"/>
      <c r="J50" s="21"/>
      <c r="K50" s="30"/>
    </row>
    <row r="51" spans="2:11" ht="15.75" customHeight="1">
      <c r="B51" s="18"/>
      <c r="C51" s="19" t="s">
        <v>419</v>
      </c>
      <c r="D51" s="87">
        <f>D46*(1-$D$15)</f>
        <v>475661.94617148634</v>
      </c>
      <c r="E51" s="266"/>
      <c r="F51" s="266"/>
      <c r="G51" s="266"/>
      <c r="H51" s="266"/>
      <c r="I51" s="266"/>
      <c r="J51" s="21"/>
      <c r="K51" s="30"/>
    </row>
    <row r="52" spans="2:11" ht="15.75" customHeight="1">
      <c r="B52" s="18"/>
      <c r="C52" s="19" t="s">
        <v>420</v>
      </c>
      <c r="D52" s="87"/>
      <c r="E52" s="266"/>
      <c r="F52" s="266"/>
      <c r="G52" s="266"/>
      <c r="H52" s="266"/>
      <c r="I52" s="266"/>
      <c r="J52" s="21"/>
      <c r="K52" s="30"/>
    </row>
    <row r="53" spans="2:11" ht="15.75" customHeight="1">
      <c r="B53" s="18"/>
      <c r="C53" s="19" t="s">
        <v>421</v>
      </c>
      <c r="D53" s="87">
        <f>D15*D47</f>
        <v>245037.97227015966</v>
      </c>
      <c r="E53" s="266"/>
      <c r="F53" s="266"/>
      <c r="G53" s="266"/>
      <c r="H53" s="266"/>
      <c r="I53" s="266"/>
      <c r="J53" s="21"/>
      <c r="K53" s="30"/>
    </row>
    <row r="54" spans="2:11" ht="15.75" customHeight="1">
      <c r="B54" s="18"/>
      <c r="C54" s="19"/>
      <c r="D54" s="88"/>
      <c r="E54" s="266"/>
      <c r="F54" s="266"/>
      <c r="G54" s="266"/>
      <c r="H54" s="266"/>
      <c r="I54" s="266"/>
      <c r="J54" s="21"/>
      <c r="K54" s="30"/>
    </row>
    <row r="55" spans="2:11" ht="15.75" customHeight="1">
      <c r="B55" s="18"/>
      <c r="C55" s="19" t="s">
        <v>21</v>
      </c>
      <c r="D55" s="131">
        <f>D39+D49-D50-D51+D53+(I37/(1+D16)^5)</f>
        <v>103915.72799195624</v>
      </c>
      <c r="E55" s="266"/>
      <c r="F55" s="266"/>
      <c r="G55" s="266"/>
      <c r="H55" s="266"/>
      <c r="I55" s="266"/>
      <c r="J55" s="21"/>
      <c r="K55" s="30"/>
    </row>
    <row r="56" spans="2:11" ht="15.75" customHeight="1" thickBot="1">
      <c r="B56" s="23"/>
      <c r="C56" s="53"/>
      <c r="D56" s="53"/>
      <c r="E56" s="53"/>
      <c r="F56" s="53"/>
      <c r="G56" s="53"/>
      <c r="H56" s="53"/>
      <c r="I56" s="53"/>
      <c r="J56" s="25"/>
      <c r="K56" s="30"/>
    </row>
    <row r="57" spans="2:11" ht="15.75" customHeight="1">
      <c r="B57" s="14"/>
      <c r="C57" s="14"/>
      <c r="D57" s="14"/>
      <c r="E57" s="14"/>
      <c r="F57" s="14"/>
      <c r="G57" s="14"/>
      <c r="H57" s="14"/>
    </row>
    <row r="58" spans="2:11" ht="15.75" customHeight="1"/>
    <row r="59" spans="2:11" ht="15.75" customHeight="1">
      <c r="D59" s="26"/>
    </row>
    <row r="60" spans="2:11" ht="15.75" customHeight="1"/>
    <row r="61" spans="2:11" ht="15.75" customHeight="1"/>
    <row r="62" spans="2:11" ht="15.75" customHeight="1"/>
    <row r="63" spans="2:11" ht="15.75" customHeight="1"/>
    <row r="64" spans="2:11" ht="15.75" customHeight="1"/>
    <row r="65" ht="15.75" customHeight="1"/>
    <row r="66" ht="15.75" customHeight="1"/>
    <row r="67" ht="15.75" customHeight="1"/>
  </sheetData>
  <phoneticPr fontId="0" type="noConversion"/>
  <pageMargins left="0.75" right="0.75" top="1" bottom="1" header="0.5" footer="0.5"/>
  <pageSetup scale="66" orientation="portrait" horizontalDpi="360" verticalDpi="36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B1:M79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9" width="19.42578125" customWidth="1"/>
    <col min="10" max="10" width="3.140625" customWidth="1"/>
    <col min="13" max="13" width="3.140625" customWidth="1"/>
  </cols>
  <sheetData>
    <row r="1" spans="2:7" ht="18">
      <c r="C1" s="1" t="s">
        <v>436</v>
      </c>
    </row>
    <row r="2" spans="2:7" ht="15.75" customHeight="1">
      <c r="C2" s="3" t="s">
        <v>163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103</v>
      </c>
      <c r="D7" s="91">
        <v>83000</v>
      </c>
      <c r="E7" s="9"/>
      <c r="G7" s="57"/>
    </row>
    <row r="8" spans="2:7" ht="15.75" customHeight="1">
      <c r="B8" s="8"/>
      <c r="C8" s="13" t="s">
        <v>104</v>
      </c>
      <c r="D8" s="91">
        <v>92000</v>
      </c>
      <c r="E8" s="9"/>
      <c r="G8" s="57"/>
    </row>
    <row r="9" spans="2:7" ht="15.75" customHeight="1">
      <c r="B9" s="8"/>
      <c r="C9" s="13" t="s">
        <v>105</v>
      </c>
      <c r="D9" s="91">
        <v>104000</v>
      </c>
      <c r="E9" s="9"/>
      <c r="G9" s="57"/>
    </row>
    <row r="10" spans="2:7" ht="15.75" customHeight="1">
      <c r="B10" s="8"/>
      <c r="C10" s="13" t="s">
        <v>106</v>
      </c>
      <c r="D10" s="91">
        <v>98000</v>
      </c>
      <c r="E10" s="9"/>
      <c r="G10" s="57"/>
    </row>
    <row r="11" spans="2:7" ht="15.75" customHeight="1">
      <c r="B11" s="8"/>
      <c r="C11" s="13" t="s">
        <v>107</v>
      </c>
      <c r="D11" s="91">
        <v>84000</v>
      </c>
      <c r="E11" s="9"/>
      <c r="G11" s="57"/>
    </row>
    <row r="12" spans="2:7" ht="15.75" customHeight="1">
      <c r="B12" s="8"/>
      <c r="C12" s="13" t="s">
        <v>72</v>
      </c>
      <c r="D12" s="85">
        <v>1500000</v>
      </c>
      <c r="E12" s="9"/>
      <c r="G12" s="57"/>
    </row>
    <row r="13" spans="2:7" ht="15.75" customHeight="1">
      <c r="B13" s="8"/>
      <c r="C13" s="13" t="s">
        <v>102</v>
      </c>
      <c r="D13" s="153">
        <v>0.15</v>
      </c>
      <c r="E13" s="9"/>
    </row>
    <row r="14" spans="2:7" ht="15.75" customHeight="1">
      <c r="B14" s="8"/>
      <c r="C14" s="13" t="s">
        <v>81</v>
      </c>
      <c r="D14" s="85">
        <v>2400000</v>
      </c>
      <c r="E14" s="9"/>
    </row>
    <row r="15" spans="2:7" ht="15.75" customHeight="1">
      <c r="B15" s="8"/>
      <c r="C15" s="13" t="s">
        <v>108</v>
      </c>
      <c r="D15" s="154">
        <v>190</v>
      </c>
      <c r="E15" s="9"/>
    </row>
    <row r="16" spans="2:7" ht="15.75" customHeight="1">
      <c r="B16" s="8"/>
      <c r="C16" s="13" t="s">
        <v>109</v>
      </c>
      <c r="D16" s="85">
        <v>345</v>
      </c>
      <c r="E16" s="9"/>
    </row>
    <row r="17" spans="2:10" ht="15.75" customHeight="1">
      <c r="B17" s="8"/>
      <c r="C17" s="13" t="s">
        <v>110</v>
      </c>
      <c r="D17" s="85">
        <v>23000000</v>
      </c>
      <c r="E17" s="9"/>
    </row>
    <row r="18" spans="2:10" ht="15.75" customHeight="1">
      <c r="B18" s="8"/>
      <c r="C18" s="13" t="s">
        <v>111</v>
      </c>
      <c r="D18" s="84">
        <v>0.2</v>
      </c>
      <c r="E18" s="9"/>
    </row>
    <row r="19" spans="2:10" ht="15.75" customHeight="1">
      <c r="B19" s="8"/>
      <c r="C19" s="13" t="s">
        <v>6</v>
      </c>
      <c r="D19" s="84">
        <v>0.35</v>
      </c>
      <c r="E19" s="9"/>
    </row>
    <row r="20" spans="2:10" ht="15.75" customHeight="1">
      <c r="B20" s="8"/>
      <c r="C20" s="13" t="s">
        <v>20</v>
      </c>
      <c r="D20" s="153">
        <v>0.18</v>
      </c>
      <c r="E20" s="9"/>
    </row>
    <row r="21" spans="2:10" ht="15.75" customHeight="1">
      <c r="B21" s="8"/>
      <c r="C21" s="13" t="s">
        <v>112</v>
      </c>
      <c r="D21" s="155">
        <v>0.1429</v>
      </c>
      <c r="E21" s="9"/>
    </row>
    <row r="22" spans="2:10" ht="15.75" customHeight="1">
      <c r="B22" s="8"/>
      <c r="C22" s="13"/>
      <c r="D22" s="155">
        <v>0.24490000000000001</v>
      </c>
      <c r="E22" s="9"/>
    </row>
    <row r="23" spans="2:10" ht="15.75" customHeight="1">
      <c r="B23" s="8"/>
      <c r="C23" s="13"/>
      <c r="D23" s="155">
        <v>0.1749</v>
      </c>
      <c r="E23" s="9"/>
    </row>
    <row r="24" spans="2:10" ht="15.75" customHeight="1">
      <c r="B24" s="8"/>
      <c r="C24" s="13"/>
      <c r="D24" s="155">
        <v>0.1249</v>
      </c>
      <c r="E24" s="9"/>
    </row>
    <row r="25" spans="2:10" ht="15.75" customHeight="1">
      <c r="B25" s="8"/>
      <c r="C25" s="13"/>
      <c r="D25" s="155">
        <v>8.9300000000000004E-2</v>
      </c>
      <c r="E25" s="9"/>
    </row>
    <row r="26" spans="2:10" ht="15.75" customHeight="1" thickBot="1">
      <c r="B26" s="10"/>
      <c r="C26" s="66"/>
      <c r="D26" s="66"/>
      <c r="E26" s="12"/>
    </row>
    <row r="27" spans="2:10" ht="15.75" customHeight="1">
      <c r="B27" s="65"/>
      <c r="J27" s="65"/>
    </row>
    <row r="28" spans="2:10" ht="15.75" customHeight="1">
      <c r="C28" s="2" t="s">
        <v>2</v>
      </c>
    </row>
    <row r="29" spans="2:10" ht="15.75" customHeight="1" thickBot="1"/>
    <row r="30" spans="2:10" ht="15.75" customHeight="1">
      <c r="B30" s="69"/>
      <c r="C30" s="70"/>
      <c r="D30" s="70"/>
      <c r="E30" s="70"/>
      <c r="F30" s="70"/>
      <c r="G30" s="70"/>
      <c r="H30" s="70"/>
      <c r="I30" s="70"/>
      <c r="J30" s="156"/>
    </row>
    <row r="31" spans="2:10" ht="15.75" customHeight="1">
      <c r="B31" s="71"/>
      <c r="C31" s="19"/>
      <c r="D31" s="19"/>
      <c r="E31" s="19"/>
      <c r="F31" s="19"/>
      <c r="G31" s="19"/>
      <c r="H31" s="19"/>
      <c r="I31" s="19"/>
      <c r="J31" s="22"/>
    </row>
    <row r="32" spans="2:10" ht="15.75" customHeight="1">
      <c r="B32" s="71"/>
      <c r="C32" s="158" t="s">
        <v>24</v>
      </c>
      <c r="D32" s="157">
        <v>0</v>
      </c>
      <c r="E32" s="157">
        <v>1</v>
      </c>
      <c r="F32" s="157">
        <v>2</v>
      </c>
      <c r="G32" s="157">
        <v>3</v>
      </c>
      <c r="H32" s="157">
        <v>4</v>
      </c>
      <c r="I32" s="157">
        <v>5</v>
      </c>
      <c r="J32" s="22"/>
    </row>
    <row r="33" spans="2:13" ht="15.75" customHeight="1">
      <c r="B33" s="71"/>
      <c r="C33" s="19" t="s">
        <v>113</v>
      </c>
      <c r="D33" s="138"/>
      <c r="E33" s="80">
        <f>D17-E38</f>
        <v>19713300</v>
      </c>
      <c r="F33" s="80">
        <f>E33-F38</f>
        <v>14080600</v>
      </c>
      <c r="G33" s="80">
        <f>F33-G38</f>
        <v>10057900</v>
      </c>
      <c r="H33" s="80">
        <f>G33-H38</f>
        <v>7185200</v>
      </c>
      <c r="I33" s="80">
        <f>H33-I38</f>
        <v>5131300</v>
      </c>
      <c r="J33" s="22"/>
    </row>
    <row r="34" spans="2:13" ht="15.75" customHeight="1">
      <c r="B34" s="71"/>
      <c r="C34" s="19"/>
      <c r="D34" s="138"/>
      <c r="E34" s="80"/>
      <c r="F34" s="80"/>
      <c r="G34" s="80"/>
      <c r="H34" s="80"/>
      <c r="I34" s="80"/>
      <c r="J34" s="22"/>
    </row>
    <row r="35" spans="2:13" ht="15.75" customHeight="1">
      <c r="B35" s="71"/>
      <c r="C35" s="19" t="s">
        <v>10</v>
      </c>
      <c r="D35" s="138"/>
      <c r="E35" s="80">
        <f>D7*D16</f>
        <v>28635000</v>
      </c>
      <c r="F35" s="80">
        <f>D8*D16</f>
        <v>31740000</v>
      </c>
      <c r="G35" s="80">
        <f>D9*D16</f>
        <v>35880000</v>
      </c>
      <c r="H35" s="80">
        <f>D10*D16</f>
        <v>33810000</v>
      </c>
      <c r="I35" s="80">
        <f>D11*D16</f>
        <v>28980000</v>
      </c>
      <c r="J35" s="22"/>
    </row>
    <row r="36" spans="2:13" ht="15.75" customHeight="1">
      <c r="B36" s="71"/>
      <c r="C36" s="19" t="s">
        <v>80</v>
      </c>
      <c r="D36" s="138"/>
      <c r="E36" s="81">
        <f>D7*D15</f>
        <v>15770000</v>
      </c>
      <c r="F36" s="81">
        <f>D8*D15</f>
        <v>17480000</v>
      </c>
      <c r="G36" s="81">
        <f>D9*D15</f>
        <v>19760000</v>
      </c>
      <c r="H36" s="81">
        <f>D10*D15</f>
        <v>18620000</v>
      </c>
      <c r="I36" s="81">
        <f>D11*D15</f>
        <v>15960000</v>
      </c>
      <c r="J36" s="22"/>
    </row>
    <row r="37" spans="2:13" ht="15.75" customHeight="1">
      <c r="B37" s="71"/>
      <c r="C37" s="19" t="s">
        <v>81</v>
      </c>
      <c r="D37" s="138"/>
      <c r="E37" s="81">
        <f>$D$14</f>
        <v>2400000</v>
      </c>
      <c r="F37" s="81">
        <f>$D$14</f>
        <v>2400000</v>
      </c>
      <c r="G37" s="81">
        <f>$D$14</f>
        <v>2400000</v>
      </c>
      <c r="H37" s="81">
        <f>$D$14</f>
        <v>2400000</v>
      </c>
      <c r="I37" s="81">
        <f>$D$14</f>
        <v>2400000</v>
      </c>
      <c r="J37" s="22"/>
    </row>
    <row r="38" spans="2:13" ht="15.75" customHeight="1">
      <c r="B38" s="71"/>
      <c r="C38" s="19" t="s">
        <v>5</v>
      </c>
      <c r="D38" s="138"/>
      <c r="E38" s="83">
        <f>D17*D21</f>
        <v>3286700</v>
      </c>
      <c r="F38" s="83">
        <f>D17*D22</f>
        <v>5632700</v>
      </c>
      <c r="G38" s="83">
        <f>D17*D23</f>
        <v>4022700</v>
      </c>
      <c r="H38" s="83">
        <f>D17*D24</f>
        <v>2872700</v>
      </c>
      <c r="I38" s="83">
        <f>D17*D25</f>
        <v>2053900</v>
      </c>
      <c r="J38" s="22"/>
    </row>
    <row r="39" spans="2:13" ht="15.75" customHeight="1">
      <c r="B39" s="71"/>
      <c r="C39" s="19" t="s">
        <v>114</v>
      </c>
      <c r="D39" s="138"/>
      <c r="E39" s="81">
        <f>E35-E36-E37-E38</f>
        <v>7178300</v>
      </c>
      <c r="F39" s="81">
        <f>F35-F36-F37-F38</f>
        <v>6227300</v>
      </c>
      <c r="G39" s="81">
        <f>G35-G36-G37-G38</f>
        <v>9697300</v>
      </c>
      <c r="H39" s="81">
        <f>H35-H36-H37-H38</f>
        <v>9917300</v>
      </c>
      <c r="I39" s="81">
        <f>I35-I36-I37-I38</f>
        <v>8566100</v>
      </c>
      <c r="J39" s="22"/>
    </row>
    <row r="40" spans="2:13" ht="15.75" customHeight="1">
      <c r="B40" s="71"/>
      <c r="C40" s="19" t="s">
        <v>79</v>
      </c>
      <c r="D40" s="138"/>
      <c r="E40" s="83">
        <f>E39*$D$19</f>
        <v>2512405</v>
      </c>
      <c r="F40" s="83">
        <f>F39*$D$19</f>
        <v>2179555</v>
      </c>
      <c r="G40" s="83">
        <f>G39*$D$19</f>
        <v>3394055</v>
      </c>
      <c r="H40" s="83">
        <f>H39*$D$19</f>
        <v>3471055</v>
      </c>
      <c r="I40" s="83">
        <f>I39*$D$19</f>
        <v>2998135</v>
      </c>
      <c r="J40" s="22"/>
    </row>
    <row r="41" spans="2:13" ht="15.75" customHeight="1">
      <c r="B41" s="71"/>
      <c r="C41" s="19" t="s">
        <v>115</v>
      </c>
      <c r="D41" s="138"/>
      <c r="E41" s="81">
        <f>E39-E40</f>
        <v>4665895</v>
      </c>
      <c r="F41" s="81">
        <f>F39-F40</f>
        <v>4047745</v>
      </c>
      <c r="G41" s="81">
        <f>G39-G40</f>
        <v>6303245</v>
      </c>
      <c r="H41" s="81">
        <f>H39-H40</f>
        <v>6446245</v>
      </c>
      <c r="I41" s="81">
        <f>I39-I40</f>
        <v>5567965</v>
      </c>
      <c r="J41" s="22"/>
    </row>
    <row r="42" spans="2:13" ht="15.75" customHeight="1">
      <c r="B42" s="71"/>
      <c r="C42" s="19" t="s">
        <v>5</v>
      </c>
      <c r="D42" s="138"/>
      <c r="E42" s="81">
        <f>E38</f>
        <v>3286700</v>
      </c>
      <c r="F42" s="81">
        <f>F38</f>
        <v>5632700</v>
      </c>
      <c r="G42" s="81">
        <f>G38</f>
        <v>4022700</v>
      </c>
      <c r="H42" s="81">
        <f>H38</f>
        <v>2872700</v>
      </c>
      <c r="I42" s="81">
        <f>I38</f>
        <v>2053900</v>
      </c>
      <c r="J42" s="22"/>
    </row>
    <row r="43" spans="2:13" ht="15.75" customHeight="1" thickBot="1">
      <c r="B43" s="71"/>
      <c r="C43" s="19" t="s">
        <v>116</v>
      </c>
      <c r="D43" s="138"/>
      <c r="E43" s="127">
        <f>E41+E42</f>
        <v>7952595</v>
      </c>
      <c r="F43" s="127">
        <f>F41+F42</f>
        <v>9680445</v>
      </c>
      <c r="G43" s="127">
        <f>G41+G42</f>
        <v>10325945</v>
      </c>
      <c r="H43" s="127">
        <f>H41+H42</f>
        <v>9318945</v>
      </c>
      <c r="I43" s="127">
        <f>I41+I42</f>
        <v>7621865</v>
      </c>
      <c r="J43" s="22"/>
    </row>
    <row r="44" spans="2:13" ht="15.75" customHeight="1" thickTop="1">
      <c r="B44" s="71"/>
      <c r="C44" s="19"/>
      <c r="D44" s="138"/>
      <c r="E44" s="80"/>
      <c r="F44" s="80"/>
      <c r="G44" s="80"/>
      <c r="H44" s="80"/>
      <c r="I44" s="80"/>
      <c r="J44" s="22"/>
    </row>
    <row r="45" spans="2:13" ht="15.75" customHeight="1">
      <c r="B45" s="71"/>
      <c r="C45" s="159" t="s">
        <v>117</v>
      </c>
      <c r="D45" s="142"/>
      <c r="E45" s="142"/>
      <c r="F45" s="142"/>
      <c r="G45" s="142"/>
      <c r="H45" s="142"/>
      <c r="I45" s="142"/>
      <c r="J45" s="22"/>
      <c r="K45" s="30"/>
      <c r="L45" s="30"/>
      <c r="M45" s="30"/>
    </row>
    <row r="46" spans="2:13" ht="15.75" customHeight="1">
      <c r="B46" s="71"/>
      <c r="C46" s="19" t="s">
        <v>116</v>
      </c>
      <c r="D46" s="97"/>
      <c r="E46" s="97">
        <f>E43</f>
        <v>7952595</v>
      </c>
      <c r="F46" s="97">
        <f>F43</f>
        <v>9680445</v>
      </c>
      <c r="G46" s="97">
        <f>G43</f>
        <v>10325945</v>
      </c>
      <c r="H46" s="97">
        <f>H43</f>
        <v>9318945</v>
      </c>
      <c r="I46" s="97">
        <f>I43</f>
        <v>7621865</v>
      </c>
      <c r="J46" s="22"/>
      <c r="K46" s="30"/>
      <c r="L46" s="30"/>
      <c r="M46" s="30"/>
    </row>
    <row r="47" spans="2:13" ht="15.75" customHeight="1">
      <c r="B47" s="71"/>
      <c r="C47" s="19" t="s">
        <v>118</v>
      </c>
      <c r="D47" s="97">
        <f>-D12</f>
        <v>-1500000</v>
      </c>
      <c r="E47" s="140">
        <f>$D$13*(E35-F35)</f>
        <v>-465750</v>
      </c>
      <c r="F47" s="140">
        <f>$D$13*(F35-G35)</f>
        <v>-621000</v>
      </c>
      <c r="G47" s="140">
        <f>$D$13*(G35-H35)</f>
        <v>310500</v>
      </c>
      <c r="H47" s="140">
        <f>$D$13*(H35-I35)</f>
        <v>724500</v>
      </c>
      <c r="I47" s="140">
        <f>-(D47+E47+F47+G47+H47)</f>
        <v>1551750</v>
      </c>
      <c r="J47" s="22"/>
      <c r="K47" s="30"/>
      <c r="L47" s="30"/>
      <c r="M47" s="30"/>
    </row>
    <row r="48" spans="2:13" ht="15.75" customHeight="1">
      <c r="B48" s="71"/>
      <c r="C48" s="19" t="s">
        <v>119</v>
      </c>
      <c r="D48" s="140">
        <f>-D17</f>
        <v>-23000000</v>
      </c>
      <c r="E48" s="140">
        <v>0</v>
      </c>
      <c r="F48" s="140">
        <v>0</v>
      </c>
      <c r="G48" s="140">
        <v>0</v>
      </c>
      <c r="H48" s="140">
        <v>0</v>
      </c>
      <c r="I48" s="140">
        <f>(D17*D18)+((I33-(D17*D18))*D19)</f>
        <v>4785955</v>
      </c>
      <c r="J48" s="22"/>
      <c r="K48" s="30"/>
      <c r="L48" s="30"/>
      <c r="M48" s="30"/>
    </row>
    <row r="49" spans="2:13" ht="15.75" customHeight="1" thickBot="1">
      <c r="B49" s="71"/>
      <c r="C49" s="19" t="s">
        <v>120</v>
      </c>
      <c r="D49" s="160">
        <f t="shared" ref="D49:I49" si="0">D46+D47+D48</f>
        <v>-24500000</v>
      </c>
      <c r="E49" s="161">
        <f t="shared" si="0"/>
        <v>7486845</v>
      </c>
      <c r="F49" s="161">
        <f t="shared" si="0"/>
        <v>9059445</v>
      </c>
      <c r="G49" s="161">
        <f t="shared" si="0"/>
        <v>10636445</v>
      </c>
      <c r="H49" s="161">
        <f t="shared" si="0"/>
        <v>10043445</v>
      </c>
      <c r="I49" s="161">
        <f t="shared" si="0"/>
        <v>13959570</v>
      </c>
      <c r="J49" s="22"/>
      <c r="K49" s="30"/>
      <c r="L49" s="30"/>
      <c r="M49" s="30"/>
    </row>
    <row r="50" spans="2:13" ht="15.75" customHeight="1" thickTop="1">
      <c r="B50" s="71"/>
      <c r="C50" s="19"/>
      <c r="D50" s="142"/>
      <c r="E50" s="142"/>
      <c r="F50" s="142"/>
      <c r="G50" s="142"/>
      <c r="H50" s="142"/>
      <c r="I50" s="142"/>
      <c r="J50" s="22"/>
      <c r="K50" s="30"/>
      <c r="L50" s="30"/>
      <c r="M50" s="30"/>
    </row>
    <row r="51" spans="2:13" ht="15.75" customHeight="1">
      <c r="B51" s="71"/>
      <c r="C51" s="19" t="s">
        <v>121</v>
      </c>
      <c r="D51" s="139">
        <f>NPV(D20,E49:I49)+D49</f>
        <v>6106958.9429562129</v>
      </c>
      <c r="E51" s="148"/>
      <c r="F51" s="148"/>
      <c r="G51" s="148"/>
      <c r="H51" s="148"/>
      <c r="I51" s="148"/>
      <c r="J51" s="22"/>
      <c r="K51" s="30"/>
      <c r="L51" s="30"/>
      <c r="M51" s="30"/>
    </row>
    <row r="52" spans="2:13" ht="15.75" customHeight="1">
      <c r="B52" s="71"/>
      <c r="C52" s="19" t="s">
        <v>122</v>
      </c>
      <c r="D52" s="163">
        <f>IRR(D49:I49)</f>
        <v>0.27537829107622602</v>
      </c>
      <c r="E52" s="148"/>
      <c r="F52" s="148"/>
      <c r="G52" s="148"/>
      <c r="H52" s="148"/>
      <c r="I52" s="148"/>
      <c r="J52" s="22"/>
      <c r="K52" s="30"/>
      <c r="L52" s="30"/>
      <c r="M52" s="30"/>
    </row>
    <row r="53" spans="2:13" ht="15.75" customHeight="1" thickBot="1">
      <c r="B53" s="72"/>
      <c r="C53" s="53"/>
      <c r="D53" s="53"/>
      <c r="E53" s="53"/>
      <c r="F53" s="53"/>
      <c r="G53" s="53"/>
      <c r="H53" s="53"/>
      <c r="I53" s="53"/>
      <c r="J53" s="51"/>
      <c r="K53" s="30"/>
      <c r="L53" s="30"/>
      <c r="M53" s="30"/>
    </row>
    <row r="54" spans="2:13" ht="15.75" customHeight="1">
      <c r="B54" s="14"/>
      <c r="J54" s="14"/>
      <c r="K54" s="14"/>
      <c r="L54" s="14"/>
      <c r="M54" s="14"/>
    </row>
    <row r="55" spans="2:13" ht="15.75" customHeight="1">
      <c r="D55" s="26"/>
      <c r="E55" s="26"/>
      <c r="F55" s="26"/>
      <c r="G55" s="26"/>
      <c r="H55" s="26"/>
      <c r="I55" s="26"/>
    </row>
    <row r="56" spans="2:13" ht="15.75" customHeight="1"/>
    <row r="57" spans="2:13" ht="15.75" customHeight="1"/>
    <row r="58" spans="2:13" ht="15.75" customHeight="1"/>
    <row r="59" spans="2:13" ht="15.75" customHeight="1"/>
    <row r="60" spans="2:13" ht="15.75" customHeight="1"/>
    <row r="61" spans="2:13" ht="15.75" customHeight="1"/>
    <row r="62" spans="2:13" ht="15.75" customHeight="1"/>
    <row r="63" spans="2:13" ht="15.75" customHeight="1"/>
    <row r="64" spans="2:13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</sheetData>
  <phoneticPr fontId="0" type="noConversion"/>
  <pageMargins left="0.75" right="0.75" top="1" bottom="1" header="0.5" footer="0.5"/>
  <pageSetup scale="56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L41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8" width="15.140625" customWidth="1"/>
    <col min="9" max="9" width="3.140625" customWidth="1"/>
    <col min="12" max="12" width="3.140625" customWidth="1"/>
  </cols>
  <sheetData>
    <row r="1" spans="2:11" ht="18" customHeight="1">
      <c r="C1" s="1" t="s">
        <v>436</v>
      </c>
      <c r="D1" s="1"/>
      <c r="E1" s="1"/>
      <c r="F1" s="1"/>
      <c r="G1" s="1"/>
    </row>
    <row r="2" spans="2:11" ht="15.75" customHeight="1">
      <c r="C2" s="3" t="s">
        <v>3</v>
      </c>
      <c r="D2" s="3"/>
      <c r="E2" s="3"/>
      <c r="F2" s="3"/>
      <c r="G2" s="3"/>
    </row>
    <row r="3" spans="2:11" ht="15.75" customHeight="1"/>
    <row r="4" spans="2:11" ht="15.75" customHeight="1">
      <c r="C4" s="2" t="s">
        <v>1</v>
      </c>
      <c r="D4" s="2"/>
      <c r="E4" s="2"/>
      <c r="F4" s="2"/>
      <c r="G4" s="2"/>
    </row>
    <row r="5" spans="2:11" ht="15.75" customHeight="1" thickBot="1"/>
    <row r="6" spans="2:11" ht="15.75" customHeight="1">
      <c r="B6" s="5"/>
      <c r="C6" s="6"/>
      <c r="D6" s="6"/>
      <c r="E6" s="6"/>
      <c r="F6" s="6"/>
      <c r="G6" s="6"/>
      <c r="H6" s="6"/>
      <c r="I6" s="7"/>
    </row>
    <row r="7" spans="2:11" ht="15.75" customHeight="1">
      <c r="B7" s="8"/>
      <c r="C7" s="13"/>
      <c r="D7" s="228" t="s">
        <v>180</v>
      </c>
      <c r="E7" s="228" t="s">
        <v>181</v>
      </c>
      <c r="F7" s="228" t="s">
        <v>182</v>
      </c>
      <c r="G7" s="228" t="s">
        <v>183</v>
      </c>
      <c r="H7" s="229" t="s">
        <v>184</v>
      </c>
      <c r="I7" s="9"/>
      <c r="K7" s="57"/>
    </row>
    <row r="8" spans="2:11" ht="15.75" customHeight="1">
      <c r="B8" s="8"/>
      <c r="C8" s="13" t="s">
        <v>185</v>
      </c>
      <c r="D8" s="85">
        <v>24000</v>
      </c>
      <c r="E8" s="91">
        <v>0</v>
      </c>
      <c r="F8" s="91">
        <v>0</v>
      </c>
      <c r="G8" s="91">
        <v>0</v>
      </c>
      <c r="H8" s="91"/>
      <c r="I8" s="9"/>
      <c r="K8" s="57"/>
    </row>
    <row r="9" spans="2:11" ht="15.75" customHeight="1">
      <c r="B9" s="8"/>
      <c r="C9" s="13" t="s">
        <v>186</v>
      </c>
      <c r="D9" s="231"/>
      <c r="E9" s="85">
        <v>12500</v>
      </c>
      <c r="F9" s="85">
        <v>13000</v>
      </c>
      <c r="G9" s="85">
        <v>13500</v>
      </c>
      <c r="H9" s="85">
        <v>10500</v>
      </c>
      <c r="I9" s="9"/>
      <c r="K9" s="57"/>
    </row>
    <row r="10" spans="2:11" ht="15.75" customHeight="1">
      <c r="B10" s="8"/>
      <c r="C10" s="13" t="s">
        <v>187</v>
      </c>
      <c r="D10" s="231"/>
      <c r="E10" s="91">
        <v>2700</v>
      </c>
      <c r="F10" s="91">
        <v>2800</v>
      </c>
      <c r="G10" s="91">
        <v>2900</v>
      </c>
      <c r="H10" s="91">
        <v>2100</v>
      </c>
      <c r="I10" s="9"/>
    </row>
    <row r="11" spans="2:11" ht="15.75" customHeight="1">
      <c r="B11" s="8"/>
      <c r="C11" s="13" t="s">
        <v>5</v>
      </c>
      <c r="D11" s="231"/>
      <c r="E11" s="356">
        <f>$D$8/4</f>
        <v>6000</v>
      </c>
      <c r="F11" s="356">
        <f>$D$8/4</f>
        <v>6000</v>
      </c>
      <c r="G11" s="356">
        <f>$D$8/4</f>
        <v>6000</v>
      </c>
      <c r="H11" s="356">
        <f>$D$8/4</f>
        <v>6000</v>
      </c>
      <c r="I11" s="9"/>
    </row>
    <row r="12" spans="2:11" ht="15.75" customHeight="1">
      <c r="B12" s="8"/>
      <c r="C12" s="13" t="s">
        <v>91</v>
      </c>
      <c r="D12" s="91">
        <v>300</v>
      </c>
      <c r="E12" s="91">
        <v>350</v>
      </c>
      <c r="F12" s="91">
        <v>400</v>
      </c>
      <c r="G12" s="91">
        <v>300</v>
      </c>
      <c r="H12" s="230" t="s">
        <v>188</v>
      </c>
      <c r="I12" s="9"/>
    </row>
    <row r="13" spans="2:11" ht="15.75" customHeight="1">
      <c r="B13" s="8"/>
      <c r="C13" s="13"/>
      <c r="D13" s="13"/>
      <c r="E13" s="13"/>
      <c r="F13" s="13"/>
      <c r="G13" s="13"/>
      <c r="H13" s="85"/>
      <c r="I13" s="9"/>
    </row>
    <row r="14" spans="2:11" ht="15.75" customHeight="1">
      <c r="B14" s="8"/>
      <c r="C14" s="13" t="s">
        <v>6</v>
      </c>
      <c r="D14" s="84">
        <v>0.34</v>
      </c>
      <c r="E14" s="13"/>
      <c r="F14" s="13"/>
      <c r="G14" s="13"/>
      <c r="H14" s="84"/>
      <c r="I14" s="9"/>
    </row>
    <row r="15" spans="2:11" ht="15.75" customHeight="1">
      <c r="B15" s="8"/>
      <c r="C15" s="13" t="s">
        <v>20</v>
      </c>
      <c r="D15" s="84">
        <v>0.12</v>
      </c>
      <c r="E15" s="13"/>
      <c r="F15" s="13"/>
      <c r="G15" s="13"/>
      <c r="H15" s="84"/>
      <c r="I15" s="9"/>
    </row>
    <row r="16" spans="2:11" ht="15.75" customHeight="1" thickBot="1">
      <c r="B16" s="10"/>
      <c r="C16" s="11"/>
      <c r="D16" s="11"/>
      <c r="E16" s="11"/>
      <c r="F16" s="11"/>
      <c r="G16" s="11"/>
      <c r="H16" s="11"/>
      <c r="I16" s="12"/>
    </row>
    <row r="17" spans="2:12" ht="15.75" customHeight="1"/>
    <row r="18" spans="2:12" ht="15.75" customHeight="1">
      <c r="C18" s="2" t="s">
        <v>2</v>
      </c>
      <c r="D18" s="2"/>
      <c r="E18" s="2"/>
      <c r="F18" s="2"/>
      <c r="G18" s="2"/>
    </row>
    <row r="19" spans="2:12" ht="15.75" customHeight="1" thickBot="1"/>
    <row r="20" spans="2:12" ht="15.75" customHeight="1">
      <c r="B20" s="15"/>
      <c r="C20" s="16"/>
      <c r="D20" s="16"/>
      <c r="E20" s="16"/>
      <c r="F20" s="16"/>
      <c r="G20" s="16"/>
      <c r="H20" s="16"/>
      <c r="I20" s="17"/>
      <c r="J20" s="30"/>
      <c r="K20" s="30"/>
      <c r="L20" s="30"/>
    </row>
    <row r="21" spans="2:12" ht="15.75" customHeight="1">
      <c r="B21" s="18"/>
      <c r="C21" s="19" t="s">
        <v>10</v>
      </c>
      <c r="D21" s="19"/>
      <c r="E21" s="80">
        <f t="shared" ref="E21:H23" si="0">E9</f>
        <v>12500</v>
      </c>
      <c r="F21" s="80">
        <f t="shared" si="0"/>
        <v>13000</v>
      </c>
      <c r="G21" s="80">
        <f t="shared" si="0"/>
        <v>13500</v>
      </c>
      <c r="H21" s="80">
        <f t="shared" si="0"/>
        <v>10500</v>
      </c>
      <c r="I21" s="21"/>
      <c r="J21" s="30"/>
      <c r="K21" s="30"/>
      <c r="L21" s="30"/>
    </row>
    <row r="22" spans="2:12" ht="15.75" customHeight="1">
      <c r="B22" s="18"/>
      <c r="C22" s="19" t="s">
        <v>14</v>
      </c>
      <c r="D22" s="19"/>
      <c r="E22" s="81">
        <f t="shared" si="0"/>
        <v>2700</v>
      </c>
      <c r="F22" s="81">
        <f t="shared" si="0"/>
        <v>2800</v>
      </c>
      <c r="G22" s="81">
        <f t="shared" si="0"/>
        <v>2900</v>
      </c>
      <c r="H22" s="81">
        <f t="shared" si="0"/>
        <v>2100</v>
      </c>
      <c r="I22" s="22"/>
      <c r="J22" s="30"/>
      <c r="K22" s="30"/>
      <c r="L22" s="31"/>
    </row>
    <row r="23" spans="2:12" ht="15.75" customHeight="1">
      <c r="B23" s="18"/>
      <c r="C23" s="19" t="s">
        <v>5</v>
      </c>
      <c r="D23" s="19"/>
      <c r="E23" s="83">
        <f t="shared" si="0"/>
        <v>6000</v>
      </c>
      <c r="F23" s="83">
        <f t="shared" si="0"/>
        <v>6000</v>
      </c>
      <c r="G23" s="83">
        <f t="shared" si="0"/>
        <v>6000</v>
      </c>
      <c r="H23" s="83">
        <f t="shared" si="0"/>
        <v>6000</v>
      </c>
      <c r="I23" s="21"/>
      <c r="J23" s="30"/>
      <c r="K23" s="30"/>
      <c r="L23" s="30"/>
    </row>
    <row r="24" spans="2:12" ht="15.75" customHeight="1">
      <c r="B24" s="18"/>
      <c r="C24" s="19" t="s">
        <v>8</v>
      </c>
      <c r="D24" s="19"/>
      <c r="E24" s="80">
        <f>E21-E22-E23</f>
        <v>3800</v>
      </c>
      <c r="F24" s="80">
        <f>F21-F22-F23</f>
        <v>4200</v>
      </c>
      <c r="G24" s="80">
        <f>G21-G22-G23</f>
        <v>4600</v>
      </c>
      <c r="H24" s="80">
        <f>H21-H22-H23</f>
        <v>2400</v>
      </c>
      <c r="I24" s="21"/>
      <c r="J24" s="30"/>
      <c r="K24" s="30"/>
      <c r="L24" s="30"/>
    </row>
    <row r="25" spans="2:12" ht="15.75" customHeight="1">
      <c r="B25" s="18"/>
      <c r="C25" s="226" t="s">
        <v>155</v>
      </c>
      <c r="D25" s="226"/>
      <c r="E25" s="232">
        <f>E24*$D$14</f>
        <v>1292</v>
      </c>
      <c r="F25" s="232">
        <f>F24*$D$14</f>
        <v>1428</v>
      </c>
      <c r="G25" s="232">
        <f>G24*$D$14</f>
        <v>1564</v>
      </c>
      <c r="H25" s="232">
        <f>H24*$D$14</f>
        <v>816.00000000000011</v>
      </c>
      <c r="I25" s="21"/>
      <c r="J25" s="30"/>
      <c r="K25" s="30"/>
      <c r="L25" s="30"/>
    </row>
    <row r="26" spans="2:12" ht="15.75" customHeight="1" thickBot="1">
      <c r="B26" s="18"/>
      <c r="C26" s="19" t="s">
        <v>115</v>
      </c>
      <c r="D26" s="19"/>
      <c r="E26" s="127">
        <f>E24-E25</f>
        <v>2508</v>
      </c>
      <c r="F26" s="127">
        <f>F24-F25</f>
        <v>2772</v>
      </c>
      <c r="G26" s="127">
        <f>G24-G25</f>
        <v>3036</v>
      </c>
      <c r="H26" s="127">
        <f>H24-H25</f>
        <v>1584</v>
      </c>
      <c r="I26" s="21"/>
      <c r="J26" s="30"/>
      <c r="K26" s="30"/>
      <c r="L26" s="30"/>
    </row>
    <row r="27" spans="2:12" ht="15.75" customHeight="1" thickTop="1">
      <c r="B27" s="18"/>
      <c r="C27" s="19"/>
      <c r="D27" s="19"/>
      <c r="E27" s="19"/>
      <c r="F27" s="19"/>
      <c r="G27" s="19"/>
      <c r="H27" s="97"/>
      <c r="I27" s="21"/>
      <c r="J27" s="30"/>
      <c r="K27" s="30"/>
      <c r="L27" s="30"/>
    </row>
    <row r="28" spans="2:12" ht="15.75" customHeight="1">
      <c r="B28" s="18"/>
      <c r="C28" s="19" t="s">
        <v>11</v>
      </c>
      <c r="D28" s="233">
        <v>0</v>
      </c>
      <c r="E28" s="80">
        <f>E26+E23</f>
        <v>8508</v>
      </c>
      <c r="F28" s="80">
        <f>F26+F23</f>
        <v>8772</v>
      </c>
      <c r="G28" s="80">
        <f>G26+G23</f>
        <v>9036</v>
      </c>
      <c r="H28" s="80">
        <f>H26+H23</f>
        <v>7584</v>
      </c>
      <c r="I28" s="21"/>
      <c r="J28" s="30"/>
      <c r="K28" s="30"/>
      <c r="L28" s="30"/>
    </row>
    <row r="29" spans="2:12" ht="15.75" customHeight="1">
      <c r="B29" s="18"/>
      <c r="C29" s="19" t="s">
        <v>119</v>
      </c>
      <c r="D29" s="80">
        <f>-D8</f>
        <v>-24000</v>
      </c>
      <c r="E29" s="81">
        <v>0</v>
      </c>
      <c r="F29" s="81">
        <v>0</v>
      </c>
      <c r="G29" s="81">
        <v>0</v>
      </c>
      <c r="H29" s="81">
        <v>0</v>
      </c>
      <c r="I29" s="21"/>
      <c r="J29" s="30"/>
      <c r="K29" s="30"/>
      <c r="L29" s="30"/>
    </row>
    <row r="30" spans="2:12" ht="15.75" customHeight="1">
      <c r="B30" s="18"/>
      <c r="C30" s="19" t="s">
        <v>189</v>
      </c>
      <c r="D30" s="83">
        <f>-D12</f>
        <v>-300</v>
      </c>
      <c r="E30" s="83">
        <f>-E12</f>
        <v>-350</v>
      </c>
      <c r="F30" s="83">
        <f>-F12</f>
        <v>-400</v>
      </c>
      <c r="G30" s="83">
        <f>-G12</f>
        <v>-300</v>
      </c>
      <c r="H30" s="83">
        <f>-(D30+E30+F30+G30)</f>
        <v>1350</v>
      </c>
      <c r="I30" s="21"/>
      <c r="J30" s="30"/>
      <c r="K30" s="30"/>
      <c r="L30" s="30"/>
    </row>
    <row r="31" spans="2:12" ht="15.75" customHeight="1">
      <c r="B31" s="18"/>
      <c r="C31" s="19" t="s">
        <v>190</v>
      </c>
      <c r="D31" s="80">
        <f>D28+D29+D30</f>
        <v>-24300</v>
      </c>
      <c r="E31" s="80">
        <f>E28+E29+E30</f>
        <v>8158</v>
      </c>
      <c r="F31" s="80">
        <f>F28+F29+F30</f>
        <v>8372</v>
      </c>
      <c r="G31" s="80">
        <f>G28+G29+G30</f>
        <v>8736</v>
      </c>
      <c r="H31" s="80">
        <f>H28+H29+H30</f>
        <v>8934</v>
      </c>
      <c r="I31" s="21"/>
      <c r="J31" s="30"/>
      <c r="K31" s="30"/>
      <c r="L31" s="30"/>
    </row>
    <row r="32" spans="2:12" ht="15.75" customHeight="1">
      <c r="B32" s="18"/>
      <c r="C32" s="19"/>
      <c r="D32" s="19"/>
      <c r="E32" s="79"/>
      <c r="F32" s="79"/>
      <c r="G32" s="79"/>
      <c r="H32" s="79"/>
      <c r="I32" s="21"/>
      <c r="J32" s="30"/>
      <c r="K32" s="30"/>
      <c r="L32" s="30"/>
    </row>
    <row r="33" spans="2:12" ht="15.75" customHeight="1">
      <c r="B33" s="18"/>
      <c r="C33" s="19" t="s">
        <v>21</v>
      </c>
      <c r="D33" s="172">
        <f>D31+NPV(D15,E31:H31)</f>
        <v>1553.8664716524327</v>
      </c>
      <c r="E33" s="19"/>
      <c r="F33" s="19"/>
      <c r="G33" s="19"/>
      <c r="H33" s="234"/>
      <c r="I33" s="21"/>
      <c r="J33" s="30"/>
      <c r="K33" s="30"/>
      <c r="L33" s="30"/>
    </row>
    <row r="34" spans="2:12" ht="15.75" customHeight="1" thickBot="1">
      <c r="B34" s="23"/>
      <c r="C34" s="53"/>
      <c r="D34" s="53"/>
      <c r="E34" s="53"/>
      <c r="F34" s="53"/>
      <c r="G34" s="53"/>
      <c r="H34" s="53"/>
      <c r="I34" s="25"/>
      <c r="J34" s="30"/>
      <c r="K34" s="30"/>
      <c r="L34" s="30"/>
    </row>
    <row r="35" spans="2:12" ht="15.75" customHeight="1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2" ht="15.75" customHeight="1"/>
    <row r="37" spans="2:12" ht="15.75" customHeight="1">
      <c r="H37" s="26"/>
    </row>
    <row r="38" spans="2:12" ht="15.75" customHeight="1"/>
    <row r="39" spans="2:12" ht="15.75" customHeight="1"/>
    <row r="40" spans="2:12" ht="15.75" customHeight="1"/>
    <row r="41" spans="2:12" ht="15.75" customHeight="1"/>
  </sheetData>
  <phoneticPr fontId="0" type="noConversion"/>
  <pageMargins left="0.75" right="0.75" top="1" bottom="1" header="0.5" footer="0.5"/>
  <pageSetup scale="76" orientation="portrait" horizontalDpi="360" verticalDpi="36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B1:H44"/>
  <sheetViews>
    <sheetView workbookViewId="0"/>
  </sheetViews>
  <sheetFormatPr defaultRowHeight="12.75"/>
  <cols>
    <col min="2" max="2" width="3.140625" customWidth="1"/>
    <col min="3" max="3" width="28.42578125" bestFit="1" customWidth="1"/>
    <col min="4" max="4" width="19.42578125" customWidth="1"/>
    <col min="5" max="5" width="3.140625" customWidth="1"/>
    <col min="8" max="8" width="3.140625" customWidth="1"/>
  </cols>
  <sheetData>
    <row r="1" spans="2:7" ht="18">
      <c r="C1" s="1" t="s">
        <v>436</v>
      </c>
    </row>
    <row r="2" spans="2:7" ht="15.75" customHeight="1">
      <c r="C2" s="3" t="s">
        <v>162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125</v>
      </c>
      <c r="D7" s="85">
        <v>640000</v>
      </c>
      <c r="E7" s="9"/>
      <c r="G7" s="57"/>
    </row>
    <row r="8" spans="2:7" ht="15.75" customHeight="1">
      <c r="B8" s="8"/>
      <c r="C8" s="13" t="s">
        <v>72</v>
      </c>
      <c r="D8" s="85">
        <v>55000</v>
      </c>
      <c r="E8" s="9"/>
    </row>
    <row r="9" spans="2:7" ht="15.75" customHeight="1">
      <c r="B9" s="8"/>
      <c r="C9" s="13" t="s">
        <v>6</v>
      </c>
      <c r="D9" s="84">
        <v>0.35</v>
      </c>
      <c r="E9" s="9"/>
    </row>
    <row r="10" spans="2:7" ht="15.75" customHeight="1">
      <c r="B10" s="8"/>
      <c r="C10" s="13" t="s">
        <v>20</v>
      </c>
      <c r="D10" s="84">
        <v>0.12</v>
      </c>
      <c r="E10" s="9"/>
    </row>
    <row r="11" spans="2:7" ht="15.75" customHeight="1">
      <c r="B11" s="8"/>
      <c r="C11" s="13" t="s">
        <v>51</v>
      </c>
      <c r="D11" s="85">
        <v>60000</v>
      </c>
      <c r="E11" s="9"/>
    </row>
    <row r="12" spans="2:7" ht="15.75" customHeight="1">
      <c r="B12" s="8"/>
      <c r="C12" s="13" t="s">
        <v>15</v>
      </c>
      <c r="D12" s="353">
        <v>0.33329999999999999</v>
      </c>
      <c r="E12" s="9"/>
    </row>
    <row r="13" spans="2:7" ht="15.75" customHeight="1">
      <c r="B13" s="8"/>
      <c r="C13" s="13"/>
      <c r="D13" s="353">
        <v>0.44450000000000001</v>
      </c>
      <c r="E13" s="9"/>
    </row>
    <row r="14" spans="2:7" ht="15.75" customHeight="1">
      <c r="B14" s="8"/>
      <c r="C14" s="13"/>
      <c r="D14" s="353">
        <v>0.14810000000000001</v>
      </c>
      <c r="E14" s="9"/>
    </row>
    <row r="15" spans="2:7" ht="15.75" customHeight="1">
      <c r="B15" s="8"/>
      <c r="C15" s="13"/>
      <c r="D15" s="353">
        <v>7.4099999999999999E-2</v>
      </c>
      <c r="E15" s="9"/>
    </row>
    <row r="16" spans="2:7" ht="15.75" customHeight="1" thickBot="1">
      <c r="B16" s="10"/>
      <c r="C16" s="66"/>
      <c r="D16" s="66"/>
      <c r="E16" s="12"/>
    </row>
    <row r="17" spans="2:8" ht="15.75" customHeight="1">
      <c r="B17" s="65"/>
      <c r="E17" s="65"/>
    </row>
    <row r="18" spans="2:8" ht="15.75" customHeight="1">
      <c r="C18" s="2" t="s">
        <v>2</v>
      </c>
    </row>
    <row r="19" spans="2:8" ht="15.75" customHeight="1" thickBot="1"/>
    <row r="20" spans="2:8" ht="15.75" customHeight="1">
      <c r="B20" s="15"/>
      <c r="C20" s="16"/>
      <c r="D20" s="16"/>
      <c r="E20" s="17"/>
    </row>
    <row r="21" spans="2:8" ht="15.75" customHeight="1">
      <c r="B21" s="18"/>
      <c r="C21" s="19" t="s">
        <v>28</v>
      </c>
      <c r="D21" s="142">
        <f>D11*(1-D9)</f>
        <v>39000</v>
      </c>
      <c r="E21" s="21"/>
      <c r="F21" s="30"/>
      <c r="G21" s="30"/>
      <c r="H21" s="30"/>
    </row>
    <row r="22" spans="2:8" ht="15.75" customHeight="1">
      <c r="B22" s="18"/>
      <c r="C22" s="19" t="s">
        <v>442</v>
      </c>
      <c r="D22" s="142">
        <f>$D$7*D12</f>
        <v>213312</v>
      </c>
      <c r="E22" s="21"/>
      <c r="F22" s="30"/>
      <c r="G22" s="30"/>
      <c r="H22" s="30"/>
    </row>
    <row r="23" spans="2:8" ht="15.75" customHeight="1">
      <c r="B23" s="18"/>
      <c r="C23" s="19" t="s">
        <v>443</v>
      </c>
      <c r="D23" s="142">
        <f>$D$7*D13</f>
        <v>284480</v>
      </c>
      <c r="E23" s="21"/>
      <c r="F23" s="30"/>
      <c r="G23" s="30"/>
      <c r="H23" s="30"/>
    </row>
    <row r="24" spans="2:8" ht="15.75" customHeight="1">
      <c r="B24" s="18"/>
      <c r="C24" s="19" t="s">
        <v>444</v>
      </c>
      <c r="D24" s="142">
        <f>$D$7*D14</f>
        <v>94784</v>
      </c>
      <c r="E24" s="21"/>
      <c r="F24" s="30"/>
      <c r="G24" s="30"/>
      <c r="H24" s="30"/>
    </row>
    <row r="25" spans="2:8" ht="15.75" customHeight="1">
      <c r="B25" s="18"/>
      <c r="C25" s="19" t="s">
        <v>445</v>
      </c>
      <c r="D25" s="142">
        <f>$D$7*D15</f>
        <v>47424</v>
      </c>
      <c r="E25" s="21"/>
      <c r="F25" s="30"/>
      <c r="G25" s="30"/>
      <c r="H25" s="30"/>
    </row>
    <row r="26" spans="2:8" ht="15.75" customHeight="1">
      <c r="B26" s="18"/>
      <c r="C26" s="19" t="s">
        <v>158</v>
      </c>
      <c r="D26" s="142">
        <f>$D$9*($D$7*D12)</f>
        <v>74659.199999999997</v>
      </c>
      <c r="E26" s="21"/>
      <c r="F26" s="30"/>
      <c r="G26" s="30"/>
      <c r="H26" s="30"/>
    </row>
    <row r="27" spans="2:8" ht="15.75" customHeight="1">
      <c r="B27" s="18"/>
      <c r="C27" s="19" t="s">
        <v>159</v>
      </c>
      <c r="D27" s="142">
        <f>$D$9*($D$7*D13)</f>
        <v>99568</v>
      </c>
      <c r="E27" s="21"/>
      <c r="F27" s="30"/>
      <c r="G27" s="30"/>
      <c r="H27" s="30"/>
    </row>
    <row r="28" spans="2:8" ht="15.75" customHeight="1">
      <c r="B28" s="18"/>
      <c r="C28" s="19" t="s">
        <v>160</v>
      </c>
      <c r="D28" s="142">
        <f>$D$9*($D$7*D14)</f>
        <v>33174.400000000001</v>
      </c>
      <c r="E28" s="21"/>
      <c r="F28" s="30"/>
      <c r="G28" s="30"/>
      <c r="H28" s="30"/>
    </row>
    <row r="29" spans="2:8" ht="15.75" customHeight="1">
      <c r="B29" s="18"/>
      <c r="C29" s="19" t="s">
        <v>161</v>
      </c>
      <c r="D29" s="142">
        <f>$D$9*($D$7*D15)</f>
        <v>16598.399999999998</v>
      </c>
      <c r="E29" s="21"/>
      <c r="F29" s="30"/>
      <c r="G29" s="30"/>
      <c r="H29" s="30"/>
    </row>
    <row r="30" spans="2:8" ht="15.75" customHeight="1">
      <c r="B30" s="18"/>
      <c r="C30" s="19" t="s">
        <v>92</v>
      </c>
      <c r="D30" s="142">
        <f>-(D7+D8)</f>
        <v>-695000</v>
      </c>
      <c r="E30" s="21"/>
      <c r="F30" s="30"/>
      <c r="G30" s="30"/>
      <c r="H30" s="30"/>
    </row>
    <row r="31" spans="2:8" ht="15.75" customHeight="1">
      <c r="B31" s="18"/>
      <c r="C31" s="19" t="s">
        <v>126</v>
      </c>
      <c r="D31" s="142">
        <f>NPV(D10,D26,D27,D28,D29,D21+D8)+D30</f>
        <v>-461465.40963679575</v>
      </c>
      <c r="E31" s="21"/>
      <c r="F31" s="30"/>
      <c r="G31" s="30"/>
      <c r="H31" s="30"/>
    </row>
    <row r="32" spans="2:8" ht="15.75" customHeight="1">
      <c r="B32" s="18"/>
      <c r="C32" s="19"/>
      <c r="D32" s="148"/>
      <c r="E32" s="21"/>
      <c r="F32" s="30"/>
      <c r="G32" s="30"/>
      <c r="H32" s="30"/>
    </row>
    <row r="33" spans="2:8" ht="15.75" customHeight="1">
      <c r="B33" s="18"/>
      <c r="C33" s="19" t="s">
        <v>127</v>
      </c>
      <c r="D33" s="164">
        <f>-D31/((1-D9)*PV(D10,5,-1,0))</f>
        <v>196946.14705755349</v>
      </c>
      <c r="E33" s="22"/>
      <c r="F33" s="30"/>
      <c r="G33" s="30"/>
      <c r="H33" s="31"/>
    </row>
    <row r="34" spans="2:8" ht="15.75" customHeight="1" thickBot="1">
      <c r="B34" s="23"/>
      <c r="C34" s="24"/>
      <c r="D34" s="24"/>
      <c r="E34" s="25"/>
      <c r="F34" s="30"/>
      <c r="G34" s="30"/>
      <c r="H34" s="30"/>
    </row>
    <row r="35" spans="2:8" ht="15.75" customHeight="1">
      <c r="B35" s="14"/>
      <c r="E35" s="14"/>
      <c r="F35" s="14"/>
      <c r="G35" s="14"/>
      <c r="H35" s="14"/>
    </row>
    <row r="36" spans="2:8" ht="15.75" customHeight="1">
      <c r="D36" s="26"/>
    </row>
    <row r="37" spans="2:8" ht="15.75" customHeight="1"/>
    <row r="38" spans="2:8" ht="15.75" customHeight="1"/>
    <row r="39" spans="2:8" ht="15.75" customHeight="1"/>
    <row r="40" spans="2:8" ht="15.75" customHeight="1"/>
    <row r="41" spans="2:8" ht="15.75" customHeight="1"/>
    <row r="42" spans="2:8" ht="15.75" customHeight="1"/>
    <row r="43" spans="2:8" ht="15.75" customHeight="1"/>
    <row r="44" spans="2:8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B1:H41"/>
  <sheetViews>
    <sheetView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8" max="8" width="3.140625" customWidth="1"/>
  </cols>
  <sheetData>
    <row r="1" spans="2:7" ht="18">
      <c r="C1" s="1" t="s">
        <v>436</v>
      </c>
    </row>
    <row r="2" spans="2:7" ht="15.75" customHeight="1">
      <c r="C2" s="3" t="s">
        <v>322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89</v>
      </c>
      <c r="D7" s="145">
        <v>140000</v>
      </c>
      <c r="E7" s="9"/>
      <c r="G7" s="57"/>
    </row>
    <row r="8" spans="2:7" ht="15.75" customHeight="1">
      <c r="B8" s="8"/>
      <c r="C8" s="13" t="s">
        <v>90</v>
      </c>
      <c r="D8" s="85">
        <v>1800000</v>
      </c>
      <c r="E8" s="9"/>
      <c r="G8" s="57"/>
    </row>
    <row r="9" spans="2:7" ht="15.75" customHeight="1">
      <c r="B9" s="8"/>
      <c r="C9" s="13" t="s">
        <v>33</v>
      </c>
      <c r="D9" s="85">
        <v>150000</v>
      </c>
      <c r="E9" s="9"/>
      <c r="G9" s="57"/>
    </row>
    <row r="10" spans="2:7" ht="15.75" customHeight="1">
      <c r="B10" s="8"/>
      <c r="C10" s="13" t="s">
        <v>81</v>
      </c>
      <c r="D10" s="85">
        <v>265000</v>
      </c>
      <c r="E10" s="9"/>
      <c r="G10" s="57"/>
    </row>
    <row r="11" spans="2:7" ht="15.75" customHeight="1">
      <c r="B11" s="8"/>
      <c r="C11" s="13" t="s">
        <v>59</v>
      </c>
      <c r="D11" s="85"/>
      <c r="E11" s="9"/>
    </row>
    <row r="12" spans="2:7" ht="15.75" customHeight="1">
      <c r="B12" s="8"/>
      <c r="C12" s="13" t="s">
        <v>60</v>
      </c>
      <c r="D12" s="295">
        <v>8.5</v>
      </c>
      <c r="E12" s="9"/>
    </row>
    <row r="13" spans="2:7" ht="15.75" customHeight="1">
      <c r="B13" s="8"/>
      <c r="C13" s="13" t="s">
        <v>91</v>
      </c>
      <c r="D13" s="85">
        <v>130000</v>
      </c>
      <c r="E13" s="9"/>
    </row>
    <row r="14" spans="2:7" ht="15.75" customHeight="1">
      <c r="B14" s="8"/>
      <c r="C14" s="13" t="s">
        <v>6</v>
      </c>
      <c r="D14" s="84">
        <v>0.35</v>
      </c>
      <c r="E14" s="9"/>
    </row>
    <row r="15" spans="2:7" ht="15.75" customHeight="1">
      <c r="B15" s="8"/>
      <c r="C15" s="13" t="s">
        <v>20</v>
      </c>
      <c r="D15" s="84">
        <v>0.14000000000000001</v>
      </c>
      <c r="E15" s="9"/>
    </row>
    <row r="16" spans="2:7" ht="15.75" customHeight="1">
      <c r="B16" s="8"/>
      <c r="C16" s="13" t="s">
        <v>35</v>
      </c>
      <c r="D16" s="96"/>
      <c r="E16" s="9"/>
    </row>
    <row r="17" spans="2:8" ht="15.75" customHeight="1">
      <c r="B17" s="8"/>
      <c r="C17" s="13" t="s">
        <v>36</v>
      </c>
      <c r="D17" s="96">
        <v>5</v>
      </c>
      <c r="E17" s="9"/>
    </row>
    <row r="18" spans="2:8" ht="15.75" customHeight="1" thickBot="1">
      <c r="B18" s="10"/>
      <c r="C18" s="66"/>
      <c r="D18" s="66"/>
      <c r="E18" s="12"/>
    </row>
    <row r="19" spans="2:8" ht="15.75" customHeight="1">
      <c r="B19" s="65"/>
      <c r="E19" s="65"/>
    </row>
    <row r="20" spans="2:8" ht="15.75" customHeight="1">
      <c r="C20" s="2" t="s">
        <v>2</v>
      </c>
    </row>
    <row r="21" spans="2:8" ht="15.75" customHeight="1" thickBot="1"/>
    <row r="22" spans="2:8" ht="15.75" customHeight="1">
      <c r="B22" s="15"/>
      <c r="C22" s="16"/>
      <c r="D22" s="16"/>
      <c r="E22" s="17"/>
    </row>
    <row r="23" spans="2:8" ht="15.75" customHeight="1">
      <c r="B23" s="18"/>
      <c r="C23" s="19" t="s">
        <v>28</v>
      </c>
      <c r="D23" s="142">
        <f>D9*(1-D14)</f>
        <v>97500</v>
      </c>
      <c r="E23" s="21"/>
      <c r="F23" s="30"/>
      <c r="G23" s="30"/>
      <c r="H23" s="30"/>
    </row>
    <row r="24" spans="2:8" ht="15.75" customHeight="1">
      <c r="B24" s="18"/>
      <c r="C24" s="19" t="s">
        <v>12</v>
      </c>
      <c r="D24" s="142">
        <f>(D8/D17)*D14</f>
        <v>125999.99999999999</v>
      </c>
      <c r="E24" s="21"/>
      <c r="F24" s="30"/>
      <c r="G24" s="30"/>
      <c r="H24" s="30"/>
    </row>
    <row r="25" spans="2:8" ht="15.75" customHeight="1">
      <c r="B25" s="18"/>
      <c r="C25" s="19" t="s">
        <v>92</v>
      </c>
      <c r="D25" s="142">
        <f>-D8-D13</f>
        <v>-1930000</v>
      </c>
      <c r="E25" s="21"/>
      <c r="F25" s="30"/>
      <c r="G25" s="30"/>
      <c r="H25" s="30"/>
    </row>
    <row r="26" spans="2:8" ht="15.75" customHeight="1">
      <c r="B26" s="18"/>
      <c r="C26" s="19" t="s">
        <v>84</v>
      </c>
      <c r="D26" s="142">
        <f>D25+(D13+D23)/((1+D15)^D17)</f>
        <v>-1811843.6288581421</v>
      </c>
      <c r="E26" s="21"/>
      <c r="F26" s="30"/>
      <c r="G26" s="30"/>
      <c r="H26" s="30"/>
    </row>
    <row r="27" spans="2:8" ht="15.75" customHeight="1">
      <c r="B27" s="18"/>
      <c r="C27" s="19" t="s">
        <v>93</v>
      </c>
      <c r="D27" s="142">
        <f>PMT(D15,D17,D26)</f>
        <v>527760.23790100135</v>
      </c>
      <c r="E27" s="21"/>
      <c r="F27" s="30"/>
      <c r="G27" s="30"/>
      <c r="H27" s="30"/>
    </row>
    <row r="28" spans="2:8" ht="15.75" customHeight="1">
      <c r="B28" s="18"/>
      <c r="C28" s="19" t="s">
        <v>94</v>
      </c>
      <c r="D28" s="142">
        <f>D27-D24</f>
        <v>401760.23790100135</v>
      </c>
      <c r="E28" s="21"/>
      <c r="F28" s="30"/>
      <c r="G28" s="30"/>
      <c r="H28" s="30"/>
    </row>
    <row r="29" spans="2:8" ht="15.75" customHeight="1">
      <c r="B29" s="18"/>
      <c r="C29" s="19"/>
      <c r="D29" s="148"/>
      <c r="E29" s="21"/>
      <c r="F29" s="30"/>
      <c r="G29" s="30"/>
      <c r="H29" s="30"/>
    </row>
    <row r="30" spans="2:8" ht="15.75" customHeight="1">
      <c r="B30" s="18"/>
      <c r="C30" s="19" t="s">
        <v>95</v>
      </c>
      <c r="D30" s="139">
        <f>(((D28/(1-D14))+D10)/D7)+D12</f>
        <v>14.807804812098915</v>
      </c>
      <c r="E30" s="22"/>
      <c r="F30" s="30"/>
      <c r="G30" s="30"/>
      <c r="H30" s="31"/>
    </row>
    <row r="31" spans="2:8" ht="15.75" customHeight="1" thickBot="1">
      <c r="B31" s="23"/>
      <c r="C31" s="24"/>
      <c r="D31" s="24"/>
      <c r="E31" s="25"/>
      <c r="F31" s="30"/>
      <c r="G31" s="30"/>
      <c r="H31" s="30"/>
    </row>
    <row r="32" spans="2:8" ht="15.75" customHeight="1">
      <c r="B32" s="14"/>
      <c r="E32" s="14"/>
      <c r="F32" s="14"/>
      <c r="G32" s="14"/>
      <c r="H32" s="14"/>
    </row>
    <row r="33" spans="4:4" ht="15.75" customHeight="1">
      <c r="D33" s="26"/>
    </row>
    <row r="34" spans="4:4" ht="15.75" customHeight="1"/>
    <row r="35" spans="4:4" ht="15.75" customHeight="1"/>
    <row r="36" spans="4:4" ht="15.75" customHeight="1"/>
    <row r="37" spans="4:4" ht="15.75" customHeight="1"/>
    <row r="38" spans="4:4" ht="15.75" customHeight="1"/>
    <row r="39" spans="4:4" ht="15.75" customHeight="1"/>
    <row r="40" spans="4:4" ht="15.75" customHeight="1"/>
    <row r="41" spans="4:4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B1:J122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9" width="19.42578125" customWidth="1"/>
    <col min="10" max="10" width="4.7109375" customWidth="1"/>
  </cols>
  <sheetData>
    <row r="1" spans="2:7" ht="18">
      <c r="C1" s="1" t="s">
        <v>436</v>
      </c>
    </row>
    <row r="2" spans="2:7" ht="15.75" customHeight="1">
      <c r="C2" s="3" t="s">
        <v>323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89</v>
      </c>
      <c r="D7" s="151">
        <f ca="1">'#30'!D7</f>
        <v>140000</v>
      </c>
      <c r="E7" s="9"/>
      <c r="G7" s="57"/>
    </row>
    <row r="8" spans="2:7" ht="15.75" customHeight="1">
      <c r="B8" s="8"/>
      <c r="C8" s="13" t="s">
        <v>90</v>
      </c>
      <c r="D8" s="128">
        <f ca="1">'#30'!D8</f>
        <v>1800000</v>
      </c>
      <c r="E8" s="9"/>
      <c r="G8" s="57"/>
    </row>
    <row r="9" spans="2:7" ht="15.75" customHeight="1">
      <c r="B9" s="8"/>
      <c r="C9" s="13" t="s">
        <v>33</v>
      </c>
      <c r="D9" s="128">
        <f ca="1">'#30'!D9</f>
        <v>150000</v>
      </c>
      <c r="E9" s="9"/>
      <c r="G9" s="57"/>
    </row>
    <row r="10" spans="2:7" ht="15.75" customHeight="1">
      <c r="B10" s="8"/>
      <c r="C10" s="13" t="s">
        <v>81</v>
      </c>
      <c r="D10" s="128">
        <f ca="1">'#30'!D10</f>
        <v>265000</v>
      </c>
      <c r="E10" s="9"/>
      <c r="G10" s="57"/>
    </row>
    <row r="11" spans="2:7" ht="15.75" customHeight="1">
      <c r="B11" s="8"/>
      <c r="C11" s="13" t="s">
        <v>59</v>
      </c>
      <c r="D11" s="128"/>
      <c r="E11" s="9"/>
    </row>
    <row r="12" spans="2:7" ht="15.75" customHeight="1">
      <c r="B12" s="8"/>
      <c r="C12" s="13" t="s">
        <v>60</v>
      </c>
      <c r="D12" s="225">
        <f ca="1">'#30'!D12</f>
        <v>8.5</v>
      </c>
      <c r="E12" s="9"/>
    </row>
    <row r="13" spans="2:7" ht="15.75" customHeight="1">
      <c r="B13" s="8"/>
      <c r="C13" s="13" t="s">
        <v>91</v>
      </c>
      <c r="D13" s="128">
        <f ca="1">'#30'!D13</f>
        <v>130000</v>
      </c>
      <c r="E13" s="9"/>
    </row>
    <row r="14" spans="2:7" ht="15.75" customHeight="1">
      <c r="B14" s="8"/>
      <c r="C14" s="13" t="s">
        <v>6</v>
      </c>
      <c r="D14" s="132">
        <f ca="1">'#30'!D14</f>
        <v>0.35</v>
      </c>
      <c r="E14" s="9"/>
    </row>
    <row r="15" spans="2:7" ht="15.75" customHeight="1">
      <c r="B15" s="8"/>
      <c r="C15" s="13" t="s">
        <v>20</v>
      </c>
      <c r="D15" s="132">
        <f ca="1">'#30'!D15</f>
        <v>0.14000000000000001</v>
      </c>
      <c r="E15" s="9"/>
    </row>
    <row r="16" spans="2:7" ht="15.75" customHeight="1">
      <c r="B16" s="8"/>
      <c r="C16" s="13" t="s">
        <v>34</v>
      </c>
      <c r="D16" s="141"/>
      <c r="E16" s="9"/>
    </row>
    <row r="17" spans="2:10" ht="15.75" customHeight="1">
      <c r="B17" s="8"/>
      <c r="C17" s="13" t="s">
        <v>36</v>
      </c>
      <c r="D17" s="141">
        <f ca="1">'#30'!D17</f>
        <v>5</v>
      </c>
      <c r="E17" s="9"/>
    </row>
    <row r="18" spans="2:10" ht="15.75" customHeight="1">
      <c r="B18" s="8"/>
      <c r="C18" s="165" t="s">
        <v>128</v>
      </c>
      <c r="D18" s="166">
        <v>16</v>
      </c>
      <c r="E18" s="9"/>
    </row>
    <row r="19" spans="2:10" ht="15.75" customHeight="1" thickBot="1">
      <c r="B19" s="10"/>
      <c r="C19" s="66"/>
      <c r="D19" s="66"/>
      <c r="E19" s="12"/>
    </row>
    <row r="20" spans="2:10" ht="15.75" customHeight="1">
      <c r="B20" s="65"/>
      <c r="E20" s="65"/>
    </row>
    <row r="21" spans="2:10" ht="15.75" customHeight="1">
      <c r="C21" s="2" t="s">
        <v>2</v>
      </c>
    </row>
    <row r="22" spans="2:10" ht="15.75" customHeight="1" thickBot="1"/>
    <row r="23" spans="2:10" ht="15.75" customHeight="1">
      <c r="B23" s="69"/>
      <c r="C23" s="70"/>
      <c r="D23" s="70"/>
      <c r="E23" s="70"/>
      <c r="F23" s="70"/>
      <c r="G23" s="70"/>
      <c r="H23" s="70"/>
      <c r="I23" s="70"/>
      <c r="J23" s="156"/>
    </row>
    <row r="24" spans="2:10" ht="15.75" customHeight="1">
      <c r="B24" s="71"/>
      <c r="C24" s="19" t="s">
        <v>28</v>
      </c>
      <c r="D24" s="122">
        <f>D9*(1-D14)</f>
        <v>97500</v>
      </c>
      <c r="E24" s="19"/>
      <c r="F24" s="19"/>
      <c r="G24" s="19"/>
      <c r="H24" s="19"/>
      <c r="I24" s="19"/>
      <c r="J24" s="22"/>
    </row>
    <row r="25" spans="2:10" ht="15.75" customHeight="1">
      <c r="B25" s="71"/>
      <c r="C25" s="19"/>
      <c r="D25" s="19"/>
      <c r="E25" s="19"/>
      <c r="F25" s="19"/>
      <c r="G25" s="19"/>
      <c r="H25" s="19"/>
      <c r="I25" s="19"/>
      <c r="J25" s="22"/>
    </row>
    <row r="26" spans="2:10" ht="15.75" customHeight="1">
      <c r="B26" s="167" t="s">
        <v>129</v>
      </c>
      <c r="C26" s="158" t="s">
        <v>24</v>
      </c>
      <c r="D26" s="157">
        <v>0</v>
      </c>
      <c r="E26" s="157">
        <v>1</v>
      </c>
      <c r="F26" s="157">
        <v>2</v>
      </c>
      <c r="G26" s="157">
        <v>3</v>
      </c>
      <c r="H26" s="157">
        <v>4</v>
      </c>
      <c r="I26" s="157">
        <v>5</v>
      </c>
      <c r="J26" s="22"/>
    </row>
    <row r="27" spans="2:10" ht="15.75" customHeight="1">
      <c r="B27" s="71"/>
      <c r="C27" s="19" t="s">
        <v>10</v>
      </c>
      <c r="D27" s="138"/>
      <c r="E27" s="80">
        <f>$D$7*$D$18</f>
        <v>2240000</v>
      </c>
      <c r="F27" s="80">
        <f>$D$7*$D$18</f>
        <v>2240000</v>
      </c>
      <c r="G27" s="80">
        <f>$D$7*$D$18</f>
        <v>2240000</v>
      </c>
      <c r="H27" s="80">
        <f>$D$7*$D$18</f>
        <v>2240000</v>
      </c>
      <c r="I27" s="80">
        <f>$D$7*$D$18</f>
        <v>2240000</v>
      </c>
      <c r="J27" s="22"/>
    </row>
    <row r="28" spans="2:10" ht="15.75" customHeight="1">
      <c r="B28" s="71"/>
      <c r="C28" s="19" t="s">
        <v>80</v>
      </c>
      <c r="D28" s="138"/>
      <c r="E28" s="81">
        <f>$D$7*$D$12</f>
        <v>1190000</v>
      </c>
      <c r="F28" s="81">
        <f>$D$7*$D$12</f>
        <v>1190000</v>
      </c>
      <c r="G28" s="81">
        <f>$D$7*$D$12</f>
        <v>1190000</v>
      </c>
      <c r="H28" s="81">
        <f>$D$7*$D$12</f>
        <v>1190000</v>
      </c>
      <c r="I28" s="81">
        <f>$D$7*$D$12</f>
        <v>1190000</v>
      </c>
      <c r="J28" s="22"/>
    </row>
    <row r="29" spans="2:10" ht="15.75" customHeight="1">
      <c r="B29" s="71"/>
      <c r="C29" s="19" t="s">
        <v>81</v>
      </c>
      <c r="D29" s="138"/>
      <c r="E29" s="81">
        <f>$D$10</f>
        <v>265000</v>
      </c>
      <c r="F29" s="81">
        <f>$D$10</f>
        <v>265000</v>
      </c>
      <c r="G29" s="81">
        <f>$D$10</f>
        <v>265000</v>
      </c>
      <c r="H29" s="81">
        <f>$D$10</f>
        <v>265000</v>
      </c>
      <c r="I29" s="81">
        <f>$D$10</f>
        <v>265000</v>
      </c>
      <c r="J29" s="22"/>
    </row>
    <row r="30" spans="2:10" ht="15.75" customHeight="1">
      <c r="B30" s="71"/>
      <c r="C30" s="19" t="s">
        <v>5</v>
      </c>
      <c r="D30" s="138"/>
      <c r="E30" s="83">
        <f>$D$8/$D$17</f>
        <v>360000</v>
      </c>
      <c r="F30" s="83">
        <f>$D$8/$D$17</f>
        <v>360000</v>
      </c>
      <c r="G30" s="83">
        <f>$D$8/$D$17</f>
        <v>360000</v>
      </c>
      <c r="H30" s="83">
        <f>$D$8/$D$17</f>
        <v>360000</v>
      </c>
      <c r="I30" s="83">
        <f>$D$8/$D$17</f>
        <v>360000</v>
      </c>
      <c r="J30" s="22"/>
    </row>
    <row r="31" spans="2:10" ht="15.75" customHeight="1">
      <c r="B31" s="71"/>
      <c r="C31" s="19" t="s">
        <v>114</v>
      </c>
      <c r="D31" s="138"/>
      <c r="E31" s="80">
        <f>E27-E28-E29-E30</f>
        <v>425000</v>
      </c>
      <c r="F31" s="80">
        <f>F27-F28-F29-F30</f>
        <v>425000</v>
      </c>
      <c r="G31" s="80">
        <f>G27-G28-G29-G30</f>
        <v>425000</v>
      </c>
      <c r="H31" s="80">
        <f>H27-H28-H29-H30</f>
        <v>425000</v>
      </c>
      <c r="I31" s="80">
        <f>I27-I28-I29-I30</f>
        <v>425000</v>
      </c>
      <c r="J31" s="22"/>
    </row>
    <row r="32" spans="2:10" ht="15.75" customHeight="1">
      <c r="B32" s="71"/>
      <c r="C32" s="19" t="s">
        <v>79</v>
      </c>
      <c r="D32" s="138"/>
      <c r="E32" s="83">
        <f>$E$31*$D$14</f>
        <v>148750</v>
      </c>
      <c r="F32" s="83">
        <f>$E$31*$D$14</f>
        <v>148750</v>
      </c>
      <c r="G32" s="83">
        <f>$E$31*$D$14</f>
        <v>148750</v>
      </c>
      <c r="H32" s="83">
        <f>$E$31*$D$14</f>
        <v>148750</v>
      </c>
      <c r="I32" s="83">
        <f>$E$31*$D$14</f>
        <v>148750</v>
      </c>
      <c r="J32" s="22"/>
    </row>
    <row r="33" spans="2:10" ht="15.75" customHeight="1">
      <c r="B33" s="71"/>
      <c r="C33" s="19" t="s">
        <v>115</v>
      </c>
      <c r="D33" s="138"/>
      <c r="E33" s="80">
        <f>E31-E32</f>
        <v>276250</v>
      </c>
      <c r="F33" s="80">
        <f>F31-F32</f>
        <v>276250</v>
      </c>
      <c r="G33" s="80">
        <f>G31-G32</f>
        <v>276250</v>
      </c>
      <c r="H33" s="80">
        <f>H31-H32</f>
        <v>276250</v>
      </c>
      <c r="I33" s="80">
        <f>I31-I32</f>
        <v>276250</v>
      </c>
      <c r="J33" s="22"/>
    </row>
    <row r="34" spans="2:10" ht="15.75" customHeight="1">
      <c r="B34" s="71"/>
      <c r="C34" s="19" t="s">
        <v>5</v>
      </c>
      <c r="D34" s="138"/>
      <c r="E34" s="81">
        <f>E30</f>
        <v>360000</v>
      </c>
      <c r="F34" s="81">
        <f>F30</f>
        <v>360000</v>
      </c>
      <c r="G34" s="81">
        <f>G30</f>
        <v>360000</v>
      </c>
      <c r="H34" s="81">
        <f>H30</f>
        <v>360000</v>
      </c>
      <c r="I34" s="81">
        <f>I30</f>
        <v>360000</v>
      </c>
      <c r="J34" s="22"/>
    </row>
    <row r="35" spans="2:10" ht="15.75" customHeight="1" thickBot="1">
      <c r="B35" s="71"/>
      <c r="C35" s="19" t="s">
        <v>116</v>
      </c>
      <c r="D35" s="138"/>
      <c r="E35" s="127">
        <f>E33+E34</f>
        <v>636250</v>
      </c>
      <c r="F35" s="127">
        <f>F33+F34</f>
        <v>636250</v>
      </c>
      <c r="G35" s="127">
        <f>G33+G34</f>
        <v>636250</v>
      </c>
      <c r="H35" s="127">
        <f>H33+H34</f>
        <v>636250</v>
      </c>
      <c r="I35" s="127">
        <f>I33+I34</f>
        <v>636250</v>
      </c>
      <c r="J35" s="22"/>
    </row>
    <row r="36" spans="2:10" ht="15.75" customHeight="1" thickTop="1">
      <c r="B36" s="71"/>
      <c r="C36" s="19"/>
      <c r="D36" s="138"/>
      <c r="E36" s="80"/>
      <c r="F36" s="80"/>
      <c r="G36" s="80"/>
      <c r="H36" s="80"/>
      <c r="I36" s="80"/>
      <c r="J36" s="22"/>
    </row>
    <row r="37" spans="2:10" ht="15.75" customHeight="1">
      <c r="B37" s="71"/>
      <c r="C37" s="159" t="s">
        <v>117</v>
      </c>
      <c r="D37" s="142"/>
      <c r="E37" s="142"/>
      <c r="F37" s="142"/>
      <c r="G37" s="142"/>
      <c r="H37" s="142"/>
      <c r="I37" s="142"/>
      <c r="J37" s="22"/>
    </row>
    <row r="38" spans="2:10" ht="15.75" customHeight="1">
      <c r="B38" s="71"/>
      <c r="C38" s="19" t="s">
        <v>116</v>
      </c>
      <c r="D38" s="97"/>
      <c r="E38" s="97">
        <f>E35</f>
        <v>636250</v>
      </c>
      <c r="F38" s="97">
        <f>F35</f>
        <v>636250</v>
      </c>
      <c r="G38" s="97">
        <f>G35</f>
        <v>636250</v>
      </c>
      <c r="H38" s="97">
        <f>H35</f>
        <v>636250</v>
      </c>
      <c r="I38" s="97">
        <f>I35</f>
        <v>636250</v>
      </c>
      <c r="J38" s="22"/>
    </row>
    <row r="39" spans="2:10" ht="15.75" customHeight="1">
      <c r="B39" s="71"/>
      <c r="C39" s="19" t="s">
        <v>118</v>
      </c>
      <c r="D39" s="97">
        <f>-$D$13</f>
        <v>-130000</v>
      </c>
      <c r="E39" s="140"/>
      <c r="F39" s="140"/>
      <c r="G39" s="140"/>
      <c r="H39" s="140"/>
      <c r="I39" s="140">
        <f>D13</f>
        <v>130000</v>
      </c>
      <c r="J39" s="22"/>
    </row>
    <row r="40" spans="2:10" ht="15.75" customHeight="1">
      <c r="B40" s="71"/>
      <c r="C40" s="19" t="s">
        <v>119</v>
      </c>
      <c r="D40" s="140">
        <f>-$D$8</f>
        <v>-1800000</v>
      </c>
      <c r="E40" s="140"/>
      <c r="F40" s="140"/>
      <c r="G40" s="140"/>
      <c r="H40" s="140"/>
      <c r="I40" s="140">
        <f>$D$24</f>
        <v>97500</v>
      </c>
      <c r="J40" s="22"/>
    </row>
    <row r="41" spans="2:10" ht="15.75" customHeight="1" thickBot="1">
      <c r="B41" s="71"/>
      <c r="C41" s="19" t="s">
        <v>120</v>
      </c>
      <c r="D41" s="160">
        <f t="shared" ref="D41:I41" si="0">D38+D39+D40</f>
        <v>-1930000</v>
      </c>
      <c r="E41" s="161">
        <f t="shared" si="0"/>
        <v>636250</v>
      </c>
      <c r="F41" s="161">
        <f t="shared" si="0"/>
        <v>636250</v>
      </c>
      <c r="G41" s="161">
        <f t="shared" si="0"/>
        <v>636250</v>
      </c>
      <c r="H41" s="161">
        <f t="shared" si="0"/>
        <v>636250</v>
      </c>
      <c r="I41" s="161">
        <f t="shared" si="0"/>
        <v>863750</v>
      </c>
      <c r="J41" s="22"/>
    </row>
    <row r="42" spans="2:10" ht="15.75" customHeight="1" thickTop="1">
      <c r="B42" s="71"/>
      <c r="C42" s="19"/>
      <c r="D42" s="142"/>
      <c r="E42" s="142"/>
      <c r="F42" s="142"/>
      <c r="G42" s="142"/>
      <c r="H42" s="142"/>
      <c r="I42" s="142"/>
      <c r="J42" s="22"/>
    </row>
    <row r="43" spans="2:10" ht="15.75" customHeight="1">
      <c r="B43" s="71"/>
      <c r="C43" s="19" t="s">
        <v>121</v>
      </c>
      <c r="D43" s="139">
        <f>NPV(D15,E41:I41)+D41</f>
        <v>372454.13757805247</v>
      </c>
      <c r="E43" s="148"/>
      <c r="F43" s="148"/>
      <c r="G43" s="148"/>
      <c r="H43" s="148"/>
      <c r="I43" s="148"/>
      <c r="J43" s="22"/>
    </row>
    <row r="44" spans="2:10" ht="15.75" customHeight="1">
      <c r="B44" s="71"/>
      <c r="C44" s="19"/>
      <c r="D44" s="162"/>
      <c r="E44" s="148"/>
      <c r="F44" s="148"/>
      <c r="G44" s="148"/>
      <c r="H44" s="148"/>
      <c r="I44" s="148"/>
      <c r="J44" s="22"/>
    </row>
    <row r="45" spans="2:10" ht="15.75" customHeight="1">
      <c r="B45" s="167" t="s">
        <v>130</v>
      </c>
      <c r="C45" s="19" t="s">
        <v>84</v>
      </c>
      <c r="D45" s="142">
        <f>PV($D$15,$D$17,0,-($D$13+$D$24))+$D$41</f>
        <v>-1811843.6288581421</v>
      </c>
      <c r="E45" s="148"/>
      <c r="F45" s="148"/>
      <c r="G45" s="148"/>
      <c r="H45" s="148"/>
      <c r="I45" s="148"/>
      <c r="J45" s="22"/>
    </row>
    <row r="46" spans="2:10" ht="15.75" customHeight="1">
      <c r="B46" s="71"/>
      <c r="C46" s="19" t="s">
        <v>93</v>
      </c>
      <c r="D46" s="168">
        <f>PMT(D15,D17,D45,0,0)</f>
        <v>527760.23790100135</v>
      </c>
      <c r="E46" s="148"/>
      <c r="F46" s="148"/>
      <c r="G46" s="148"/>
      <c r="H46" s="148"/>
      <c r="I46" s="148"/>
      <c r="J46" s="22"/>
    </row>
    <row r="47" spans="2:10" ht="15.75" customHeight="1">
      <c r="B47" s="71"/>
      <c r="C47" s="19" t="s">
        <v>131</v>
      </c>
      <c r="D47" s="169">
        <f>((((D46-(D14*(D8/D17)))/(1-D14))+D10)/(D18-D12))</f>
        <v>117745.68982584642</v>
      </c>
      <c r="E47" s="148"/>
      <c r="F47" s="148"/>
      <c r="G47" s="148"/>
      <c r="H47" s="148"/>
      <c r="I47" s="148"/>
      <c r="J47" s="22"/>
    </row>
    <row r="48" spans="2:10" ht="15.75" customHeight="1">
      <c r="B48" s="71"/>
      <c r="C48" s="19"/>
      <c r="D48" s="162"/>
      <c r="E48" s="148"/>
      <c r="F48" s="148"/>
      <c r="G48" s="148"/>
      <c r="H48" s="148"/>
      <c r="I48" s="148"/>
      <c r="J48" s="22"/>
    </row>
    <row r="49" spans="2:10" ht="15.75" customHeight="1">
      <c r="B49" s="71"/>
      <c r="C49" s="158" t="s">
        <v>24</v>
      </c>
      <c r="D49" s="157">
        <v>0</v>
      </c>
      <c r="E49" s="157">
        <v>1</v>
      </c>
      <c r="F49" s="157">
        <v>2</v>
      </c>
      <c r="G49" s="157">
        <v>3</v>
      </c>
      <c r="H49" s="157">
        <v>4</v>
      </c>
      <c r="I49" s="157">
        <v>5</v>
      </c>
      <c r="J49" s="22"/>
    </row>
    <row r="50" spans="2:10" ht="15.75" customHeight="1">
      <c r="B50" s="71"/>
      <c r="C50" s="19" t="s">
        <v>10</v>
      </c>
      <c r="D50" s="138"/>
      <c r="E50" s="80">
        <f>$D$18*$D$47</f>
        <v>1883931.0372135427</v>
      </c>
      <c r="F50" s="80">
        <f>$D$18*$D$47</f>
        <v>1883931.0372135427</v>
      </c>
      <c r="G50" s="80">
        <f>$D$18*$D$47</f>
        <v>1883931.0372135427</v>
      </c>
      <c r="H50" s="80">
        <f>$D$18*$D$47</f>
        <v>1883931.0372135427</v>
      </c>
      <c r="I50" s="80">
        <f>$D$18*$D$47</f>
        <v>1883931.0372135427</v>
      </c>
      <c r="J50" s="22"/>
    </row>
    <row r="51" spans="2:10" ht="15.75" customHeight="1">
      <c r="B51" s="71"/>
      <c r="C51" s="19" t="s">
        <v>80</v>
      </c>
      <c r="D51" s="138"/>
      <c r="E51" s="81">
        <f>$D$47*$D$12</f>
        <v>1000838.3635196945</v>
      </c>
      <c r="F51" s="81">
        <f>$D$47*$D$12</f>
        <v>1000838.3635196945</v>
      </c>
      <c r="G51" s="81">
        <f>$D$47*$D$12</f>
        <v>1000838.3635196945</v>
      </c>
      <c r="H51" s="81">
        <f>$D$47*$D$12</f>
        <v>1000838.3635196945</v>
      </c>
      <c r="I51" s="81">
        <f>$D$47*$D$12</f>
        <v>1000838.3635196945</v>
      </c>
      <c r="J51" s="22"/>
    </row>
    <row r="52" spans="2:10" ht="15.75" customHeight="1">
      <c r="B52" s="71"/>
      <c r="C52" s="19" t="s">
        <v>81</v>
      </c>
      <c r="D52" s="138"/>
      <c r="E52" s="81">
        <f>$D$10</f>
        <v>265000</v>
      </c>
      <c r="F52" s="81">
        <f>$D$10</f>
        <v>265000</v>
      </c>
      <c r="G52" s="81">
        <f>$D$10</f>
        <v>265000</v>
      </c>
      <c r="H52" s="81">
        <f>$D$10</f>
        <v>265000</v>
      </c>
      <c r="I52" s="81">
        <f>$D$10</f>
        <v>265000</v>
      </c>
      <c r="J52" s="22"/>
    </row>
    <row r="53" spans="2:10" ht="15.75" customHeight="1">
      <c r="B53" s="71"/>
      <c r="C53" s="19" t="s">
        <v>5</v>
      </c>
      <c r="D53" s="138"/>
      <c r="E53" s="83">
        <f>$D$8/$D$17</f>
        <v>360000</v>
      </c>
      <c r="F53" s="83">
        <f>$D$8/$D$17</f>
        <v>360000</v>
      </c>
      <c r="G53" s="83">
        <f>$D$8/$D$17</f>
        <v>360000</v>
      </c>
      <c r="H53" s="83">
        <f>$D$8/$D$17</f>
        <v>360000</v>
      </c>
      <c r="I53" s="83">
        <f>$D$8/$D$17</f>
        <v>360000</v>
      </c>
      <c r="J53" s="22"/>
    </row>
    <row r="54" spans="2:10" ht="15.75" customHeight="1">
      <c r="B54" s="71"/>
      <c r="C54" s="19" t="s">
        <v>114</v>
      </c>
      <c r="D54" s="138"/>
      <c r="E54" s="80">
        <f>E50-E51-E52-E53</f>
        <v>258092.67369384819</v>
      </c>
      <c r="F54" s="80">
        <f>F50-F51-F52-F53</f>
        <v>258092.67369384819</v>
      </c>
      <c r="G54" s="80">
        <f>G50-G51-G52-G53</f>
        <v>258092.67369384819</v>
      </c>
      <c r="H54" s="80">
        <f>H50-H51-H52-H53</f>
        <v>258092.67369384819</v>
      </c>
      <c r="I54" s="80">
        <f>I50-I51-I52-I53</f>
        <v>258092.67369384819</v>
      </c>
      <c r="J54" s="22"/>
    </row>
    <row r="55" spans="2:10" ht="15.75" customHeight="1">
      <c r="B55" s="71"/>
      <c r="C55" s="19" t="s">
        <v>79</v>
      </c>
      <c r="D55" s="138"/>
      <c r="E55" s="83">
        <f>E54*$D$14</f>
        <v>90332.435792846867</v>
      </c>
      <c r="F55" s="83">
        <f>F54*$D$14</f>
        <v>90332.435792846867</v>
      </c>
      <c r="G55" s="83">
        <f>G54*$D$14</f>
        <v>90332.435792846867</v>
      </c>
      <c r="H55" s="83">
        <f>H54*$D$14</f>
        <v>90332.435792846867</v>
      </c>
      <c r="I55" s="83">
        <f>I54*$D$14</f>
        <v>90332.435792846867</v>
      </c>
      <c r="J55" s="22"/>
    </row>
    <row r="56" spans="2:10" ht="15.75" customHeight="1">
      <c r="B56" s="71"/>
      <c r="C56" s="19" t="s">
        <v>115</v>
      </c>
      <c r="D56" s="138"/>
      <c r="E56" s="80">
        <f>E54-E55</f>
        <v>167760.23790100132</v>
      </c>
      <c r="F56" s="80">
        <f>F54-F55</f>
        <v>167760.23790100132</v>
      </c>
      <c r="G56" s="80">
        <f>G54-G55</f>
        <v>167760.23790100132</v>
      </c>
      <c r="H56" s="80">
        <f>H54-H55</f>
        <v>167760.23790100132</v>
      </c>
      <c r="I56" s="80">
        <f>I54-I55</f>
        <v>167760.23790100132</v>
      </c>
      <c r="J56" s="22"/>
    </row>
    <row r="57" spans="2:10" ht="15.75" customHeight="1">
      <c r="B57" s="71"/>
      <c r="C57" s="19" t="s">
        <v>5</v>
      </c>
      <c r="D57" s="138"/>
      <c r="E57" s="81">
        <f>E53</f>
        <v>360000</v>
      </c>
      <c r="F57" s="81">
        <f>F53</f>
        <v>360000</v>
      </c>
      <c r="G57" s="81">
        <f>G53</f>
        <v>360000</v>
      </c>
      <c r="H57" s="81">
        <f>H53</f>
        <v>360000</v>
      </c>
      <c r="I57" s="81">
        <f>I53</f>
        <v>360000</v>
      </c>
      <c r="J57" s="22"/>
    </row>
    <row r="58" spans="2:10" ht="15.75" customHeight="1" thickBot="1">
      <c r="B58" s="71"/>
      <c r="C58" s="19" t="s">
        <v>116</v>
      </c>
      <c r="D58" s="138"/>
      <c r="E58" s="127">
        <f>E56+E57</f>
        <v>527760.23790100135</v>
      </c>
      <c r="F58" s="127">
        <f>F56+F57</f>
        <v>527760.23790100135</v>
      </c>
      <c r="G58" s="127">
        <f>G56+G57</f>
        <v>527760.23790100135</v>
      </c>
      <c r="H58" s="127">
        <f>H56+H57</f>
        <v>527760.23790100135</v>
      </c>
      <c r="I58" s="127">
        <f>I56+I57</f>
        <v>527760.23790100135</v>
      </c>
      <c r="J58" s="22"/>
    </row>
    <row r="59" spans="2:10" ht="15.75" customHeight="1" thickTop="1">
      <c r="B59" s="71"/>
      <c r="C59" s="19"/>
      <c r="D59" s="138"/>
      <c r="E59" s="80"/>
      <c r="F59" s="80"/>
      <c r="G59" s="80"/>
      <c r="H59" s="80"/>
      <c r="I59" s="80"/>
      <c r="J59" s="22"/>
    </row>
    <row r="60" spans="2:10" ht="15.75" customHeight="1">
      <c r="B60" s="71"/>
      <c r="C60" s="159" t="s">
        <v>117</v>
      </c>
      <c r="D60" s="142"/>
      <c r="E60" s="142"/>
      <c r="F60" s="142"/>
      <c r="G60" s="142"/>
      <c r="H60" s="142"/>
      <c r="I60" s="142"/>
      <c r="J60" s="22"/>
    </row>
    <row r="61" spans="2:10" ht="15.75" customHeight="1">
      <c r="B61" s="71"/>
      <c r="C61" s="19" t="s">
        <v>116</v>
      </c>
      <c r="D61" s="97">
        <v>0</v>
      </c>
      <c r="E61" s="97">
        <f>E58</f>
        <v>527760.23790100135</v>
      </c>
      <c r="F61" s="97">
        <f>F58</f>
        <v>527760.23790100135</v>
      </c>
      <c r="G61" s="97">
        <f>G58</f>
        <v>527760.23790100135</v>
      </c>
      <c r="H61" s="97">
        <f>H58</f>
        <v>527760.23790100135</v>
      </c>
      <c r="I61" s="97">
        <f>I58</f>
        <v>527760.23790100135</v>
      </c>
      <c r="J61" s="22"/>
    </row>
    <row r="62" spans="2:10" ht="15.75" customHeight="1">
      <c r="B62" s="71"/>
      <c r="C62" s="19" t="s">
        <v>118</v>
      </c>
      <c r="D62" s="140">
        <f>-$D$13</f>
        <v>-130000</v>
      </c>
      <c r="E62" s="140">
        <f>(E50-F50)</f>
        <v>0</v>
      </c>
      <c r="F62" s="140">
        <f>(F50-G50)</f>
        <v>0</v>
      </c>
      <c r="G62" s="140">
        <f>(G50-H50)</f>
        <v>0</v>
      </c>
      <c r="H62" s="140">
        <f>(H50-I50)</f>
        <v>0</v>
      </c>
      <c r="I62" s="140">
        <f>$D$13</f>
        <v>130000</v>
      </c>
      <c r="J62" s="22"/>
    </row>
    <row r="63" spans="2:10" ht="15.75" customHeight="1">
      <c r="B63" s="71"/>
      <c r="C63" s="19" t="s">
        <v>119</v>
      </c>
      <c r="D63" s="140">
        <f>-$D$8</f>
        <v>-1800000</v>
      </c>
      <c r="E63" s="140">
        <v>0</v>
      </c>
      <c r="F63" s="140">
        <v>0</v>
      </c>
      <c r="G63" s="140">
        <v>0</v>
      </c>
      <c r="H63" s="140">
        <v>0</v>
      </c>
      <c r="I63" s="140">
        <f>$D$24</f>
        <v>97500</v>
      </c>
      <c r="J63" s="22"/>
    </row>
    <row r="64" spans="2:10" ht="15.75" customHeight="1" thickBot="1">
      <c r="B64" s="71"/>
      <c r="C64" s="19" t="s">
        <v>120</v>
      </c>
      <c r="D64" s="160">
        <f t="shared" ref="D64:I64" si="1">D61+D62+D63</f>
        <v>-1930000</v>
      </c>
      <c r="E64" s="161">
        <f t="shared" si="1"/>
        <v>527760.23790100135</v>
      </c>
      <c r="F64" s="161">
        <f t="shared" si="1"/>
        <v>527760.23790100135</v>
      </c>
      <c r="G64" s="161">
        <f t="shared" si="1"/>
        <v>527760.23790100135</v>
      </c>
      <c r="H64" s="161">
        <f t="shared" si="1"/>
        <v>527760.23790100135</v>
      </c>
      <c r="I64" s="161">
        <f t="shared" si="1"/>
        <v>755260.23790100135</v>
      </c>
      <c r="J64" s="22"/>
    </row>
    <row r="65" spans="2:10" ht="15.75" customHeight="1" thickTop="1">
      <c r="B65" s="71"/>
      <c r="C65" s="19"/>
      <c r="D65" s="142"/>
      <c r="E65" s="142"/>
      <c r="F65" s="142"/>
      <c r="G65" s="142"/>
      <c r="H65" s="142"/>
      <c r="I65" s="142"/>
      <c r="J65" s="22"/>
    </row>
    <row r="66" spans="2:10" ht="15.75" customHeight="1">
      <c r="B66" s="71"/>
      <c r="C66" s="19" t="s">
        <v>121</v>
      </c>
      <c r="D66" s="139">
        <f>NPV(D15,E64:I64)+D64</f>
        <v>0</v>
      </c>
      <c r="E66" s="170"/>
      <c r="F66" s="148"/>
      <c r="G66" s="148"/>
      <c r="H66" s="148"/>
      <c r="I66" s="148"/>
      <c r="J66" s="22"/>
    </row>
    <row r="67" spans="2:10" ht="15.75" customHeight="1">
      <c r="B67" s="71"/>
      <c r="C67" s="19"/>
      <c r="D67" s="162"/>
      <c r="E67" s="148"/>
      <c r="F67" s="148"/>
      <c r="G67" s="148"/>
      <c r="H67" s="148"/>
      <c r="I67" s="148"/>
      <c r="J67" s="22"/>
    </row>
    <row r="68" spans="2:10" ht="15.75" customHeight="1">
      <c r="B68" s="167" t="s">
        <v>132</v>
      </c>
      <c r="C68" s="19" t="s">
        <v>84</v>
      </c>
      <c r="D68" s="142">
        <f>PV($D$15,$D$17,0,-($D$13+$D$24))+$D$41</f>
        <v>-1811843.6288581421</v>
      </c>
      <c r="E68" s="148"/>
      <c r="F68" s="148"/>
      <c r="G68" s="148"/>
      <c r="H68" s="148"/>
      <c r="I68" s="148"/>
      <c r="J68" s="22"/>
    </row>
    <row r="69" spans="2:10" ht="15.75" customHeight="1">
      <c r="B69" s="71"/>
      <c r="C69" s="19" t="s">
        <v>93</v>
      </c>
      <c r="D69" s="168">
        <f>PMT(D15,D17,D68,0,0)</f>
        <v>527760.23790100135</v>
      </c>
      <c r="E69" s="148"/>
      <c r="F69" s="148"/>
      <c r="G69" s="148"/>
      <c r="H69" s="148"/>
      <c r="I69" s="148"/>
      <c r="J69" s="22"/>
    </row>
    <row r="70" spans="2:10" ht="15.75" customHeight="1">
      <c r="B70" s="71"/>
      <c r="C70" s="19" t="s">
        <v>133</v>
      </c>
      <c r="D70" s="171">
        <f>-(((D69-(D14*(D8/D17)))/(1-D14))-((D18-D12)*D7))</f>
        <v>431907.32630615181</v>
      </c>
      <c r="E70" s="148"/>
      <c r="F70" s="148"/>
      <c r="G70" s="148"/>
      <c r="H70" s="148"/>
      <c r="I70" s="148"/>
      <c r="J70" s="22"/>
    </row>
    <row r="71" spans="2:10" ht="15.75" customHeight="1">
      <c r="B71" s="71"/>
      <c r="C71" s="19"/>
      <c r="D71" s="162"/>
      <c r="E71" s="148"/>
      <c r="F71" s="148"/>
      <c r="G71" s="148"/>
      <c r="H71" s="148"/>
      <c r="I71" s="148"/>
      <c r="J71" s="22"/>
    </row>
    <row r="72" spans="2:10" ht="15.75" customHeight="1">
      <c r="B72" s="71"/>
      <c r="C72" s="158" t="s">
        <v>24</v>
      </c>
      <c r="D72" s="157">
        <v>0</v>
      </c>
      <c r="E72" s="157">
        <v>1</v>
      </c>
      <c r="F72" s="157">
        <v>2</v>
      </c>
      <c r="G72" s="157">
        <v>3</v>
      </c>
      <c r="H72" s="157">
        <v>4</v>
      </c>
      <c r="I72" s="157">
        <v>5</v>
      </c>
      <c r="J72" s="22"/>
    </row>
    <row r="73" spans="2:10" ht="15.75" customHeight="1">
      <c r="B73" s="71"/>
      <c r="C73" s="19" t="s">
        <v>10</v>
      </c>
      <c r="D73" s="138"/>
      <c r="E73" s="80">
        <f>$D$7*$D$18</f>
        <v>2240000</v>
      </c>
      <c r="F73" s="80">
        <f>$D$7*$D$18</f>
        <v>2240000</v>
      </c>
      <c r="G73" s="80">
        <f>$D$7*$D$18</f>
        <v>2240000</v>
      </c>
      <c r="H73" s="80">
        <f>$D$7*$D$18</f>
        <v>2240000</v>
      </c>
      <c r="I73" s="80">
        <f>$D$7*$D$18</f>
        <v>2240000</v>
      </c>
      <c r="J73" s="22"/>
    </row>
    <row r="74" spans="2:10" ht="15.75" customHeight="1">
      <c r="B74" s="71"/>
      <c r="C74" s="19" t="s">
        <v>80</v>
      </c>
      <c r="D74" s="138"/>
      <c r="E74" s="81">
        <f>$D$7*$D$12</f>
        <v>1190000</v>
      </c>
      <c r="F74" s="81">
        <f>$D$7*$D$12</f>
        <v>1190000</v>
      </c>
      <c r="G74" s="81">
        <f>$D$7*$D$12</f>
        <v>1190000</v>
      </c>
      <c r="H74" s="81">
        <f>$D$7*$D$12</f>
        <v>1190000</v>
      </c>
      <c r="I74" s="81">
        <f>$D$7*$D$12</f>
        <v>1190000</v>
      </c>
      <c r="J74" s="22"/>
    </row>
    <row r="75" spans="2:10" ht="15.75" customHeight="1">
      <c r="B75" s="71"/>
      <c r="C75" s="19" t="s">
        <v>81</v>
      </c>
      <c r="D75" s="138"/>
      <c r="E75" s="81">
        <f>$D$70</f>
        <v>431907.32630615181</v>
      </c>
      <c r="F75" s="81">
        <f>$D$70</f>
        <v>431907.32630615181</v>
      </c>
      <c r="G75" s="81">
        <f>$D$70</f>
        <v>431907.32630615181</v>
      </c>
      <c r="H75" s="81">
        <f>$D$70</f>
        <v>431907.32630615181</v>
      </c>
      <c r="I75" s="81">
        <f>$D$70</f>
        <v>431907.32630615181</v>
      </c>
      <c r="J75" s="22"/>
    </row>
    <row r="76" spans="2:10" ht="15.75" customHeight="1">
      <c r="B76" s="71"/>
      <c r="C76" s="19" t="s">
        <v>5</v>
      </c>
      <c r="D76" s="138"/>
      <c r="E76" s="83">
        <f>$D$8/$D$17</f>
        <v>360000</v>
      </c>
      <c r="F76" s="83">
        <f>$D$8/$D$17</f>
        <v>360000</v>
      </c>
      <c r="G76" s="83">
        <f>$D$8/$D$17</f>
        <v>360000</v>
      </c>
      <c r="H76" s="83">
        <f>$D$8/$D$17</f>
        <v>360000</v>
      </c>
      <c r="I76" s="83">
        <f>$D$8/$D$17</f>
        <v>360000</v>
      </c>
      <c r="J76" s="22"/>
    </row>
    <row r="77" spans="2:10" ht="15.75" customHeight="1">
      <c r="B77" s="71"/>
      <c r="C77" s="19" t="s">
        <v>114</v>
      </c>
      <c r="D77" s="138"/>
      <c r="E77" s="80">
        <f>E73-E74-E75-E76</f>
        <v>258092.67369384819</v>
      </c>
      <c r="F77" s="80">
        <f>F73-F74-F75-F76</f>
        <v>258092.67369384819</v>
      </c>
      <c r="G77" s="80">
        <f>G73-G74-G75-G76</f>
        <v>258092.67369384819</v>
      </c>
      <c r="H77" s="80">
        <f>H73-H74-H75-H76</f>
        <v>258092.67369384819</v>
      </c>
      <c r="I77" s="80">
        <f>I73-I74-I75-I76</f>
        <v>258092.67369384819</v>
      </c>
      <c r="J77" s="22"/>
    </row>
    <row r="78" spans="2:10" ht="15.75" customHeight="1">
      <c r="B78" s="71"/>
      <c r="C78" s="19" t="s">
        <v>79</v>
      </c>
      <c r="D78" s="138"/>
      <c r="E78" s="83">
        <f>E77*$D$14</f>
        <v>90332.435792846867</v>
      </c>
      <c r="F78" s="83">
        <f>F77*$D$14</f>
        <v>90332.435792846867</v>
      </c>
      <c r="G78" s="83">
        <f>G77*$D$14</f>
        <v>90332.435792846867</v>
      </c>
      <c r="H78" s="83">
        <f>H77*$D$14</f>
        <v>90332.435792846867</v>
      </c>
      <c r="I78" s="83">
        <f>I77*$D$14</f>
        <v>90332.435792846867</v>
      </c>
      <c r="J78" s="22"/>
    </row>
    <row r="79" spans="2:10" ht="15.75" customHeight="1">
      <c r="B79" s="71"/>
      <c r="C79" s="19" t="s">
        <v>115</v>
      </c>
      <c r="D79" s="138"/>
      <c r="E79" s="80">
        <f>E77-E78</f>
        <v>167760.23790100132</v>
      </c>
      <c r="F79" s="80">
        <f>F77-F78</f>
        <v>167760.23790100132</v>
      </c>
      <c r="G79" s="80">
        <f>G77-G78</f>
        <v>167760.23790100132</v>
      </c>
      <c r="H79" s="80">
        <f>H77-H78</f>
        <v>167760.23790100132</v>
      </c>
      <c r="I79" s="80">
        <f>I77-I78</f>
        <v>167760.23790100132</v>
      </c>
      <c r="J79" s="22"/>
    </row>
    <row r="80" spans="2:10" ht="15.75" customHeight="1">
      <c r="B80" s="71"/>
      <c r="C80" s="19" t="s">
        <v>5</v>
      </c>
      <c r="D80" s="138"/>
      <c r="E80" s="81">
        <f>E76</f>
        <v>360000</v>
      </c>
      <c r="F80" s="81">
        <f>F76</f>
        <v>360000</v>
      </c>
      <c r="G80" s="81">
        <f>G76</f>
        <v>360000</v>
      </c>
      <c r="H80" s="81">
        <f>H76</f>
        <v>360000</v>
      </c>
      <c r="I80" s="81">
        <f>I76</f>
        <v>360000</v>
      </c>
      <c r="J80" s="22"/>
    </row>
    <row r="81" spans="2:10" ht="15.75" customHeight="1" thickBot="1">
      <c r="B81" s="71"/>
      <c r="C81" s="19" t="s">
        <v>116</v>
      </c>
      <c r="D81" s="138"/>
      <c r="E81" s="127">
        <f>E79+E80</f>
        <v>527760.23790100135</v>
      </c>
      <c r="F81" s="127">
        <f>F79+F80</f>
        <v>527760.23790100135</v>
      </c>
      <c r="G81" s="127">
        <f>G79+G80</f>
        <v>527760.23790100135</v>
      </c>
      <c r="H81" s="127">
        <f>H79+H80</f>
        <v>527760.23790100135</v>
      </c>
      <c r="I81" s="127">
        <f>I79+I80</f>
        <v>527760.23790100135</v>
      </c>
      <c r="J81" s="22"/>
    </row>
    <row r="82" spans="2:10" ht="15.75" customHeight="1" thickTop="1">
      <c r="B82" s="71"/>
      <c r="C82" s="19"/>
      <c r="D82" s="138"/>
      <c r="E82" s="80"/>
      <c r="F82" s="80"/>
      <c r="G82" s="80"/>
      <c r="H82" s="80"/>
      <c r="I82" s="80"/>
      <c r="J82" s="22"/>
    </row>
    <row r="83" spans="2:10" ht="15.75" customHeight="1">
      <c r="B83" s="71"/>
      <c r="C83" s="159" t="s">
        <v>117</v>
      </c>
      <c r="D83" s="142"/>
      <c r="E83" s="142"/>
      <c r="F83" s="142"/>
      <c r="G83" s="142"/>
      <c r="H83" s="142"/>
      <c r="I83" s="142"/>
      <c r="J83" s="22"/>
    </row>
    <row r="84" spans="2:10" ht="15.75" customHeight="1">
      <c r="B84" s="71"/>
      <c r="C84" s="19" t="s">
        <v>116</v>
      </c>
      <c r="D84" s="97">
        <v>0</v>
      </c>
      <c r="E84" s="97">
        <f>E81</f>
        <v>527760.23790100135</v>
      </c>
      <c r="F84" s="97">
        <f>F81</f>
        <v>527760.23790100135</v>
      </c>
      <c r="G84" s="97">
        <f>G81</f>
        <v>527760.23790100135</v>
      </c>
      <c r="H84" s="97">
        <f>H81</f>
        <v>527760.23790100135</v>
      </c>
      <c r="I84" s="97">
        <f>I81</f>
        <v>527760.23790100135</v>
      </c>
      <c r="J84" s="22"/>
    </row>
    <row r="85" spans="2:10" ht="15.75" customHeight="1">
      <c r="B85" s="71"/>
      <c r="C85" s="19" t="s">
        <v>118</v>
      </c>
      <c r="D85" s="140">
        <f>-$D$13</f>
        <v>-130000</v>
      </c>
      <c r="E85" s="140">
        <f>(E73-F73)</f>
        <v>0</v>
      </c>
      <c r="F85" s="140">
        <f>(F73-G73)</f>
        <v>0</v>
      </c>
      <c r="G85" s="140">
        <f>(G73-H73)</f>
        <v>0</v>
      </c>
      <c r="H85" s="140">
        <f>(H73-I73)</f>
        <v>0</v>
      </c>
      <c r="I85" s="140">
        <f>-D85</f>
        <v>130000</v>
      </c>
      <c r="J85" s="22"/>
    </row>
    <row r="86" spans="2:10" ht="15.75" customHeight="1">
      <c r="B86" s="71"/>
      <c r="C86" s="19" t="s">
        <v>119</v>
      </c>
      <c r="D86" s="140">
        <f>-$D$8</f>
        <v>-1800000</v>
      </c>
      <c r="E86" s="140">
        <v>0</v>
      </c>
      <c r="F86" s="140">
        <v>0</v>
      </c>
      <c r="G86" s="140">
        <v>0</v>
      </c>
      <c r="H86" s="140">
        <v>0</v>
      </c>
      <c r="I86" s="140">
        <f>$D$24</f>
        <v>97500</v>
      </c>
      <c r="J86" s="22"/>
    </row>
    <row r="87" spans="2:10" ht="15.75" customHeight="1" thickBot="1">
      <c r="B87" s="71"/>
      <c r="C87" s="19" t="s">
        <v>120</v>
      </c>
      <c r="D87" s="160">
        <f t="shared" ref="D87:I87" si="2">D84+D85+D86</f>
        <v>-1930000</v>
      </c>
      <c r="E87" s="161">
        <f t="shared" si="2"/>
        <v>527760.23790100135</v>
      </c>
      <c r="F87" s="161">
        <f t="shared" si="2"/>
        <v>527760.23790100135</v>
      </c>
      <c r="G87" s="161">
        <f t="shared" si="2"/>
        <v>527760.23790100135</v>
      </c>
      <c r="H87" s="161">
        <f t="shared" si="2"/>
        <v>527760.23790100135</v>
      </c>
      <c r="I87" s="161">
        <f t="shared" si="2"/>
        <v>755260.23790100135</v>
      </c>
      <c r="J87" s="22"/>
    </row>
    <row r="88" spans="2:10" ht="15.75" customHeight="1" thickTop="1">
      <c r="B88" s="71"/>
      <c r="C88" s="19"/>
      <c r="D88" s="142"/>
      <c r="E88" s="142"/>
      <c r="F88" s="142"/>
      <c r="G88" s="142"/>
      <c r="H88" s="142"/>
      <c r="I88" s="142"/>
      <c r="J88" s="22"/>
    </row>
    <row r="89" spans="2:10" ht="15.75" customHeight="1">
      <c r="B89" s="71"/>
      <c r="C89" s="19" t="s">
        <v>121</v>
      </c>
      <c r="D89" s="139">
        <f>NPV(D15,E87:I87)+D87</f>
        <v>0</v>
      </c>
      <c r="E89" s="148"/>
      <c r="F89" s="148"/>
      <c r="G89" s="148"/>
      <c r="H89" s="148"/>
      <c r="I89" s="148"/>
      <c r="J89" s="22"/>
    </row>
    <row r="90" spans="2:10" ht="15.75" customHeight="1" thickBot="1">
      <c r="B90" s="72"/>
      <c r="C90" s="53"/>
      <c r="D90" s="53"/>
      <c r="E90" s="53"/>
      <c r="F90" s="53"/>
      <c r="G90" s="53"/>
      <c r="H90" s="53"/>
      <c r="I90" s="53"/>
      <c r="J90" s="51"/>
    </row>
    <row r="91" spans="2:10" ht="15.75" customHeight="1"/>
    <row r="92" spans="2:10" ht="15.75" customHeight="1"/>
    <row r="93" spans="2:10" ht="15.75" customHeight="1"/>
    <row r="94" spans="2:10" ht="15.75" customHeight="1"/>
    <row r="95" spans="2:10" ht="15.75" customHeight="1"/>
    <row r="96" spans="2:10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</sheetData>
  <phoneticPr fontId="0" type="noConversion"/>
  <pageMargins left="0.75" right="0.75" top="1" bottom="1" header="0.5" footer="0.5"/>
  <pageSetup scale="56" orientation="portrait" horizontalDpi="360" verticalDpi="360" r:id="rId1"/>
  <headerFooter alignWithMargins="0"/>
  <rowBreaks count="1" manualBreakCount="1">
    <brk id="71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B1:H73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7" width="19.42578125" customWidth="1"/>
    <col min="8" max="8" width="4.7109375" customWidth="1"/>
  </cols>
  <sheetData>
    <row r="1" spans="2:7" ht="18">
      <c r="C1" s="1" t="s">
        <v>436</v>
      </c>
    </row>
    <row r="2" spans="2:7" ht="15.75" customHeight="1">
      <c r="C2" s="3" t="s">
        <v>324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164</v>
      </c>
      <c r="D7" s="145">
        <v>15000</v>
      </c>
      <c r="E7" s="9"/>
      <c r="G7" s="57"/>
    </row>
    <row r="8" spans="2:7" ht="15.75" customHeight="1">
      <c r="B8" s="8"/>
      <c r="C8" s="13" t="s">
        <v>165</v>
      </c>
      <c r="D8" s="85">
        <v>3400000</v>
      </c>
      <c r="E8" s="9"/>
      <c r="G8" s="57"/>
    </row>
    <row r="9" spans="2:7" ht="15.75" customHeight="1">
      <c r="B9" s="8"/>
      <c r="C9" s="13" t="s">
        <v>91</v>
      </c>
      <c r="D9" s="85">
        <v>75000</v>
      </c>
      <c r="E9" s="9"/>
      <c r="G9" s="57"/>
    </row>
    <row r="10" spans="2:7" ht="15.75" customHeight="1">
      <c r="B10" s="8"/>
      <c r="C10" s="13" t="s">
        <v>51</v>
      </c>
      <c r="D10" s="85">
        <v>200000</v>
      </c>
      <c r="E10" s="9"/>
      <c r="G10" s="57"/>
    </row>
    <row r="11" spans="2:7" ht="15.75" customHeight="1">
      <c r="B11" s="8"/>
      <c r="C11" s="13" t="s">
        <v>81</v>
      </c>
      <c r="D11" s="85">
        <v>700000</v>
      </c>
      <c r="E11" s="9"/>
    </row>
    <row r="12" spans="2:7" ht="15.75" customHeight="1">
      <c r="B12" s="8"/>
      <c r="C12" s="13" t="s">
        <v>166</v>
      </c>
      <c r="D12" s="85">
        <v>105</v>
      </c>
      <c r="E12" s="9"/>
    </row>
    <row r="13" spans="2:7" ht="15.75" customHeight="1">
      <c r="B13" s="8"/>
      <c r="C13" s="13" t="s">
        <v>167</v>
      </c>
      <c r="D13" s="91">
        <v>4000</v>
      </c>
      <c r="E13" s="9"/>
    </row>
    <row r="14" spans="2:7" ht="15.75" customHeight="1">
      <c r="B14" s="8"/>
      <c r="C14" s="13" t="s">
        <v>168</v>
      </c>
      <c r="D14" s="91">
        <v>12000</v>
      </c>
      <c r="E14" s="9"/>
    </row>
    <row r="15" spans="2:7" ht="15.75" customHeight="1">
      <c r="B15" s="8"/>
      <c r="C15" s="13" t="s">
        <v>169</v>
      </c>
      <c r="D15" s="91">
        <v>14000</v>
      </c>
      <c r="E15" s="9"/>
    </row>
    <row r="16" spans="2:7" ht="15.75" customHeight="1">
      <c r="B16" s="8"/>
      <c r="C16" s="13" t="s">
        <v>170</v>
      </c>
      <c r="D16" s="91">
        <v>7000</v>
      </c>
      <c r="E16" s="9"/>
    </row>
    <row r="17" spans="2:8" ht="15.75" customHeight="1">
      <c r="B17" s="8"/>
      <c r="C17" s="13" t="s">
        <v>171</v>
      </c>
      <c r="D17" s="85">
        <v>205</v>
      </c>
      <c r="E17" s="9"/>
    </row>
    <row r="18" spans="2:8" ht="15.75" customHeight="1">
      <c r="B18" s="8"/>
      <c r="C18" s="13" t="s">
        <v>6</v>
      </c>
      <c r="D18" s="153">
        <v>0.4</v>
      </c>
      <c r="E18" s="9"/>
    </row>
    <row r="19" spans="2:8" ht="15.75" customHeight="1">
      <c r="B19" s="8"/>
      <c r="C19" s="13" t="s">
        <v>20</v>
      </c>
      <c r="D19" s="153">
        <v>0.13</v>
      </c>
      <c r="E19" s="9"/>
    </row>
    <row r="20" spans="2:8" ht="15.75" customHeight="1">
      <c r="B20" s="8"/>
      <c r="C20" s="13" t="s">
        <v>172</v>
      </c>
      <c r="D20" s="85">
        <v>100000</v>
      </c>
      <c r="E20" s="9"/>
    </row>
    <row r="21" spans="2:8" ht="15.75" customHeight="1" thickBot="1">
      <c r="B21" s="10"/>
      <c r="C21" s="66"/>
      <c r="D21" s="66"/>
      <c r="E21" s="12"/>
    </row>
    <row r="22" spans="2:8" ht="15.75" customHeight="1">
      <c r="B22" s="65"/>
      <c r="E22" s="65"/>
    </row>
    <row r="23" spans="2:8" ht="15.75" customHeight="1">
      <c r="C23" s="2" t="s">
        <v>2</v>
      </c>
    </row>
    <row r="24" spans="2:8" ht="15.75" customHeight="1" thickBot="1"/>
    <row r="25" spans="2:8" ht="15.75" customHeight="1">
      <c r="B25" s="69"/>
      <c r="C25" s="70"/>
      <c r="D25" s="70"/>
      <c r="E25" s="70"/>
      <c r="F25" s="70"/>
      <c r="G25" s="70"/>
      <c r="H25" s="156"/>
    </row>
    <row r="26" spans="2:8" ht="15.75" customHeight="1">
      <c r="B26" s="71"/>
      <c r="C26" s="19" t="s">
        <v>173</v>
      </c>
      <c r="D26" s="220">
        <v>1</v>
      </c>
      <c r="E26" s="221">
        <v>2</v>
      </c>
      <c r="F26" s="221">
        <v>3</v>
      </c>
      <c r="G26" s="221">
        <v>4</v>
      </c>
      <c r="H26" s="22"/>
    </row>
    <row r="27" spans="2:8" ht="15.75" customHeight="1">
      <c r="B27" s="71"/>
      <c r="C27" s="19" t="s">
        <v>10</v>
      </c>
      <c r="D27" s="97">
        <f>D13*D17</f>
        <v>820000</v>
      </c>
      <c r="E27" s="97">
        <f>D14*D17</f>
        <v>2460000</v>
      </c>
      <c r="F27" s="97">
        <f>D15*D17</f>
        <v>2870000</v>
      </c>
      <c r="G27" s="97">
        <f>D16*D17</f>
        <v>1435000</v>
      </c>
      <c r="H27" s="22"/>
    </row>
    <row r="28" spans="2:8" ht="15.75" customHeight="1">
      <c r="B28" s="167"/>
      <c r="C28" s="19" t="s">
        <v>80</v>
      </c>
      <c r="D28" s="223">
        <f>D13*D12</f>
        <v>420000</v>
      </c>
      <c r="E28" s="223">
        <f>D14*D12</f>
        <v>1260000</v>
      </c>
      <c r="F28" s="223">
        <f>D15*D12</f>
        <v>1470000</v>
      </c>
      <c r="G28" s="223">
        <f>D16*D12</f>
        <v>735000</v>
      </c>
      <c r="H28" s="22"/>
    </row>
    <row r="29" spans="2:8" ht="15.75" customHeight="1">
      <c r="B29" s="71"/>
      <c r="C29" s="19" t="s">
        <v>8</v>
      </c>
      <c r="D29" s="97">
        <f>D27-D28</f>
        <v>400000</v>
      </c>
      <c r="E29" s="97">
        <f>E27-E28</f>
        <v>1200000</v>
      </c>
      <c r="F29" s="97">
        <f>F27-F28</f>
        <v>1400000</v>
      </c>
      <c r="G29" s="97">
        <f>G27-G28</f>
        <v>700000</v>
      </c>
      <c r="H29" s="22"/>
    </row>
    <row r="30" spans="2:8" ht="15.75" customHeight="1">
      <c r="B30" s="71"/>
      <c r="C30" s="19" t="s">
        <v>155</v>
      </c>
      <c r="D30" s="140">
        <f>D29*$D$18</f>
        <v>160000</v>
      </c>
      <c r="E30" s="140">
        <f>E29*$D$18</f>
        <v>480000</v>
      </c>
      <c r="F30" s="140">
        <f>F29*$D$18</f>
        <v>560000</v>
      </c>
      <c r="G30" s="140">
        <f>G29*$D$18</f>
        <v>280000</v>
      </c>
      <c r="H30" s="22"/>
    </row>
    <row r="31" spans="2:8" ht="15.75" customHeight="1" thickBot="1">
      <c r="B31" s="71"/>
      <c r="C31" s="19" t="s">
        <v>174</v>
      </c>
      <c r="D31" s="160">
        <f>D29-D30</f>
        <v>240000</v>
      </c>
      <c r="E31" s="160">
        <f>E29-E30</f>
        <v>720000</v>
      </c>
      <c r="F31" s="160">
        <f>F29-F30</f>
        <v>840000</v>
      </c>
      <c r="G31" s="160">
        <f>G29-G30</f>
        <v>420000</v>
      </c>
      <c r="H31" s="22"/>
    </row>
    <row r="32" spans="2:8" ht="15.75" customHeight="1" thickTop="1">
      <c r="B32" s="71"/>
      <c r="C32" s="19"/>
      <c r="D32" s="222"/>
      <c r="E32" s="140"/>
      <c r="F32" s="140"/>
      <c r="G32" s="140"/>
      <c r="H32" s="22"/>
    </row>
    <row r="33" spans="2:8" ht="15.75" customHeight="1">
      <c r="B33" s="71"/>
      <c r="C33" s="19" t="s">
        <v>175</v>
      </c>
      <c r="D33" s="87">
        <f>NPV(D19,D31,E31,F31,G31)</f>
        <v>1616010.9944987092</v>
      </c>
      <c r="E33" s="81"/>
      <c r="F33" s="81"/>
      <c r="G33" s="81"/>
      <c r="H33" s="22"/>
    </row>
    <row r="34" spans="2:8" ht="15.75" customHeight="1">
      <c r="B34" s="71"/>
      <c r="C34" s="19" t="s">
        <v>31</v>
      </c>
      <c r="D34" s="80">
        <f>D8+D9</f>
        <v>3475000</v>
      </c>
      <c r="E34" s="81"/>
      <c r="F34" s="81"/>
      <c r="G34" s="81"/>
      <c r="H34" s="22"/>
    </row>
    <row r="35" spans="2:8" ht="15.75" customHeight="1">
      <c r="B35" s="71"/>
      <c r="C35" s="19" t="s">
        <v>28</v>
      </c>
      <c r="D35" s="80">
        <f>D10*(1-D18)</f>
        <v>120000</v>
      </c>
      <c r="E35" s="81"/>
      <c r="F35" s="81"/>
      <c r="G35" s="81"/>
      <c r="H35" s="22"/>
    </row>
    <row r="36" spans="2:8" ht="15.75" customHeight="1">
      <c r="B36" s="71"/>
      <c r="C36" s="19"/>
      <c r="D36" s="138"/>
      <c r="E36" s="80"/>
      <c r="F36" s="80"/>
      <c r="G36" s="80"/>
      <c r="H36" s="22"/>
    </row>
    <row r="37" spans="2:8" ht="15.75" customHeight="1">
      <c r="B37" s="71"/>
      <c r="C37" s="19" t="s">
        <v>176</v>
      </c>
      <c r="D37" s="224">
        <f>D20+D34-D33+PV(D19,4,0,D35+D9)</f>
        <v>1839391.8536038124</v>
      </c>
      <c r="E37" s="80"/>
      <c r="F37" s="80"/>
      <c r="G37" s="80"/>
      <c r="H37" s="22"/>
    </row>
    <row r="38" spans="2:8" ht="15.75" customHeight="1">
      <c r="B38" s="71"/>
      <c r="C38" s="19" t="s">
        <v>11</v>
      </c>
      <c r="D38" s="142">
        <f>PMT(D19,4,-D37)</f>
        <v>618392.86793859652</v>
      </c>
      <c r="E38" s="142"/>
      <c r="F38" s="142"/>
      <c r="G38" s="142"/>
      <c r="H38" s="22"/>
    </row>
    <row r="39" spans="2:8" ht="15.75" customHeight="1">
      <c r="B39" s="71"/>
      <c r="C39" s="19"/>
      <c r="D39" s="142"/>
      <c r="E39" s="97"/>
      <c r="F39" s="97"/>
      <c r="G39" s="97"/>
      <c r="H39" s="22"/>
    </row>
    <row r="40" spans="2:8" ht="15.75" customHeight="1">
      <c r="B40" s="71"/>
      <c r="C40" s="19" t="s">
        <v>95</v>
      </c>
      <c r="D40" s="139">
        <f>((((D38-(D8/4)*D18)/(1-D18))+D11)/D7)+D12</f>
        <v>182.59920754873295</v>
      </c>
      <c r="E40" s="140"/>
      <c r="F40" s="140"/>
      <c r="G40" s="140"/>
      <c r="H40" s="22"/>
    </row>
    <row r="41" spans="2:8" ht="15.75" customHeight="1" thickBot="1">
      <c r="B41" s="72"/>
      <c r="C41" s="53"/>
      <c r="D41" s="53"/>
      <c r="E41" s="53"/>
      <c r="F41" s="53"/>
      <c r="G41" s="53"/>
      <c r="H41" s="51"/>
    </row>
    <row r="42" spans="2:8" ht="15.75" customHeight="1"/>
    <row r="43" spans="2:8" ht="15.75" customHeight="1"/>
    <row r="44" spans="2:8" ht="15.75" customHeight="1"/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</sheetData>
  <phoneticPr fontId="0" type="noConversion"/>
  <pageMargins left="0.75" right="0.75" top="1" bottom="1" header="0.5" footer="0.5"/>
  <pageSetup scale="74" orientation="landscape" horizontalDpi="360" verticalDpi="36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K189"/>
  <sheetViews>
    <sheetView zoomScaleNormal="100" workbookViewId="0"/>
  </sheetViews>
  <sheetFormatPr defaultRowHeight="12.75"/>
  <cols>
    <col min="2" max="2" width="3.140625" customWidth="1"/>
    <col min="3" max="3" width="27.28515625" bestFit="1" customWidth="1"/>
    <col min="4" max="4" width="18.140625" customWidth="1"/>
    <col min="5" max="5" width="3.140625" customWidth="1"/>
    <col min="6" max="6" width="18.140625" customWidth="1"/>
    <col min="7" max="7" width="17.7109375" customWidth="1"/>
    <col min="8" max="8" width="18.28515625" customWidth="1"/>
    <col min="9" max="9" width="18.140625" customWidth="1"/>
    <col min="10" max="10" width="18.42578125" customWidth="1"/>
    <col min="11" max="11" width="3.28515625" customWidth="1"/>
  </cols>
  <sheetData>
    <row r="1" spans="1:10" ht="18">
      <c r="A1" s="3"/>
      <c r="B1" s="3"/>
      <c r="C1" s="1" t="s">
        <v>436</v>
      </c>
      <c r="D1" s="3"/>
      <c r="E1" s="3"/>
      <c r="F1" s="3"/>
      <c r="G1" s="3"/>
      <c r="H1" s="3"/>
      <c r="I1" s="3"/>
      <c r="J1" s="3"/>
    </row>
    <row r="2" spans="1:10" ht="15.75" customHeight="1">
      <c r="A2" s="3"/>
      <c r="B2" s="3"/>
      <c r="C2" s="3" t="s">
        <v>327</v>
      </c>
      <c r="D2" s="3"/>
      <c r="E2" s="3"/>
      <c r="F2" s="3"/>
      <c r="G2" s="3"/>
      <c r="H2" s="3"/>
      <c r="I2" s="3"/>
      <c r="J2" s="3"/>
    </row>
    <row r="3" spans="1:10" ht="15.75" customHeight="1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15.75" customHeight="1">
      <c r="A4" s="3"/>
      <c r="B4" s="3"/>
      <c r="C4" s="2" t="s">
        <v>135</v>
      </c>
      <c r="D4" s="3"/>
      <c r="E4" s="3"/>
      <c r="F4" s="3"/>
      <c r="G4" s="3"/>
      <c r="H4" s="3"/>
      <c r="I4" s="3"/>
      <c r="J4" s="3"/>
    </row>
    <row r="5" spans="1:10" ht="15.75" customHeight="1" thickBo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15.75" customHeight="1">
      <c r="A6" s="3"/>
      <c r="B6" s="111"/>
      <c r="C6" s="112"/>
      <c r="D6" s="174"/>
      <c r="E6" s="113"/>
      <c r="F6" s="3"/>
      <c r="G6" s="3"/>
      <c r="H6" s="3"/>
      <c r="I6" s="3"/>
      <c r="J6" s="3"/>
    </row>
    <row r="7" spans="1:10" ht="15.75" customHeight="1">
      <c r="A7" s="3"/>
      <c r="B7" s="114"/>
      <c r="C7" s="115" t="s">
        <v>136</v>
      </c>
      <c r="D7" s="175">
        <v>450000</v>
      </c>
      <c r="E7" s="116"/>
      <c r="F7" s="3"/>
      <c r="G7" s="3"/>
      <c r="H7" s="3"/>
      <c r="I7" s="3"/>
      <c r="J7" s="3"/>
    </row>
    <row r="8" spans="1:10" ht="15.75" customHeight="1">
      <c r="A8" s="3"/>
      <c r="B8" s="114"/>
      <c r="C8" s="115" t="s">
        <v>137</v>
      </c>
      <c r="D8" s="175">
        <v>580000</v>
      </c>
      <c r="E8" s="116"/>
      <c r="F8" s="3"/>
      <c r="G8" s="3"/>
      <c r="H8" s="3"/>
      <c r="I8" s="3"/>
      <c r="J8" s="3"/>
    </row>
    <row r="9" spans="1:10" ht="15.75" customHeight="1">
      <c r="A9" s="3"/>
      <c r="B9" s="114"/>
      <c r="C9" s="115" t="s">
        <v>452</v>
      </c>
      <c r="D9" s="175">
        <v>130000</v>
      </c>
      <c r="E9" s="116"/>
      <c r="F9" s="3"/>
      <c r="G9" s="3"/>
      <c r="H9" s="3"/>
      <c r="I9" s="3"/>
      <c r="J9" s="3"/>
    </row>
    <row r="10" spans="1:10" ht="15.75" customHeight="1">
      <c r="A10" s="3"/>
      <c r="B10" s="114"/>
      <c r="C10" s="115" t="s">
        <v>138</v>
      </c>
      <c r="D10" s="176">
        <v>5</v>
      </c>
      <c r="E10" s="116"/>
      <c r="F10" s="3"/>
      <c r="G10" s="3"/>
      <c r="H10" s="3"/>
      <c r="I10" s="3"/>
      <c r="J10" s="3"/>
    </row>
    <row r="11" spans="1:10" ht="15.75" customHeight="1">
      <c r="A11" s="3"/>
      <c r="B11" s="114"/>
      <c r="C11" s="115" t="s">
        <v>139</v>
      </c>
      <c r="D11" s="400">
        <f>D7/D10</f>
        <v>90000</v>
      </c>
      <c r="E11" s="116"/>
      <c r="F11" s="3"/>
      <c r="G11" s="3"/>
      <c r="H11" s="3"/>
      <c r="I11" s="3"/>
      <c r="J11" s="3"/>
    </row>
    <row r="12" spans="1:10" ht="15.75" customHeight="1">
      <c r="A12" s="3"/>
      <c r="B12" s="114"/>
      <c r="C12" s="115" t="s">
        <v>446</v>
      </c>
      <c r="D12" s="400">
        <f>D7-(2*D11)</f>
        <v>270000</v>
      </c>
      <c r="E12" s="116"/>
      <c r="F12" s="3"/>
      <c r="G12" s="3"/>
      <c r="H12" s="3"/>
      <c r="I12" s="3"/>
      <c r="J12" s="3"/>
    </row>
    <row r="13" spans="1:10" ht="15.75" customHeight="1">
      <c r="A13" s="3"/>
      <c r="B13" s="114"/>
      <c r="C13" s="115" t="s">
        <v>140</v>
      </c>
      <c r="D13" s="175">
        <v>230000</v>
      </c>
      <c r="E13" s="116"/>
      <c r="F13" s="3"/>
      <c r="G13" s="3"/>
      <c r="H13" s="3"/>
      <c r="I13" s="3"/>
      <c r="J13" s="3"/>
    </row>
    <row r="14" spans="1:10" ht="15.75" customHeight="1">
      <c r="A14" s="3"/>
      <c r="B14" s="114"/>
      <c r="C14" s="115" t="s">
        <v>141</v>
      </c>
      <c r="D14" s="175">
        <v>60000</v>
      </c>
      <c r="E14" s="116"/>
      <c r="F14" s="3"/>
      <c r="G14" s="3"/>
      <c r="H14" s="3"/>
      <c r="I14" s="3"/>
      <c r="J14" s="3"/>
    </row>
    <row r="15" spans="1:10" ht="15.75" customHeight="1">
      <c r="A15" s="3"/>
      <c r="B15" s="114"/>
      <c r="C15" s="115" t="s">
        <v>142</v>
      </c>
      <c r="D15" s="175">
        <v>85000</v>
      </c>
      <c r="E15" s="116"/>
      <c r="F15" s="3"/>
      <c r="G15" s="3"/>
      <c r="H15" s="3"/>
      <c r="I15" s="3"/>
      <c r="J15" s="3"/>
    </row>
    <row r="16" spans="1:10" ht="15.75" customHeight="1">
      <c r="A16" s="3"/>
      <c r="B16" s="114"/>
      <c r="C16" s="115" t="s">
        <v>32</v>
      </c>
      <c r="D16" s="153">
        <v>0.14000000000000001</v>
      </c>
      <c r="E16" s="116"/>
      <c r="F16" s="3"/>
      <c r="G16" s="3"/>
      <c r="H16" s="3"/>
      <c r="I16" s="3"/>
      <c r="J16" s="3"/>
    </row>
    <row r="17" spans="1:11" ht="15.75" customHeight="1">
      <c r="A17" s="3"/>
      <c r="B17" s="114"/>
      <c r="C17" s="115" t="s">
        <v>6</v>
      </c>
      <c r="D17" s="153">
        <v>0.38</v>
      </c>
      <c r="E17" s="116"/>
      <c r="F17" s="3"/>
      <c r="G17" s="3"/>
      <c r="H17" s="3"/>
      <c r="I17" s="3"/>
      <c r="J17" s="3"/>
    </row>
    <row r="18" spans="1:11" ht="15.75" customHeight="1" thickBot="1">
      <c r="A18" s="3"/>
      <c r="B18" s="117"/>
      <c r="C18" s="118"/>
      <c r="D18" s="177"/>
      <c r="E18" s="42"/>
      <c r="F18" s="3"/>
      <c r="G18" s="3"/>
      <c r="H18" s="3"/>
      <c r="I18" s="3"/>
      <c r="J18" s="3"/>
    </row>
    <row r="19" spans="1:11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1" ht="15.75" customHeight="1">
      <c r="A20" s="3"/>
      <c r="B20" s="3"/>
      <c r="C20" s="2" t="s">
        <v>143</v>
      </c>
      <c r="D20" s="3"/>
      <c r="E20" s="3"/>
      <c r="F20" s="3"/>
      <c r="G20" s="3"/>
      <c r="H20" s="3"/>
      <c r="I20" s="3"/>
      <c r="J20" s="3"/>
    </row>
    <row r="21" spans="1:11" ht="15.75" customHeight="1" thickBot="1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1" ht="15.75" customHeight="1">
      <c r="A22" s="3"/>
      <c r="B22" s="119"/>
      <c r="C22" s="120"/>
      <c r="D22" s="178"/>
      <c r="E22" s="120"/>
      <c r="F22" s="120"/>
      <c r="G22" s="120"/>
      <c r="H22" s="120"/>
      <c r="I22" s="120"/>
      <c r="J22" s="120"/>
      <c r="K22" s="179"/>
    </row>
    <row r="23" spans="1:11" ht="15.75" customHeight="1">
      <c r="A23" s="3"/>
      <c r="B23" s="181" t="s">
        <v>129</v>
      </c>
      <c r="C23" s="182" t="s">
        <v>144</v>
      </c>
      <c r="D23" s="74"/>
      <c r="E23" s="67"/>
      <c r="F23" s="67"/>
      <c r="G23" s="67"/>
      <c r="H23" s="67"/>
      <c r="I23" s="67"/>
      <c r="J23" s="67"/>
      <c r="K23" s="180"/>
    </row>
    <row r="24" spans="1:11" ht="15.75" customHeight="1">
      <c r="A24" s="3"/>
      <c r="B24" s="121"/>
      <c r="C24" s="67" t="s">
        <v>24</v>
      </c>
      <c r="D24" s="77">
        <v>0</v>
      </c>
      <c r="E24" s="77"/>
      <c r="F24" s="77">
        <v>1</v>
      </c>
      <c r="G24" s="77">
        <v>2</v>
      </c>
      <c r="H24" s="77">
        <v>3</v>
      </c>
      <c r="I24" s="77">
        <v>4</v>
      </c>
      <c r="J24" s="183">
        <v>5</v>
      </c>
      <c r="K24" s="180"/>
    </row>
    <row r="25" spans="1:11" ht="15.75" customHeight="1">
      <c r="A25" s="3"/>
      <c r="B25" s="121"/>
      <c r="C25" s="67" t="s">
        <v>113</v>
      </c>
      <c r="D25" s="184">
        <f>D8</f>
        <v>580000</v>
      </c>
      <c r="E25" s="138"/>
      <c r="F25" s="184">
        <f>$D$8-(F24*($D$8/$D$10))</f>
        <v>464000</v>
      </c>
      <c r="G25" s="184">
        <f>$D$8-(G24*($D$8/$D$10))</f>
        <v>348000</v>
      </c>
      <c r="H25" s="184">
        <f>$D$8-(H24*($D$8/$D$10))</f>
        <v>232000</v>
      </c>
      <c r="I25" s="184">
        <f>$D$8-(I24*($D$8/$D$10))</f>
        <v>116000</v>
      </c>
      <c r="J25" s="184">
        <f>$D$8-(J24*($D$8/$D$10))</f>
        <v>0</v>
      </c>
      <c r="K25" s="180"/>
    </row>
    <row r="26" spans="1:11" ht="15.75" customHeight="1">
      <c r="A26" s="3"/>
      <c r="B26" s="121"/>
      <c r="C26" s="67"/>
      <c r="D26" s="74"/>
      <c r="E26" s="67"/>
      <c r="F26" s="67"/>
      <c r="G26" s="67"/>
      <c r="H26" s="67"/>
      <c r="I26" s="67"/>
      <c r="J26" s="74"/>
      <c r="K26" s="180"/>
    </row>
    <row r="27" spans="1:11" ht="15.75" customHeight="1">
      <c r="A27" s="3"/>
      <c r="B27" s="121"/>
      <c r="C27" s="67" t="s">
        <v>85</v>
      </c>
      <c r="D27" s="74"/>
      <c r="E27" s="67"/>
      <c r="F27" s="80">
        <f>$D$15*(1-$D$17)</f>
        <v>52700</v>
      </c>
      <c r="G27" s="80">
        <f>$D$15*(1-$D$17)</f>
        <v>52700</v>
      </c>
      <c r="H27" s="80">
        <f>$D$15*(1-$D$17)</f>
        <v>52700</v>
      </c>
      <c r="I27" s="80">
        <f>$D$15*(1-$D$17)</f>
        <v>52700</v>
      </c>
      <c r="J27" s="80">
        <f>$D$15*(1-$D$17)</f>
        <v>52700</v>
      </c>
      <c r="K27" s="180"/>
    </row>
    <row r="28" spans="1:11" ht="15.75" customHeight="1">
      <c r="A28" s="3"/>
      <c r="B28" s="121"/>
      <c r="C28" s="67" t="s">
        <v>5</v>
      </c>
      <c r="D28" s="74"/>
      <c r="E28" s="67"/>
      <c r="F28" s="185">
        <f>($D$8/$D$10)*$D$17</f>
        <v>44080</v>
      </c>
      <c r="G28" s="185">
        <f>($D$8/$D$10)*$D$17</f>
        <v>44080</v>
      </c>
      <c r="H28" s="185">
        <f>($D$8/$D$10)*$D$17</f>
        <v>44080</v>
      </c>
      <c r="I28" s="185">
        <f>($D$8/$D$10)*$D$17</f>
        <v>44080</v>
      </c>
      <c r="J28" s="185">
        <f>($D$8/$D$10)*$D$17</f>
        <v>44080</v>
      </c>
      <c r="K28" s="180"/>
    </row>
    <row r="29" spans="1:11" ht="15.75" customHeight="1">
      <c r="A29" s="3"/>
      <c r="B29" s="121"/>
      <c r="C29" s="67" t="s">
        <v>145</v>
      </c>
      <c r="D29" s="74"/>
      <c r="E29" s="74"/>
      <c r="F29" s="80">
        <f>F27+F28</f>
        <v>96780</v>
      </c>
      <c r="G29" s="80">
        <f>G27+G28</f>
        <v>96780</v>
      </c>
      <c r="H29" s="80">
        <f>H27+H28</f>
        <v>96780</v>
      </c>
      <c r="I29" s="80">
        <f>I27+I28</f>
        <v>96780</v>
      </c>
      <c r="J29" s="80">
        <f>J27+J28</f>
        <v>96780</v>
      </c>
      <c r="K29" s="180"/>
    </row>
    <row r="30" spans="1:11" ht="15.75" customHeight="1">
      <c r="A30" s="3"/>
      <c r="B30" s="121"/>
      <c r="C30" s="67"/>
      <c r="D30" s="74"/>
      <c r="E30" s="67"/>
      <c r="F30" s="67"/>
      <c r="G30" s="67"/>
      <c r="H30" s="67"/>
      <c r="I30" s="67"/>
      <c r="J30" s="74"/>
      <c r="K30" s="180"/>
    </row>
    <row r="31" spans="1:11" ht="15.75" customHeight="1">
      <c r="A31" s="3"/>
      <c r="B31" s="121"/>
      <c r="C31" s="67" t="s">
        <v>118</v>
      </c>
      <c r="D31" s="138">
        <v>0</v>
      </c>
      <c r="E31" s="138"/>
      <c r="F31" s="138">
        <v>0</v>
      </c>
      <c r="G31" s="138">
        <v>0</v>
      </c>
      <c r="H31" s="138">
        <v>0</v>
      </c>
      <c r="I31" s="138">
        <v>0</v>
      </c>
      <c r="J31" s="138">
        <v>0</v>
      </c>
      <c r="K31" s="180"/>
    </row>
    <row r="32" spans="1:11" ht="15.75" customHeight="1">
      <c r="A32" s="3"/>
      <c r="B32" s="121"/>
      <c r="C32" s="67" t="s">
        <v>119</v>
      </c>
      <c r="D32" s="184">
        <f>-D8</f>
        <v>-580000</v>
      </c>
      <c r="E32" s="138"/>
      <c r="F32" s="138">
        <v>0</v>
      </c>
      <c r="G32" s="138">
        <v>0</v>
      </c>
      <c r="H32" s="138">
        <v>0</v>
      </c>
      <c r="I32" s="138">
        <v>0</v>
      </c>
      <c r="J32" s="80">
        <f>D9+((J25-D9)*D17)</f>
        <v>80600</v>
      </c>
      <c r="K32" s="180"/>
    </row>
    <row r="33" spans="1:11" ht="15.75" customHeight="1" thickBot="1">
      <c r="A33" s="3"/>
      <c r="B33" s="121"/>
      <c r="C33" s="67" t="s">
        <v>120</v>
      </c>
      <c r="D33" s="186">
        <f>D32+D31+D29</f>
        <v>-580000</v>
      </c>
      <c r="E33" s="187"/>
      <c r="F33" s="127">
        <f>F31+F32+F29</f>
        <v>96780</v>
      </c>
      <c r="G33" s="127">
        <f>G31+G32+G29</f>
        <v>96780</v>
      </c>
      <c r="H33" s="127">
        <f>H31+H32+H29</f>
        <v>96780</v>
      </c>
      <c r="I33" s="127">
        <f>I31+I32+I29</f>
        <v>96780</v>
      </c>
      <c r="J33" s="127">
        <f>J29+J31+J32</f>
        <v>177380</v>
      </c>
      <c r="K33" s="180"/>
    </row>
    <row r="34" spans="1:11" ht="15.75" customHeight="1" thickTop="1">
      <c r="A34" s="3"/>
      <c r="B34" s="121"/>
      <c r="C34" s="67"/>
      <c r="D34" s="188"/>
      <c r="E34" s="67"/>
      <c r="F34" s="67"/>
      <c r="G34" s="67"/>
      <c r="H34" s="67"/>
      <c r="I34" s="67"/>
      <c r="J34" s="74"/>
      <c r="K34" s="180"/>
    </row>
    <row r="35" spans="1:11" ht="15.75" customHeight="1">
      <c r="A35" s="3"/>
      <c r="B35" s="121"/>
      <c r="C35" s="67" t="s">
        <v>121</v>
      </c>
      <c r="D35" s="189">
        <f>NPV(D16,F33:J33)+D33</f>
        <v>-205885.30948647717</v>
      </c>
      <c r="E35" s="67"/>
      <c r="F35" s="67"/>
      <c r="G35" s="67"/>
      <c r="H35" s="67"/>
      <c r="I35" s="67"/>
      <c r="J35" s="74"/>
      <c r="K35" s="180"/>
    </row>
    <row r="36" spans="1:11" ht="15.75" customHeight="1">
      <c r="A36" s="3"/>
      <c r="B36" s="121"/>
      <c r="C36" s="67" t="s">
        <v>43</v>
      </c>
      <c r="D36" s="190">
        <f>-PMT(D16,D10,D35,0)</f>
        <v>-59971.003117627122</v>
      </c>
      <c r="E36" s="67"/>
      <c r="F36" s="67"/>
      <c r="G36" s="67"/>
      <c r="H36" s="67"/>
      <c r="I36" s="67"/>
      <c r="J36" s="74"/>
      <c r="K36" s="180"/>
    </row>
    <row r="37" spans="1:11" ht="15.75" customHeight="1">
      <c r="A37" s="3"/>
      <c r="B37" s="121"/>
      <c r="C37" s="67"/>
      <c r="D37" s="191"/>
      <c r="E37" s="67"/>
      <c r="F37" s="67"/>
      <c r="G37" s="67"/>
      <c r="H37" s="67"/>
      <c r="I37" s="67"/>
      <c r="J37" s="74"/>
      <c r="K37" s="180"/>
    </row>
    <row r="38" spans="1:11" ht="15.75" customHeight="1">
      <c r="A38" s="3"/>
      <c r="B38" s="121"/>
      <c r="C38" s="182" t="s">
        <v>146</v>
      </c>
      <c r="D38" s="74"/>
      <c r="E38" s="67"/>
      <c r="F38" s="67"/>
      <c r="G38" s="67"/>
      <c r="H38" s="67"/>
      <c r="I38" s="67"/>
      <c r="J38" s="74"/>
      <c r="K38" s="180"/>
    </row>
    <row r="39" spans="1:11" ht="15.75" customHeight="1">
      <c r="A39" s="3"/>
      <c r="B39" s="121"/>
      <c r="C39" s="67" t="s">
        <v>24</v>
      </c>
      <c r="D39" s="77">
        <v>0</v>
      </c>
      <c r="E39" s="77"/>
      <c r="F39" s="77">
        <v>1</v>
      </c>
      <c r="G39" s="77">
        <v>2</v>
      </c>
      <c r="H39" s="77">
        <v>3</v>
      </c>
      <c r="I39" s="77">
        <v>4</v>
      </c>
      <c r="J39" s="77">
        <v>5</v>
      </c>
      <c r="K39" s="180"/>
    </row>
    <row r="40" spans="1:11" ht="15.75" customHeight="1">
      <c r="A40" s="3"/>
      <c r="B40" s="121"/>
      <c r="C40" s="67" t="s">
        <v>113</v>
      </c>
      <c r="D40" s="138"/>
      <c r="E40" s="138"/>
      <c r="F40" s="184">
        <f>D12-D11</f>
        <v>180000</v>
      </c>
      <c r="G40" s="184">
        <f>F40-D11</f>
        <v>90000</v>
      </c>
      <c r="H40" s="192"/>
      <c r="I40" s="192"/>
      <c r="J40" s="192"/>
      <c r="K40" s="180"/>
    </row>
    <row r="41" spans="1:11" ht="15.75" customHeight="1">
      <c r="A41" s="3"/>
      <c r="B41" s="121"/>
      <c r="C41" s="67"/>
      <c r="D41" s="138"/>
      <c r="E41" s="138"/>
      <c r="F41" s="138"/>
      <c r="G41" s="138"/>
      <c r="H41" s="74"/>
      <c r="I41" s="74"/>
      <c r="J41" s="74"/>
      <c r="K41" s="180"/>
    </row>
    <row r="42" spans="1:11" ht="15.75" customHeight="1">
      <c r="A42" s="3"/>
      <c r="B42" s="121"/>
      <c r="C42" s="67" t="s">
        <v>12</v>
      </c>
      <c r="D42" s="138"/>
      <c r="E42" s="138"/>
      <c r="F42" s="184">
        <f>$D$11*$D$17</f>
        <v>34200</v>
      </c>
      <c r="G42" s="184">
        <f>$D$11*$D$17</f>
        <v>34200</v>
      </c>
      <c r="H42" s="74"/>
      <c r="I42" s="74"/>
      <c r="J42" s="74"/>
      <c r="K42" s="180"/>
    </row>
    <row r="43" spans="1:11" ht="15.75" customHeight="1">
      <c r="A43" s="3"/>
      <c r="B43" s="121"/>
      <c r="C43" s="67" t="s">
        <v>118</v>
      </c>
      <c r="D43" s="138">
        <v>0</v>
      </c>
      <c r="E43" s="138"/>
      <c r="F43" s="138">
        <v>0</v>
      </c>
      <c r="G43" s="138">
        <v>0</v>
      </c>
      <c r="H43" s="74"/>
      <c r="I43" s="74"/>
      <c r="J43" s="74"/>
      <c r="K43" s="180"/>
    </row>
    <row r="44" spans="1:11" ht="15.75" customHeight="1">
      <c r="A44" s="3"/>
      <c r="B44" s="121"/>
      <c r="C44" s="67" t="s">
        <v>119</v>
      </c>
      <c r="D44" s="80">
        <f>-(D13+((D12-D13)*D17))</f>
        <v>-245200</v>
      </c>
      <c r="E44" s="138"/>
      <c r="F44" s="138">
        <v>0</v>
      </c>
      <c r="G44" s="80">
        <f>D14+((G40-D14)*D17)</f>
        <v>71400</v>
      </c>
      <c r="H44" s="74"/>
      <c r="I44" s="74"/>
      <c r="J44" s="74"/>
      <c r="K44" s="180"/>
    </row>
    <row r="45" spans="1:11" ht="15.75" customHeight="1" thickBot="1">
      <c r="A45" s="3"/>
      <c r="B45" s="121"/>
      <c r="C45" s="67" t="s">
        <v>120</v>
      </c>
      <c r="D45" s="193">
        <f>D42+D43+D44</f>
        <v>-245200</v>
      </c>
      <c r="E45" s="194"/>
      <c r="F45" s="195">
        <f>F42+F43+F44</f>
        <v>34200</v>
      </c>
      <c r="G45" s="193">
        <f>G42+G43+G44</f>
        <v>105600</v>
      </c>
      <c r="H45" s="196"/>
      <c r="I45" s="196"/>
      <c r="J45" s="196"/>
      <c r="K45" s="180"/>
    </row>
    <row r="46" spans="1:11" ht="15.75" customHeight="1" thickTop="1">
      <c r="A46" s="3"/>
      <c r="B46" s="121"/>
      <c r="C46" s="67"/>
      <c r="D46" s="188"/>
      <c r="E46" s="67"/>
      <c r="F46" s="74"/>
      <c r="G46" s="74"/>
      <c r="H46" s="74"/>
      <c r="I46" s="74"/>
      <c r="J46" s="74"/>
      <c r="K46" s="180"/>
    </row>
    <row r="47" spans="1:11" ht="15.75" customHeight="1">
      <c r="A47" s="3"/>
      <c r="B47" s="121"/>
      <c r="C47" s="67" t="s">
        <v>121</v>
      </c>
      <c r="D47" s="189">
        <f>NPV(D16,F45:G45)+D45</f>
        <v>-133944.2289935365</v>
      </c>
      <c r="E47" s="67"/>
      <c r="F47" s="74"/>
      <c r="G47" s="74"/>
      <c r="H47" s="74"/>
      <c r="I47" s="74"/>
      <c r="J47" s="74"/>
      <c r="K47" s="180"/>
    </row>
    <row r="48" spans="1:11" ht="15.75" customHeight="1">
      <c r="A48" s="3"/>
      <c r="B48" s="121"/>
      <c r="C48" s="67" t="s">
        <v>43</v>
      </c>
      <c r="D48" s="190">
        <f>PMT(D16,2,-D47)</f>
        <v>-81342.953271028004</v>
      </c>
      <c r="E48" s="67"/>
      <c r="F48" s="74"/>
      <c r="G48" s="74"/>
      <c r="H48" s="74"/>
      <c r="I48" s="74"/>
      <c r="J48" s="74"/>
      <c r="K48" s="180"/>
    </row>
    <row r="49" spans="1:11" ht="15.75" customHeight="1">
      <c r="A49" s="3"/>
      <c r="B49" s="121"/>
      <c r="C49" s="67"/>
      <c r="D49" s="191"/>
      <c r="E49" s="67"/>
      <c r="F49" s="74"/>
      <c r="G49" s="74"/>
      <c r="H49" s="74"/>
      <c r="I49" s="74"/>
      <c r="J49" s="74"/>
      <c r="K49" s="180"/>
    </row>
    <row r="50" spans="1:11" ht="15.75" customHeight="1">
      <c r="A50" s="3"/>
      <c r="B50" s="181" t="s">
        <v>130</v>
      </c>
      <c r="C50" s="182" t="s">
        <v>147</v>
      </c>
      <c r="D50" s="191"/>
      <c r="E50" s="67"/>
      <c r="F50" s="74"/>
      <c r="G50" s="74"/>
      <c r="H50" s="74"/>
      <c r="I50" s="74"/>
      <c r="J50" s="74"/>
      <c r="K50" s="180"/>
    </row>
    <row r="51" spans="1:11" ht="15.75" customHeight="1">
      <c r="A51" s="3"/>
      <c r="B51" s="121"/>
      <c r="C51" s="67" t="s">
        <v>148</v>
      </c>
      <c r="D51" s="197">
        <f>-D8</f>
        <v>-580000</v>
      </c>
      <c r="E51" s="80"/>
      <c r="F51" s="80">
        <f>F33</f>
        <v>96780</v>
      </c>
      <c r="G51" s="80">
        <f>G33</f>
        <v>96780</v>
      </c>
      <c r="H51" s="80">
        <f>H33</f>
        <v>96780</v>
      </c>
      <c r="I51" s="80">
        <f>I33</f>
        <v>96780</v>
      </c>
      <c r="J51" s="80">
        <f>J33</f>
        <v>177380</v>
      </c>
      <c r="K51" s="180"/>
    </row>
    <row r="52" spans="1:11" ht="15.75" customHeight="1">
      <c r="A52" s="3"/>
      <c r="B52" s="121"/>
      <c r="C52" s="67" t="s">
        <v>149</v>
      </c>
      <c r="D52" s="197">
        <f>-D45</f>
        <v>245200</v>
      </c>
      <c r="E52" s="80"/>
      <c r="F52" s="198">
        <f>-F45</f>
        <v>-34200</v>
      </c>
      <c r="G52" s="80">
        <f>-G45</f>
        <v>-105600</v>
      </c>
      <c r="H52" s="80">
        <f>H45</f>
        <v>0</v>
      </c>
      <c r="I52" s="80">
        <f>I45</f>
        <v>0</v>
      </c>
      <c r="J52" s="80">
        <f>J45</f>
        <v>0</v>
      </c>
      <c r="K52" s="180"/>
    </row>
    <row r="53" spans="1:11" ht="15.75" customHeight="1" thickBot="1">
      <c r="A53" s="3"/>
      <c r="B53" s="121"/>
      <c r="C53" s="67" t="s">
        <v>120</v>
      </c>
      <c r="D53" s="193">
        <f>D51+D52</f>
        <v>-334800</v>
      </c>
      <c r="E53" s="127"/>
      <c r="F53" s="127">
        <f>F51+F52</f>
        <v>62580</v>
      </c>
      <c r="G53" s="127">
        <f>G51+G52</f>
        <v>-8820</v>
      </c>
      <c r="H53" s="127">
        <f>H51+H52</f>
        <v>96780</v>
      </c>
      <c r="I53" s="127">
        <f>I51+I52</f>
        <v>96780</v>
      </c>
      <c r="J53" s="127">
        <f>J51+J52</f>
        <v>177380</v>
      </c>
      <c r="K53" s="180"/>
    </row>
    <row r="54" spans="1:11" ht="15.75" customHeight="1" thickTop="1">
      <c r="A54" s="3"/>
      <c r="B54" s="121"/>
      <c r="C54" s="67"/>
      <c r="D54" s="191"/>
      <c r="E54" s="67"/>
      <c r="F54" s="74"/>
      <c r="G54" s="74"/>
      <c r="H54" s="74"/>
      <c r="I54" s="74"/>
      <c r="J54" s="74"/>
      <c r="K54" s="180"/>
    </row>
    <row r="55" spans="1:11" ht="15.75" customHeight="1">
      <c r="A55" s="3"/>
      <c r="B55" s="121"/>
      <c r="C55" s="67" t="s">
        <v>21</v>
      </c>
      <c r="D55" s="401">
        <f>NPV(D16,F53:J53)+D53</f>
        <v>-71941.080492940673</v>
      </c>
      <c r="E55" s="67"/>
      <c r="F55" s="74"/>
      <c r="G55" s="74"/>
      <c r="H55" s="74"/>
      <c r="I55" s="74"/>
      <c r="J55" s="74"/>
      <c r="K55" s="180"/>
    </row>
    <row r="56" spans="1:11" ht="15.75" customHeight="1" thickBot="1">
      <c r="A56" s="3"/>
      <c r="B56" s="124"/>
      <c r="C56" s="125"/>
      <c r="D56" s="199"/>
      <c r="E56" s="125"/>
      <c r="F56" s="125"/>
      <c r="G56" s="125"/>
      <c r="H56" s="125"/>
      <c r="I56" s="125"/>
      <c r="J56" s="125"/>
      <c r="K56" s="200"/>
    </row>
    <row r="57" spans="1:11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1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1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1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1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1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1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</row>
  </sheetData>
  <phoneticPr fontId="28" type="noConversion"/>
  <pageMargins left="0.75" right="0.75" top="1" bottom="1" header="0.5" footer="0.5"/>
  <pageSetup scale="58" orientation="portrait" horizontalDpi="360" verticalDpi="36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B1:H91"/>
  <sheetViews>
    <sheetView zoomScaleNormal="100" workbookViewId="0"/>
  </sheetViews>
  <sheetFormatPr defaultRowHeight="12.75"/>
  <cols>
    <col min="2" max="2" width="3.140625" customWidth="1"/>
    <col min="3" max="3" width="30.85546875" bestFit="1" customWidth="1"/>
    <col min="4" max="5" width="19.42578125" customWidth="1"/>
    <col min="6" max="6" width="3.140625" customWidth="1"/>
    <col min="7" max="8" width="19.42578125" customWidth="1"/>
    <col min="9" max="9" width="4.7109375" customWidth="1"/>
  </cols>
  <sheetData>
    <row r="1" spans="2:8" ht="18">
      <c r="C1" s="1" t="s">
        <v>436</v>
      </c>
    </row>
    <row r="2" spans="2:8" ht="15.75" customHeight="1">
      <c r="C2" s="3" t="s">
        <v>326</v>
      </c>
    </row>
    <row r="3" spans="2:8" ht="15.75" customHeight="1"/>
    <row r="4" spans="2:8" ht="15.75" customHeight="1">
      <c r="C4" s="2" t="s">
        <v>1</v>
      </c>
    </row>
    <row r="5" spans="2:8" ht="15.75" customHeight="1" thickBot="1"/>
    <row r="6" spans="2:8" ht="15.75" customHeight="1">
      <c r="B6" s="5"/>
      <c r="C6" s="6"/>
      <c r="D6" s="6"/>
      <c r="E6" s="6"/>
      <c r="F6" s="7"/>
    </row>
    <row r="7" spans="2:8" ht="15.75" customHeight="1">
      <c r="B7" s="8"/>
      <c r="C7" s="13" t="s">
        <v>385</v>
      </c>
      <c r="D7" s="85">
        <v>1450000</v>
      </c>
      <c r="E7" s="85"/>
      <c r="F7" s="9"/>
      <c r="H7" s="57"/>
    </row>
    <row r="8" spans="2:8" ht="15.75" customHeight="1">
      <c r="B8" s="8"/>
      <c r="C8" s="13" t="s">
        <v>386</v>
      </c>
      <c r="D8" s="85">
        <v>61000</v>
      </c>
      <c r="E8" s="85"/>
      <c r="F8" s="9"/>
      <c r="H8" s="57"/>
    </row>
    <row r="9" spans="2:8" ht="15.75" customHeight="1">
      <c r="B9" s="8"/>
      <c r="C9" s="13"/>
      <c r="D9" s="85"/>
      <c r="E9" s="85"/>
      <c r="F9" s="9"/>
      <c r="H9" s="57"/>
    </row>
    <row r="10" spans="2:8" ht="15.75" customHeight="1">
      <c r="B10" s="8"/>
      <c r="C10" s="274"/>
      <c r="D10" s="329" t="s">
        <v>387</v>
      </c>
      <c r="E10" s="330" t="s">
        <v>389</v>
      </c>
      <c r="F10" s="9"/>
      <c r="H10" s="57"/>
    </row>
    <row r="11" spans="2:8" ht="15.75" customHeight="1">
      <c r="B11" s="8"/>
      <c r="C11" s="13" t="s">
        <v>388</v>
      </c>
      <c r="D11" s="85">
        <v>95000</v>
      </c>
      <c r="E11" s="85">
        <v>125000</v>
      </c>
      <c r="F11" s="9"/>
    </row>
    <row r="12" spans="2:8" ht="15.75" customHeight="1">
      <c r="B12" s="8"/>
      <c r="C12" s="13" t="s">
        <v>165</v>
      </c>
      <c r="D12" s="85">
        <v>195000</v>
      </c>
      <c r="E12" s="85">
        <v>230000</v>
      </c>
      <c r="F12" s="9"/>
    </row>
    <row r="13" spans="2:8" ht="15.75" customHeight="1">
      <c r="B13" s="8"/>
      <c r="C13" s="13" t="s">
        <v>390</v>
      </c>
      <c r="D13" s="85">
        <v>180000</v>
      </c>
      <c r="E13" s="85">
        <v>215000</v>
      </c>
      <c r="F13" s="9"/>
    </row>
    <row r="14" spans="2:8" ht="15.75" customHeight="1">
      <c r="B14" s="8"/>
      <c r="C14" s="13" t="s">
        <v>391</v>
      </c>
      <c r="D14" s="85">
        <v>70000</v>
      </c>
      <c r="E14" s="85">
        <v>90000</v>
      </c>
      <c r="F14" s="9"/>
    </row>
    <row r="15" spans="2:8" ht="15.75" customHeight="1">
      <c r="B15" s="8"/>
      <c r="C15" s="13" t="s">
        <v>392</v>
      </c>
      <c r="D15" s="85">
        <v>55000</v>
      </c>
      <c r="E15" s="85">
        <v>80000</v>
      </c>
      <c r="F15" s="9"/>
    </row>
    <row r="16" spans="2:8" ht="15.75" customHeight="1">
      <c r="B16" s="8"/>
      <c r="C16" s="13"/>
      <c r="D16" s="91"/>
      <c r="E16" s="91"/>
      <c r="F16" s="9"/>
    </row>
    <row r="17" spans="2:6" ht="15.75" customHeight="1">
      <c r="B17" s="8"/>
      <c r="C17" s="13" t="s">
        <v>394</v>
      </c>
      <c r="D17" s="91">
        <v>15</v>
      </c>
      <c r="E17" s="85"/>
      <c r="F17" s="9"/>
    </row>
    <row r="18" spans="2:6" ht="15.75" customHeight="1">
      <c r="B18" s="8"/>
      <c r="C18" s="13" t="s">
        <v>6</v>
      </c>
      <c r="D18" s="153">
        <v>0.34</v>
      </c>
      <c r="E18" s="153"/>
      <c r="F18" s="9"/>
    </row>
    <row r="19" spans="2:6" ht="15.75" customHeight="1">
      <c r="B19" s="8"/>
      <c r="C19" s="13" t="s">
        <v>20</v>
      </c>
      <c r="D19" s="153">
        <v>0.12</v>
      </c>
      <c r="E19" s="153"/>
      <c r="F19" s="9"/>
    </row>
    <row r="20" spans="2:6" ht="15.75" customHeight="1" thickBot="1">
      <c r="B20" s="10"/>
      <c r="C20" s="66"/>
      <c r="D20" s="66"/>
      <c r="E20" s="66"/>
      <c r="F20" s="12"/>
    </row>
    <row r="21" spans="2:6" ht="15.75" customHeight="1">
      <c r="B21" s="65"/>
      <c r="F21" s="65"/>
    </row>
    <row r="22" spans="2:6" ht="15.75" customHeight="1">
      <c r="C22" s="2" t="s">
        <v>2</v>
      </c>
    </row>
    <row r="23" spans="2:6" ht="15.75" customHeight="1" thickBot="1"/>
    <row r="24" spans="2:6" ht="15.75" customHeight="1">
      <c r="B24" s="69"/>
      <c r="C24" s="70"/>
      <c r="D24" s="70"/>
      <c r="E24" s="70"/>
      <c r="F24" s="156"/>
    </row>
    <row r="25" spans="2:6" ht="15.75" customHeight="1">
      <c r="B25" s="71"/>
      <c r="C25" s="266" t="s">
        <v>393</v>
      </c>
      <c r="D25" s="332"/>
      <c r="E25" s="332"/>
      <c r="F25" s="22"/>
    </row>
    <row r="26" spans="2:6" ht="15.75" customHeight="1">
      <c r="B26" s="71"/>
      <c r="C26" s="19" t="s">
        <v>395</v>
      </c>
      <c r="D26" s="97">
        <f>D8</f>
        <v>61000</v>
      </c>
      <c r="E26" s="97"/>
      <c r="F26" s="22"/>
    </row>
    <row r="27" spans="2:6" ht="15.75" customHeight="1">
      <c r="B27" s="167"/>
      <c r="C27" s="19" t="s">
        <v>79</v>
      </c>
      <c r="D27" s="223">
        <f>D26*D18</f>
        <v>20740</v>
      </c>
      <c r="E27" s="331"/>
      <c r="F27" s="22"/>
    </row>
    <row r="28" spans="2:6" ht="15.75" customHeight="1">
      <c r="B28" s="71"/>
      <c r="C28" s="19" t="s">
        <v>115</v>
      </c>
      <c r="D28" s="97">
        <f>D26-D27</f>
        <v>40260</v>
      </c>
      <c r="E28" s="97"/>
      <c r="F28" s="22"/>
    </row>
    <row r="29" spans="2:6" ht="15.75" customHeight="1">
      <c r="B29" s="71"/>
      <c r="C29" s="19"/>
      <c r="D29" s="140"/>
      <c r="E29" s="140"/>
      <c r="F29" s="22"/>
    </row>
    <row r="30" spans="2:6" ht="15.75" customHeight="1">
      <c r="B30" s="71"/>
      <c r="C30" s="19" t="s">
        <v>21</v>
      </c>
      <c r="D30" s="139">
        <f>PV(D19,D17,-D28)</f>
        <v>274205.40434586117</v>
      </c>
      <c r="E30" s="97"/>
      <c r="F30" s="22"/>
    </row>
    <row r="31" spans="2:6" ht="15.75" customHeight="1">
      <c r="B31" s="71"/>
      <c r="C31" s="19"/>
      <c r="D31" s="222"/>
      <c r="E31" s="222"/>
      <c r="F31" s="22"/>
    </row>
    <row r="32" spans="2:6" ht="15.75" customHeight="1">
      <c r="B32" s="71"/>
      <c r="C32" s="266" t="s">
        <v>387</v>
      </c>
      <c r="D32" s="333" t="s">
        <v>396</v>
      </c>
      <c r="E32" s="333" t="s">
        <v>397</v>
      </c>
      <c r="F32" s="22"/>
    </row>
    <row r="33" spans="2:6" ht="15.75" customHeight="1">
      <c r="B33" s="71"/>
      <c r="C33" s="19" t="s">
        <v>398</v>
      </c>
      <c r="D33" s="80">
        <f>D13</f>
        <v>180000</v>
      </c>
      <c r="E33" s="80">
        <f>D33</f>
        <v>180000</v>
      </c>
      <c r="F33" s="22"/>
    </row>
    <row r="34" spans="2:6" ht="15.75" customHeight="1">
      <c r="B34" s="71"/>
      <c r="C34" s="19" t="s">
        <v>399</v>
      </c>
      <c r="D34" s="81">
        <f>D14</f>
        <v>70000</v>
      </c>
      <c r="E34" s="81">
        <f>D34</f>
        <v>70000</v>
      </c>
      <c r="F34" s="22"/>
    </row>
    <row r="35" spans="2:6" ht="15.75" customHeight="1">
      <c r="B35" s="71"/>
      <c r="C35" s="19" t="s">
        <v>5</v>
      </c>
      <c r="D35" s="81">
        <f>(D12+D11)/D17</f>
        <v>19333.333333333332</v>
      </c>
      <c r="E35" s="81">
        <f>D35</f>
        <v>19333.333333333332</v>
      </c>
      <c r="F35" s="22"/>
    </row>
    <row r="36" spans="2:6" ht="15.75" customHeight="1">
      <c r="B36" s="71"/>
      <c r="C36" s="19" t="s">
        <v>400</v>
      </c>
      <c r="D36" s="83">
        <f>0</f>
        <v>0</v>
      </c>
      <c r="E36" s="83">
        <f>D15</f>
        <v>55000</v>
      </c>
      <c r="F36" s="22"/>
    </row>
    <row r="37" spans="2:6" ht="15.75" customHeight="1">
      <c r="B37" s="71"/>
      <c r="C37" s="19" t="s">
        <v>8</v>
      </c>
      <c r="D37" s="80">
        <f>D33-D34-D35-D36</f>
        <v>90666.666666666672</v>
      </c>
      <c r="E37" s="80">
        <f>E33-E34-E35-E36</f>
        <v>35666.666666666672</v>
      </c>
      <c r="F37" s="22"/>
    </row>
    <row r="38" spans="2:6" ht="15.75" customHeight="1">
      <c r="B38" s="71"/>
      <c r="C38" s="19" t="s">
        <v>155</v>
      </c>
      <c r="D38" s="83">
        <f>D37*D18</f>
        <v>30826.666666666672</v>
      </c>
      <c r="E38" s="83">
        <f>E37*D18</f>
        <v>12126.66666666667</v>
      </c>
      <c r="F38" s="22"/>
    </row>
    <row r="39" spans="2:6" ht="15.75" customHeight="1" thickBot="1">
      <c r="B39" s="71"/>
      <c r="C39" s="19" t="s">
        <v>339</v>
      </c>
      <c r="D39" s="160">
        <f>D37-D38</f>
        <v>59840</v>
      </c>
      <c r="E39" s="160">
        <f>E37-E38</f>
        <v>23540</v>
      </c>
      <c r="F39" s="22"/>
    </row>
    <row r="40" spans="2:6" ht="15.75" customHeight="1" thickTop="1">
      <c r="B40" s="71"/>
      <c r="C40" s="19" t="s">
        <v>11</v>
      </c>
      <c r="D40" s="97">
        <f>D39+D35</f>
        <v>79173.333333333328</v>
      </c>
      <c r="E40" s="97">
        <f>E39+E35</f>
        <v>42873.333333333328</v>
      </c>
      <c r="F40" s="22"/>
    </row>
    <row r="41" spans="2:6" ht="15.75" customHeight="1">
      <c r="B41" s="71"/>
      <c r="C41" s="19"/>
      <c r="D41" s="97"/>
      <c r="E41" s="142"/>
      <c r="F41" s="22"/>
    </row>
    <row r="42" spans="2:6" ht="15.75" customHeight="1">
      <c r="B42" s="71"/>
      <c r="C42" s="19" t="s">
        <v>21</v>
      </c>
      <c r="D42" s="139">
        <f>PV(D19,D17-1,-D40)+PV(D19,D17,0,-E40)-(D12+D11)</f>
        <v>242606.97022868576</v>
      </c>
      <c r="E42" s="142"/>
      <c r="F42" s="22"/>
    </row>
    <row r="43" spans="2:6" ht="15.75" customHeight="1">
      <c r="B43" s="71"/>
      <c r="C43" s="19"/>
      <c r="D43" s="97"/>
      <c r="E43" s="142"/>
      <c r="F43" s="22"/>
    </row>
    <row r="44" spans="2:6" ht="15.75" customHeight="1">
      <c r="B44" s="71"/>
      <c r="C44" s="266" t="s">
        <v>389</v>
      </c>
      <c r="D44" s="333" t="s">
        <v>396</v>
      </c>
      <c r="E44" s="333" t="s">
        <v>397</v>
      </c>
      <c r="F44" s="22"/>
    </row>
    <row r="45" spans="2:6" ht="15.75" customHeight="1">
      <c r="B45" s="71"/>
      <c r="C45" s="19" t="s">
        <v>398</v>
      </c>
      <c r="D45" s="80">
        <f>E13</f>
        <v>215000</v>
      </c>
      <c r="E45" s="80">
        <f>D45</f>
        <v>215000</v>
      </c>
      <c r="F45" s="22"/>
    </row>
    <row r="46" spans="2:6" ht="15.75" customHeight="1">
      <c r="B46" s="71"/>
      <c r="C46" s="19" t="s">
        <v>399</v>
      </c>
      <c r="D46" s="81">
        <f>E14</f>
        <v>90000</v>
      </c>
      <c r="E46" s="81">
        <f>D46</f>
        <v>90000</v>
      </c>
      <c r="F46" s="22"/>
    </row>
    <row r="47" spans="2:6" ht="15.75" customHeight="1">
      <c r="B47" s="71"/>
      <c r="C47" s="19" t="s">
        <v>5</v>
      </c>
      <c r="D47" s="81">
        <f>(E11+E12)/D17</f>
        <v>23666.666666666668</v>
      </c>
      <c r="E47" s="81">
        <f>D47</f>
        <v>23666.666666666668</v>
      </c>
      <c r="F47" s="22"/>
    </row>
    <row r="48" spans="2:6" ht="15.75" customHeight="1">
      <c r="B48" s="71"/>
      <c r="C48" s="19" t="s">
        <v>400</v>
      </c>
      <c r="D48" s="83">
        <f>0</f>
        <v>0</v>
      </c>
      <c r="E48" s="83">
        <f>E15</f>
        <v>80000</v>
      </c>
      <c r="F48" s="22"/>
    </row>
    <row r="49" spans="2:6" ht="15.75" customHeight="1">
      <c r="B49" s="71"/>
      <c r="C49" s="19" t="s">
        <v>8</v>
      </c>
      <c r="D49" s="80">
        <f>D45-D46-D47-D48</f>
        <v>101333.33333333333</v>
      </c>
      <c r="E49" s="80">
        <f>E45-E46-E47-E48</f>
        <v>21333.333333333328</v>
      </c>
      <c r="F49" s="22"/>
    </row>
    <row r="50" spans="2:6" ht="15.75" customHeight="1">
      <c r="B50" s="71"/>
      <c r="C50" s="19" t="s">
        <v>155</v>
      </c>
      <c r="D50" s="83">
        <f>D49*D18</f>
        <v>34453.333333333336</v>
      </c>
      <c r="E50" s="83">
        <f>E49*D18</f>
        <v>7253.3333333333321</v>
      </c>
      <c r="F50" s="22"/>
    </row>
    <row r="51" spans="2:6" ht="15.75" customHeight="1" thickBot="1">
      <c r="B51" s="71"/>
      <c r="C51" s="19" t="s">
        <v>339</v>
      </c>
      <c r="D51" s="160">
        <f>D49-D50</f>
        <v>66880</v>
      </c>
      <c r="E51" s="160">
        <f>E49-E50</f>
        <v>14079.999999999996</v>
      </c>
      <c r="F51" s="22"/>
    </row>
    <row r="52" spans="2:6" ht="15.75" customHeight="1" thickTop="1">
      <c r="B52" s="71"/>
      <c r="C52" s="19" t="s">
        <v>11</v>
      </c>
      <c r="D52" s="97">
        <f>D51+D47</f>
        <v>90546.666666666672</v>
      </c>
      <c r="E52" s="97">
        <f>E51+E47</f>
        <v>37746.666666666664</v>
      </c>
      <c r="F52" s="22"/>
    </row>
    <row r="53" spans="2:6" ht="15.75" customHeight="1">
      <c r="B53" s="71"/>
      <c r="C53" s="19"/>
      <c r="D53" s="97"/>
      <c r="E53" s="142"/>
      <c r="F53" s="22"/>
    </row>
    <row r="54" spans="2:6" ht="15.75" customHeight="1">
      <c r="B54" s="71"/>
      <c r="C54" s="19" t="s">
        <v>21</v>
      </c>
      <c r="D54" s="139">
        <f>PV(D19,D17-1,-D52)+PV(D19,D17,0,-E52)-(E11+E12)</f>
        <v>252054.714044675</v>
      </c>
      <c r="E54" s="142"/>
      <c r="F54" s="22"/>
    </row>
    <row r="55" spans="2:6" ht="15.75" customHeight="1">
      <c r="B55" s="71"/>
      <c r="C55" s="19"/>
      <c r="D55" s="162"/>
      <c r="E55" s="142"/>
      <c r="F55" s="22"/>
    </row>
    <row r="56" spans="2:6" ht="15.75" customHeight="1">
      <c r="B56" s="71"/>
      <c r="C56" s="266" t="s">
        <v>447</v>
      </c>
      <c r="D56" s="162"/>
      <c r="E56" s="142"/>
      <c r="F56" s="22"/>
    </row>
    <row r="57" spans="2:6" ht="15.75" customHeight="1">
      <c r="B57" s="71"/>
      <c r="C57" s="19" t="s">
        <v>448</v>
      </c>
      <c r="D57" s="139">
        <f>D42-D30</f>
        <v>-31598.434117175406</v>
      </c>
      <c r="E57" s="142"/>
      <c r="F57" s="22"/>
    </row>
    <row r="58" spans="2:6" ht="15.75" customHeight="1">
      <c r="B58" s="71"/>
      <c r="C58" s="19" t="s">
        <v>449</v>
      </c>
      <c r="D58" s="139">
        <f>D54-D30</f>
        <v>-22150.690301186172</v>
      </c>
      <c r="E58" s="142"/>
      <c r="F58" s="22"/>
    </row>
    <row r="59" spans="2:6" ht="15.75" customHeight="1" thickBot="1">
      <c r="B59" s="72"/>
      <c r="C59" s="53"/>
      <c r="D59" s="53"/>
      <c r="E59" s="53"/>
      <c r="F59" s="51"/>
    </row>
    <row r="60" spans="2:6" ht="15.75" customHeight="1"/>
    <row r="61" spans="2:6" ht="15.75" customHeight="1"/>
    <row r="62" spans="2:6" ht="15.75" customHeight="1"/>
    <row r="63" spans="2:6" ht="15.75" customHeight="1"/>
    <row r="64" spans="2:6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</sheetData>
  <phoneticPr fontId="0" type="noConversion"/>
  <pageMargins left="0.75" right="0.75" top="1" bottom="1" header="0.5" footer="0.5"/>
  <pageSetup scale="55" orientation="landscape" horizontalDpi="360" verticalDpi="36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B1:H52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6" max="7" width="18.140625" customWidth="1"/>
    <col min="8" max="8" width="3.140625" customWidth="1"/>
  </cols>
  <sheetData>
    <row r="1" spans="2:5" ht="18">
      <c r="C1" s="1" t="s">
        <v>436</v>
      </c>
    </row>
    <row r="2" spans="2:5" ht="15.75" customHeight="1">
      <c r="C2" s="3" t="s">
        <v>325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13" t="s">
        <v>356</v>
      </c>
      <c r="D7" s="85">
        <v>265000</v>
      </c>
      <c r="E7" s="9"/>
    </row>
    <row r="8" spans="2:5" ht="15.75" customHeight="1">
      <c r="B8" s="8"/>
      <c r="C8" s="13" t="s">
        <v>357</v>
      </c>
      <c r="D8" s="85">
        <v>185000</v>
      </c>
      <c r="E8" s="9"/>
    </row>
    <row r="9" spans="2:5" ht="15.75" customHeight="1">
      <c r="B9" s="8"/>
      <c r="C9" s="13" t="s">
        <v>358</v>
      </c>
      <c r="D9" s="275">
        <v>55000</v>
      </c>
      <c r="E9" s="9"/>
    </row>
    <row r="10" spans="2:5" ht="15.75" customHeight="1">
      <c r="B10" s="8"/>
      <c r="C10" s="13" t="s">
        <v>359</v>
      </c>
      <c r="D10" s="275">
        <v>90000</v>
      </c>
      <c r="E10" s="9"/>
    </row>
    <row r="11" spans="2:5" ht="15.75" customHeight="1">
      <c r="B11" s="8"/>
      <c r="C11" s="13" t="s">
        <v>360</v>
      </c>
      <c r="D11" s="320">
        <v>0.04</v>
      </c>
      <c r="E11" s="9"/>
    </row>
    <row r="12" spans="2:5" ht="15.75" customHeight="1">
      <c r="B12" s="8"/>
      <c r="C12" s="13" t="s">
        <v>361</v>
      </c>
      <c r="D12" s="153">
        <v>0.03</v>
      </c>
      <c r="E12" s="9"/>
    </row>
    <row r="13" spans="2:5" ht="15.75" customHeight="1">
      <c r="B13" s="8"/>
      <c r="C13" s="13" t="s">
        <v>362</v>
      </c>
      <c r="D13" s="153">
        <v>0.01</v>
      </c>
      <c r="E13" s="9"/>
    </row>
    <row r="14" spans="2:5" ht="15.75" customHeight="1">
      <c r="B14" s="8"/>
      <c r="C14" s="13" t="s">
        <v>207</v>
      </c>
      <c r="D14" s="153">
        <v>0.06</v>
      </c>
      <c r="E14" s="9"/>
    </row>
    <row r="15" spans="2:5" ht="15.75" customHeight="1">
      <c r="B15" s="8"/>
      <c r="C15" s="13" t="s">
        <v>210</v>
      </c>
      <c r="D15" s="153">
        <v>0.1</v>
      </c>
      <c r="E15" s="9"/>
    </row>
    <row r="16" spans="2:5" ht="15.75" customHeight="1">
      <c r="B16" s="8"/>
      <c r="C16" s="13" t="s">
        <v>6</v>
      </c>
      <c r="D16" s="153">
        <v>0.34</v>
      </c>
      <c r="E16" s="9"/>
    </row>
    <row r="17" spans="2:6" ht="15.75" customHeight="1" thickBot="1">
      <c r="B17" s="10"/>
      <c r="C17" s="28"/>
      <c r="D17" s="62"/>
      <c r="E17" s="12"/>
    </row>
    <row r="18" spans="2:6" ht="15.75" customHeight="1"/>
    <row r="19" spans="2:6" ht="15.75" customHeight="1">
      <c r="C19" s="2" t="s">
        <v>2</v>
      </c>
    </row>
    <row r="20" spans="2:6" ht="15.75" customHeight="1" thickBot="1"/>
    <row r="21" spans="2:6" ht="15.75" customHeight="1">
      <c r="B21" s="15"/>
      <c r="C21" s="16"/>
      <c r="D21" s="16"/>
      <c r="E21" s="17"/>
      <c r="F21" s="30"/>
    </row>
    <row r="22" spans="2:6" ht="15.75" customHeight="1">
      <c r="B22" s="18"/>
      <c r="C22" s="266" t="s">
        <v>363</v>
      </c>
      <c r="D22" s="142"/>
      <c r="E22" s="21"/>
      <c r="F22" s="30"/>
    </row>
    <row r="23" spans="2:6" ht="15.75" customHeight="1">
      <c r="B23" s="18"/>
      <c r="C23" s="19" t="s">
        <v>255</v>
      </c>
      <c r="D23" s="142">
        <f>D7/(1+D14)</f>
        <v>250000</v>
      </c>
      <c r="E23" s="21"/>
      <c r="F23" s="30"/>
    </row>
    <row r="24" spans="2:6" ht="15.75" customHeight="1">
      <c r="B24" s="18"/>
      <c r="C24" s="19" t="s">
        <v>364</v>
      </c>
      <c r="D24" s="142">
        <f>D8/(1+D14)</f>
        <v>174528.30188679244</v>
      </c>
      <c r="E24" s="21"/>
      <c r="F24" s="30"/>
    </row>
    <row r="25" spans="2:6" ht="15.75" customHeight="1">
      <c r="B25" s="18"/>
      <c r="C25" s="19" t="s">
        <v>365</v>
      </c>
      <c r="D25" s="142">
        <f>D9/(1+D14)</f>
        <v>51886.792452830188</v>
      </c>
      <c r="E25" s="21"/>
      <c r="F25" s="30"/>
    </row>
    <row r="26" spans="2:6" ht="15.75" customHeight="1">
      <c r="B26" s="18"/>
      <c r="C26" s="19" t="s">
        <v>367</v>
      </c>
      <c r="D26" s="142">
        <f>D10/(1+D14)</f>
        <v>84905.660377358479</v>
      </c>
      <c r="E26" s="21"/>
      <c r="F26" s="30"/>
    </row>
    <row r="27" spans="2:6" ht="15.75" customHeight="1">
      <c r="B27" s="18"/>
      <c r="C27" s="19"/>
      <c r="D27" s="142"/>
      <c r="E27" s="21"/>
      <c r="F27" s="30"/>
    </row>
    <row r="28" spans="2:6" ht="15.75" customHeight="1">
      <c r="B28" s="18"/>
      <c r="C28" s="266" t="s">
        <v>368</v>
      </c>
      <c r="D28" s="289"/>
      <c r="E28" s="21"/>
      <c r="F28" s="30"/>
    </row>
    <row r="29" spans="2:6" ht="15.75" customHeight="1">
      <c r="B29" s="18"/>
      <c r="C29" s="19" t="s">
        <v>255</v>
      </c>
      <c r="D29" s="142">
        <f>D23/(D15-D11)</f>
        <v>4166666.6666666665</v>
      </c>
      <c r="E29" s="21"/>
      <c r="F29" s="30"/>
    </row>
    <row r="30" spans="2:6" ht="15.75" customHeight="1">
      <c r="B30" s="18"/>
      <c r="C30" s="19" t="s">
        <v>364</v>
      </c>
      <c r="D30" s="142">
        <f>D24/(D15-D12)</f>
        <v>2493261.4555256059</v>
      </c>
      <c r="E30" s="21"/>
      <c r="F30" s="30"/>
    </row>
    <row r="31" spans="2:6" ht="15.75" customHeight="1">
      <c r="B31" s="18"/>
      <c r="C31" s="19" t="s">
        <v>365</v>
      </c>
      <c r="D31" s="142">
        <f>D25/(D15-D13)</f>
        <v>576519.91614255763</v>
      </c>
      <c r="E31" s="21"/>
      <c r="F31" s="30"/>
    </row>
    <row r="32" spans="2:6" ht="15.75" customHeight="1">
      <c r="B32" s="18"/>
      <c r="C32" s="19" t="s">
        <v>367</v>
      </c>
      <c r="D32" s="142">
        <f>D26/(D15-(-D14))</f>
        <v>530660.37735849048</v>
      </c>
      <c r="E32" s="21"/>
      <c r="F32" s="31"/>
    </row>
    <row r="33" spans="2:8" ht="15.75" customHeight="1">
      <c r="B33" s="18"/>
      <c r="C33" s="19"/>
      <c r="D33" s="142"/>
      <c r="E33" s="21"/>
      <c r="F33" s="31"/>
    </row>
    <row r="34" spans="2:8" ht="15.75" customHeight="1">
      <c r="B34" s="18"/>
      <c r="C34" s="266" t="s">
        <v>366</v>
      </c>
      <c r="D34" s="142"/>
      <c r="E34" s="21"/>
      <c r="F34" s="31"/>
    </row>
    <row r="35" spans="2:8" ht="15.75" customHeight="1">
      <c r="B35" s="18"/>
      <c r="C35" s="19" t="s">
        <v>255</v>
      </c>
      <c r="D35" s="142">
        <f>D29*(1-$D$16)</f>
        <v>2749999.9999999995</v>
      </c>
      <c r="E35" s="21"/>
      <c r="F35" s="31"/>
    </row>
    <row r="36" spans="2:8" ht="15.75" customHeight="1">
      <c r="B36" s="18"/>
      <c r="C36" s="19" t="s">
        <v>364</v>
      </c>
      <c r="D36" s="142">
        <f>D30*(1-$D$16)</f>
        <v>1645552.5606468997</v>
      </c>
      <c r="E36" s="21"/>
      <c r="F36" s="31"/>
    </row>
    <row r="37" spans="2:8" ht="15.75" customHeight="1">
      <c r="B37" s="18"/>
      <c r="C37" s="19" t="s">
        <v>365</v>
      </c>
      <c r="D37" s="142">
        <f>D31*(1-$D$16)</f>
        <v>380503.14465408801</v>
      </c>
      <c r="E37" s="21"/>
      <c r="F37" s="31"/>
    </row>
    <row r="38" spans="2:8" ht="15.75" customHeight="1">
      <c r="B38" s="18"/>
      <c r="C38" s="19" t="s">
        <v>367</v>
      </c>
      <c r="D38" s="142">
        <f>D32*(1-$D$16)</f>
        <v>350235.84905660368</v>
      </c>
      <c r="E38" s="21"/>
      <c r="F38" s="31"/>
    </row>
    <row r="39" spans="2:8" ht="15.75" customHeight="1">
      <c r="B39" s="18"/>
      <c r="C39" s="19"/>
      <c r="D39" s="142"/>
      <c r="E39" s="21"/>
      <c r="F39" s="31"/>
    </row>
    <row r="40" spans="2:8" ht="15.75" customHeight="1">
      <c r="B40" s="18"/>
      <c r="C40" s="19" t="s">
        <v>21</v>
      </c>
      <c r="D40" s="139">
        <f>D35-D36-D37-D38</f>
        <v>373708.44564240816</v>
      </c>
      <c r="E40" s="21"/>
      <c r="F40" s="31"/>
    </row>
    <row r="41" spans="2:8" ht="15.75" customHeight="1" thickBot="1">
      <c r="B41" s="23"/>
      <c r="C41" s="53"/>
      <c r="D41" s="64"/>
      <c r="E41" s="25"/>
      <c r="F41" s="30"/>
    </row>
    <row r="42" spans="2:8" ht="15.75" customHeight="1">
      <c r="B42" s="14"/>
      <c r="C42" s="14"/>
      <c r="D42" s="14"/>
      <c r="E42" s="14"/>
      <c r="F42" s="14"/>
      <c r="G42" s="14"/>
      <c r="H42" s="14"/>
    </row>
    <row r="43" spans="2:8" ht="15.75" customHeight="1"/>
    <row r="44" spans="2:8" ht="15.75" customHeight="1">
      <c r="D44" s="26"/>
    </row>
    <row r="45" spans="2:8" ht="15.75" customHeight="1"/>
    <row r="46" spans="2:8" ht="15.75" customHeight="1"/>
    <row r="47" spans="2:8" ht="15.75" customHeight="1"/>
    <row r="48" spans="2:8" ht="15.75" customHeight="1"/>
    <row r="49" ht="15.75" customHeight="1"/>
    <row r="50" ht="15.75" customHeight="1"/>
    <row r="51" ht="15.75" customHeight="1"/>
    <row r="52" ht="15.75" customHeight="1"/>
  </sheetData>
  <phoneticPr fontId="0" type="noConversion"/>
  <pageMargins left="0.75" right="0.75" top="1" bottom="1" header="0.5" footer="0.5"/>
  <pageSetup scale="92" orientation="portrait" horizontalDpi="360" verticalDpi="36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dimension ref="B1:M58"/>
  <sheetViews>
    <sheetView zoomScaleNormal="100" workbookViewId="0"/>
  </sheetViews>
  <sheetFormatPr defaultRowHeight="12.75"/>
  <cols>
    <col min="2" max="2" width="3.140625" customWidth="1"/>
    <col min="3" max="3" width="30.42578125" bestFit="1" customWidth="1"/>
    <col min="4" max="4" width="19.42578125" bestFit="1" customWidth="1"/>
    <col min="5" max="8" width="18.85546875" bestFit="1" customWidth="1"/>
    <col min="9" max="9" width="3.140625" customWidth="1"/>
    <col min="10" max="13" width="10.28515625" bestFit="1" customWidth="1"/>
  </cols>
  <sheetData>
    <row r="1" spans="2:8" ht="18">
      <c r="C1" s="1" t="s">
        <v>436</v>
      </c>
    </row>
    <row r="2" spans="2:8" ht="15.75" customHeight="1">
      <c r="C2" s="3" t="s">
        <v>384</v>
      </c>
    </row>
    <row r="3" spans="2:8" ht="15.75" customHeight="1"/>
    <row r="4" spans="2:8" ht="15.75" customHeight="1">
      <c r="C4" s="2" t="s">
        <v>1</v>
      </c>
    </row>
    <row r="5" spans="2:8" ht="15.75" customHeight="1" thickBot="1"/>
    <row r="6" spans="2:8" ht="15.75" customHeight="1">
      <c r="B6" s="5"/>
      <c r="C6" s="6"/>
      <c r="D6" s="6"/>
      <c r="E6" s="6"/>
      <c r="F6" s="324"/>
      <c r="G6" s="324"/>
      <c r="H6" s="325"/>
    </row>
    <row r="7" spans="2:8" ht="15.75" customHeight="1">
      <c r="B7" s="8"/>
      <c r="C7" s="13" t="s">
        <v>370</v>
      </c>
      <c r="D7" s="85">
        <v>165000000</v>
      </c>
      <c r="E7" s="286"/>
      <c r="F7" s="326"/>
      <c r="G7" s="326"/>
      <c r="H7" s="41"/>
    </row>
    <row r="8" spans="2:8" ht="15.75" customHeight="1">
      <c r="B8" s="8"/>
      <c r="C8" s="13" t="s">
        <v>52</v>
      </c>
      <c r="D8" s="85"/>
      <c r="E8" s="286"/>
      <c r="F8" s="326"/>
      <c r="G8" s="326"/>
      <c r="H8" s="41"/>
    </row>
    <row r="9" spans="2:8" ht="15.75" customHeight="1">
      <c r="B9" s="8"/>
      <c r="C9" s="13" t="s">
        <v>6</v>
      </c>
      <c r="D9" s="153">
        <v>0.34</v>
      </c>
      <c r="E9" s="286"/>
      <c r="F9" s="326"/>
      <c r="G9" s="326"/>
      <c r="H9" s="41"/>
    </row>
    <row r="10" spans="2:8" ht="15.75" customHeight="1">
      <c r="B10" s="8"/>
      <c r="C10" s="13" t="s">
        <v>371</v>
      </c>
      <c r="D10" s="265">
        <v>495</v>
      </c>
      <c r="E10" s="286"/>
      <c r="F10" s="326"/>
      <c r="G10" s="326"/>
      <c r="H10" s="41"/>
    </row>
    <row r="11" spans="2:8" ht="15.75" customHeight="1">
      <c r="B11" s="8"/>
      <c r="C11" s="13" t="s">
        <v>372</v>
      </c>
      <c r="D11" s="321">
        <v>15.75</v>
      </c>
      <c r="E11" s="286"/>
      <c r="F11" s="326"/>
      <c r="G11" s="326"/>
      <c r="H11" s="41"/>
    </row>
    <row r="12" spans="2:8" ht="15.75" customHeight="1">
      <c r="B12" s="8"/>
      <c r="C12" s="13" t="s">
        <v>373</v>
      </c>
      <c r="D12" s="153">
        <v>0.02</v>
      </c>
      <c r="E12" s="286"/>
      <c r="F12" s="326"/>
      <c r="G12" s="326"/>
      <c r="H12" s="41"/>
    </row>
    <row r="13" spans="2:8" ht="15.75" customHeight="1">
      <c r="B13" s="8"/>
      <c r="C13" s="13" t="s">
        <v>374</v>
      </c>
      <c r="D13" s="321">
        <v>3.8</v>
      </c>
      <c r="E13" s="286"/>
      <c r="F13" s="326"/>
      <c r="G13" s="326"/>
      <c r="H13" s="41"/>
    </row>
    <row r="14" spans="2:8" ht="15.75" customHeight="1">
      <c r="B14" s="8"/>
      <c r="C14" s="13" t="s">
        <v>375</v>
      </c>
      <c r="D14" s="153">
        <v>0.03</v>
      </c>
      <c r="E14" s="286"/>
      <c r="F14" s="326"/>
      <c r="G14" s="326"/>
      <c r="H14" s="41"/>
    </row>
    <row r="15" spans="2:8" ht="15.75" customHeight="1">
      <c r="B15" s="8"/>
      <c r="C15" s="13" t="s">
        <v>207</v>
      </c>
      <c r="D15" s="153">
        <v>0.05</v>
      </c>
      <c r="E15" s="286"/>
      <c r="F15" s="326"/>
      <c r="G15" s="326"/>
      <c r="H15" s="41"/>
    </row>
    <row r="16" spans="2:8" ht="15.75" customHeight="1">
      <c r="B16" s="8"/>
      <c r="C16" s="13"/>
      <c r="D16" s="153"/>
      <c r="E16" s="286"/>
      <c r="F16" s="326"/>
      <c r="G16" s="326"/>
      <c r="H16" s="41"/>
    </row>
    <row r="17" spans="2:13" ht="15.75" customHeight="1">
      <c r="B17" s="8"/>
      <c r="C17" s="13"/>
      <c r="D17" s="228" t="s">
        <v>181</v>
      </c>
      <c r="E17" s="228" t="s">
        <v>182</v>
      </c>
      <c r="F17" s="228" t="s">
        <v>183</v>
      </c>
      <c r="G17" s="228" t="s">
        <v>184</v>
      </c>
      <c r="H17" s="41"/>
    </row>
    <row r="18" spans="2:13" ht="15.75" customHeight="1">
      <c r="B18" s="8"/>
      <c r="C18" s="13" t="s">
        <v>383</v>
      </c>
      <c r="D18" s="283">
        <v>140000</v>
      </c>
      <c r="E18" s="91">
        <v>150000</v>
      </c>
      <c r="F18" s="91">
        <v>170000</v>
      </c>
      <c r="G18" s="91">
        <v>160000</v>
      </c>
      <c r="H18" s="41"/>
      <c r="J18" s="256"/>
      <c r="K18" s="256"/>
      <c r="L18" s="256"/>
      <c r="M18" s="256"/>
    </row>
    <row r="19" spans="2:13" ht="15.75" customHeight="1">
      <c r="B19" s="8"/>
      <c r="C19" s="13" t="s">
        <v>376</v>
      </c>
      <c r="D19" s="283">
        <v>1120000</v>
      </c>
      <c r="E19" s="91">
        <v>1200000</v>
      </c>
      <c r="F19" s="91">
        <v>1360000</v>
      </c>
      <c r="G19" s="91">
        <v>1280000</v>
      </c>
      <c r="H19" s="41"/>
      <c r="J19" s="406"/>
      <c r="K19" s="406"/>
      <c r="L19" s="406"/>
      <c r="M19" s="406"/>
    </row>
    <row r="20" spans="2:13" ht="15.75" customHeight="1">
      <c r="B20" s="8"/>
      <c r="C20" s="13" t="s">
        <v>377</v>
      </c>
      <c r="D20" s="91">
        <v>210000</v>
      </c>
      <c r="E20" s="91">
        <v>225000</v>
      </c>
      <c r="F20" s="91">
        <v>255000</v>
      </c>
      <c r="G20" s="91">
        <v>240000</v>
      </c>
      <c r="H20" s="41"/>
    </row>
    <row r="21" spans="2:13" ht="15.75" customHeight="1">
      <c r="B21" s="8"/>
      <c r="C21" s="13"/>
      <c r="D21" s="322"/>
      <c r="E21" s="323"/>
      <c r="F21" s="327"/>
      <c r="G21" s="327"/>
      <c r="H21" s="41"/>
    </row>
    <row r="22" spans="2:13" ht="15.75" customHeight="1">
      <c r="B22" s="8"/>
      <c r="C22" s="13" t="s">
        <v>311</v>
      </c>
      <c r="D22" s="153">
        <v>0.04</v>
      </c>
      <c r="E22" s="286"/>
      <c r="F22" s="326"/>
      <c r="G22" s="326"/>
      <c r="H22" s="41"/>
    </row>
    <row r="23" spans="2:13" ht="15.75" customHeight="1" thickBot="1">
      <c r="B23" s="10"/>
      <c r="C23" s="28"/>
      <c r="D23" s="62"/>
      <c r="E23" s="11"/>
      <c r="F23" s="66"/>
      <c r="G23" s="66"/>
      <c r="H23" s="328"/>
    </row>
    <row r="24" spans="2:13" ht="15.75" customHeight="1"/>
    <row r="25" spans="2:13" ht="15.75" customHeight="1">
      <c r="C25" s="2" t="s">
        <v>2</v>
      </c>
    </row>
    <row r="26" spans="2:13" ht="15.75" customHeight="1" thickBot="1"/>
    <row r="27" spans="2:13" ht="15.75" customHeight="1">
      <c r="B27" s="15"/>
      <c r="C27" s="16"/>
      <c r="D27" s="16"/>
      <c r="E27" s="16"/>
      <c r="F27" s="16"/>
      <c r="G27" s="16"/>
      <c r="H27" s="16"/>
      <c r="I27" s="17"/>
      <c r="J27" s="30"/>
    </row>
    <row r="28" spans="2:13" ht="15.75" customHeight="1">
      <c r="B28" s="18"/>
      <c r="C28" s="19" t="s">
        <v>378</v>
      </c>
      <c r="D28" s="20"/>
      <c r="E28" s="87">
        <f>D11</f>
        <v>15.75</v>
      </c>
      <c r="F28" s="87">
        <f>E28*(1+$D$12)</f>
        <v>16.065000000000001</v>
      </c>
      <c r="G28" s="87">
        <f>F28*(1+$D$12)</f>
        <v>16.386300000000002</v>
      </c>
      <c r="H28" s="87">
        <f>G28*(1+$D$12)</f>
        <v>16.714026000000004</v>
      </c>
      <c r="I28" s="21"/>
      <c r="J28" s="30"/>
    </row>
    <row r="29" spans="2:13" ht="15.75" customHeight="1">
      <c r="B29" s="18"/>
      <c r="C29" s="19" t="s">
        <v>379</v>
      </c>
      <c r="D29" s="20"/>
      <c r="E29" s="87">
        <f>D13</f>
        <v>3.8</v>
      </c>
      <c r="F29" s="87">
        <f>E29*(1+$D$14)</f>
        <v>3.9139999999999997</v>
      </c>
      <c r="G29" s="87">
        <f>F29*(1+$D$14)</f>
        <v>4.0314199999999998</v>
      </c>
      <c r="H29" s="87">
        <f>G29*(1+$D$14)</f>
        <v>4.1523626</v>
      </c>
      <c r="I29" s="21"/>
      <c r="J29" s="30"/>
    </row>
    <row r="30" spans="2:13" ht="15.75" customHeight="1">
      <c r="B30" s="18"/>
      <c r="C30" s="19" t="s">
        <v>382</v>
      </c>
      <c r="D30" s="20"/>
      <c r="E30" s="184">
        <f>D7/4</f>
        <v>41250000</v>
      </c>
      <c r="F30" s="184">
        <f>E30</f>
        <v>41250000</v>
      </c>
      <c r="G30" s="184">
        <f>F30</f>
        <v>41250000</v>
      </c>
      <c r="H30" s="184">
        <f>G30</f>
        <v>41250000</v>
      </c>
      <c r="I30" s="21"/>
      <c r="J30" s="30"/>
    </row>
    <row r="31" spans="2:13" ht="15.75" customHeight="1">
      <c r="B31" s="18"/>
      <c r="C31" s="20"/>
      <c r="D31" s="20"/>
      <c r="E31" s="20"/>
      <c r="F31" s="20"/>
      <c r="G31" s="20"/>
      <c r="H31" s="20"/>
      <c r="I31" s="21"/>
      <c r="J31" s="30"/>
    </row>
    <row r="32" spans="2:13" ht="15.75" customHeight="1">
      <c r="B32" s="18"/>
      <c r="C32" s="266"/>
      <c r="D32" s="267" t="s">
        <v>180</v>
      </c>
      <c r="E32" s="267" t="s">
        <v>181</v>
      </c>
      <c r="F32" s="267" t="s">
        <v>182</v>
      </c>
      <c r="G32" s="267" t="s">
        <v>183</v>
      </c>
      <c r="H32" s="267" t="s">
        <v>184</v>
      </c>
      <c r="I32" s="21"/>
      <c r="J32" s="30"/>
    </row>
    <row r="33" spans="2:10" ht="15.75" customHeight="1">
      <c r="B33" s="18"/>
      <c r="C33" s="19" t="s">
        <v>255</v>
      </c>
      <c r="D33" s="19"/>
      <c r="E33" s="224">
        <f>D18*$D$10</f>
        <v>69300000</v>
      </c>
      <c r="F33" s="224">
        <f>E18*$D$10</f>
        <v>74250000</v>
      </c>
      <c r="G33" s="224">
        <f>F18*$D$10</f>
        <v>84150000</v>
      </c>
      <c r="H33" s="224">
        <f>G18*$D$10</f>
        <v>79200000</v>
      </c>
      <c r="I33" s="21"/>
      <c r="J33" s="30"/>
    </row>
    <row r="34" spans="2:10" ht="15.75" customHeight="1">
      <c r="B34" s="18"/>
      <c r="C34" s="19" t="s">
        <v>380</v>
      </c>
      <c r="D34" s="19"/>
      <c r="E34" s="233">
        <f>D19*(E28)</f>
        <v>17640000</v>
      </c>
      <c r="F34" s="233">
        <f>E19*(F28)</f>
        <v>19278000</v>
      </c>
      <c r="G34" s="233">
        <f>F19*(G28)</f>
        <v>22285368.000000004</v>
      </c>
      <c r="H34" s="233">
        <f>G19*(H28)</f>
        <v>21393953.280000005</v>
      </c>
      <c r="I34" s="21"/>
      <c r="J34" s="30"/>
    </row>
    <row r="35" spans="2:10" ht="15.75" customHeight="1">
      <c r="B35" s="18"/>
      <c r="C35" s="19" t="s">
        <v>381</v>
      </c>
      <c r="D35" s="19"/>
      <c r="E35" s="233">
        <f>E29*D20</f>
        <v>798000</v>
      </c>
      <c r="F35" s="233">
        <f>F29*E20</f>
        <v>880649.99999999988</v>
      </c>
      <c r="G35" s="233">
        <f>G29*F20</f>
        <v>1028012.1</v>
      </c>
      <c r="H35" s="233">
        <f>H29*G20</f>
        <v>996567.02399999998</v>
      </c>
      <c r="I35" s="21"/>
      <c r="J35" s="30"/>
    </row>
    <row r="36" spans="2:10" ht="15.75" customHeight="1">
      <c r="B36" s="18"/>
      <c r="C36" s="19" t="s">
        <v>5</v>
      </c>
      <c r="D36" s="19"/>
      <c r="E36" s="280">
        <f>($D$7/4)/(1+$D$15)</f>
        <v>39285714.285714284</v>
      </c>
      <c r="F36" s="280">
        <f>($D$7/4)/((1+$D$15)^2)</f>
        <v>37414965.986394554</v>
      </c>
      <c r="G36" s="280">
        <f>($D$7/4)/((1+$D$15)^3)</f>
        <v>35633300.939423382</v>
      </c>
      <c r="H36" s="280">
        <f>($D$7/4)/((1+$D$15)^4)</f>
        <v>33936477.085165128</v>
      </c>
      <c r="I36" s="21"/>
      <c r="J36" s="30"/>
    </row>
    <row r="37" spans="2:10" ht="15.75" customHeight="1">
      <c r="B37" s="18"/>
      <c r="C37" s="19" t="s">
        <v>8</v>
      </c>
      <c r="D37" s="20"/>
      <c r="E37" s="224">
        <f>E33-E34-E35-E36</f>
        <v>11576285.714285716</v>
      </c>
      <c r="F37" s="224">
        <f>F33-F34-F35-F36</f>
        <v>16676384.013605446</v>
      </c>
      <c r="G37" s="224">
        <f>G33-G34-G35-G36</f>
        <v>25203318.960576616</v>
      </c>
      <c r="H37" s="224">
        <f>H33-H34-H35-H36</f>
        <v>22873002.610834874</v>
      </c>
      <c r="I37" s="21"/>
      <c r="J37" s="30"/>
    </row>
    <row r="38" spans="2:10" ht="15.75" customHeight="1">
      <c r="B38" s="18"/>
      <c r="C38" s="19" t="s">
        <v>79</v>
      </c>
      <c r="D38" s="19"/>
      <c r="E38" s="233">
        <f>E37*$D$9</f>
        <v>3935937.1428571437</v>
      </c>
      <c r="F38" s="233">
        <f>F37*$D$9</f>
        <v>5669970.5646258518</v>
      </c>
      <c r="G38" s="233">
        <f>G37*$D$9</f>
        <v>8569128.4465960506</v>
      </c>
      <c r="H38" s="233">
        <f>H37*$D$9</f>
        <v>7776820.8876838582</v>
      </c>
      <c r="I38" s="21"/>
      <c r="J38" s="30"/>
    </row>
    <row r="39" spans="2:10" ht="15.75" customHeight="1" thickBot="1">
      <c r="B39" s="18"/>
      <c r="C39" s="19" t="s">
        <v>115</v>
      </c>
      <c r="D39" s="19"/>
      <c r="E39" s="279">
        <f>E37-E38</f>
        <v>7640348.5714285728</v>
      </c>
      <c r="F39" s="279">
        <f>F37-F38</f>
        <v>11006413.448979594</v>
      </c>
      <c r="G39" s="279">
        <f>G37-G38</f>
        <v>16634190.513980566</v>
      </c>
      <c r="H39" s="279">
        <f>H37-H38</f>
        <v>15096181.723151017</v>
      </c>
      <c r="I39" s="21"/>
      <c r="J39" s="30"/>
    </row>
    <row r="40" spans="2:10" ht="15.75" customHeight="1" thickTop="1">
      <c r="B40" s="18"/>
      <c r="C40" s="19" t="s">
        <v>11</v>
      </c>
      <c r="D40" s="19"/>
      <c r="E40" s="224">
        <f>E39+E36</f>
        <v>46926062.857142858</v>
      </c>
      <c r="F40" s="224">
        <f>F39+F36</f>
        <v>48421379.435374148</v>
      </c>
      <c r="G40" s="224">
        <f>G39+G36</f>
        <v>52267491.45340395</v>
      </c>
      <c r="H40" s="224">
        <f>H39+H36</f>
        <v>49032658.808316141</v>
      </c>
      <c r="I40" s="21"/>
      <c r="J40" s="30"/>
    </row>
    <row r="41" spans="2:10" ht="15.75" customHeight="1">
      <c r="B41" s="18"/>
      <c r="C41" s="19"/>
      <c r="D41" s="19"/>
      <c r="E41" s="19"/>
      <c r="F41" s="19"/>
      <c r="G41" s="19"/>
      <c r="H41" s="19"/>
      <c r="I41" s="21"/>
      <c r="J41" s="30"/>
    </row>
    <row r="42" spans="2:10" ht="15.75" customHeight="1">
      <c r="B42" s="18"/>
      <c r="C42" s="19" t="s">
        <v>119</v>
      </c>
      <c r="D42" s="80">
        <f>-D7</f>
        <v>-165000000</v>
      </c>
      <c r="E42" s="19"/>
      <c r="F42" s="19"/>
      <c r="G42" s="19"/>
      <c r="H42" s="19"/>
      <c r="I42" s="21"/>
      <c r="J42" s="30"/>
    </row>
    <row r="43" spans="2:10" ht="15.75" customHeight="1">
      <c r="B43" s="18"/>
      <c r="C43" s="19"/>
      <c r="D43" s="19"/>
      <c r="E43" s="19"/>
      <c r="F43" s="19"/>
      <c r="G43" s="19"/>
      <c r="H43" s="19"/>
      <c r="I43" s="21"/>
      <c r="J43" s="30"/>
    </row>
    <row r="44" spans="2:10" ht="15.75" customHeight="1">
      <c r="B44" s="18"/>
      <c r="C44" s="19" t="s">
        <v>120</v>
      </c>
      <c r="D44" s="184">
        <f>D42</f>
        <v>-165000000</v>
      </c>
      <c r="E44" s="87">
        <f>E40</f>
        <v>46926062.857142858</v>
      </c>
      <c r="F44" s="87">
        <f>F40</f>
        <v>48421379.435374148</v>
      </c>
      <c r="G44" s="87">
        <f>G40</f>
        <v>52267491.45340395</v>
      </c>
      <c r="H44" s="87">
        <f>H40</f>
        <v>49032658.808316141</v>
      </c>
      <c r="I44" s="21"/>
      <c r="J44" s="30"/>
    </row>
    <row r="45" spans="2:10" ht="15.75" customHeight="1">
      <c r="B45" s="18"/>
      <c r="C45" s="20"/>
      <c r="D45" s="20"/>
      <c r="E45" s="20"/>
      <c r="F45" s="20"/>
      <c r="G45" s="20"/>
      <c r="H45" s="20"/>
      <c r="I45" s="21"/>
      <c r="J45" s="30"/>
    </row>
    <row r="46" spans="2:10" ht="15.75" customHeight="1">
      <c r="B46" s="18"/>
      <c r="C46" s="19" t="s">
        <v>21</v>
      </c>
      <c r="D46" s="131">
        <f>NPV(D22,E40:H40)+D44</f>
        <v>13268433.311197937</v>
      </c>
      <c r="E46" s="266"/>
      <c r="F46" s="266"/>
      <c r="G46" s="266"/>
      <c r="H46" s="266"/>
      <c r="I46" s="21"/>
      <c r="J46" s="30"/>
    </row>
    <row r="47" spans="2:10" ht="15.75" customHeight="1" thickBot="1">
      <c r="B47" s="23"/>
      <c r="C47" s="53"/>
      <c r="D47" s="53"/>
      <c r="E47" s="53"/>
      <c r="F47" s="53"/>
      <c r="G47" s="53"/>
      <c r="H47" s="53"/>
      <c r="I47" s="25"/>
      <c r="J47" s="30"/>
    </row>
    <row r="48" spans="2:10" ht="15.75" customHeight="1">
      <c r="B48" s="14"/>
      <c r="C48" s="14"/>
      <c r="D48" s="14"/>
      <c r="E48" s="14"/>
      <c r="F48" s="14"/>
      <c r="G48" s="14"/>
      <c r="H48" s="14"/>
    </row>
    <row r="49" spans="4:4" ht="15.75" customHeight="1"/>
    <row r="50" spans="4:4" ht="15.75" customHeight="1">
      <c r="D50" s="26"/>
    </row>
    <row r="51" spans="4:4" ht="15.75" customHeight="1"/>
    <row r="52" spans="4:4" ht="15.75" customHeight="1"/>
    <row r="53" spans="4:4" ht="15.75" customHeight="1"/>
    <row r="54" spans="4:4" ht="15.75" customHeight="1"/>
    <row r="55" spans="4:4" ht="15.75" customHeight="1"/>
    <row r="56" spans="4:4" ht="15.75" customHeight="1"/>
    <row r="57" spans="4:4" ht="15.75" customHeight="1"/>
    <row r="58" spans="4:4" ht="15.75" customHeight="1"/>
  </sheetData>
  <phoneticPr fontId="0" type="noConversion"/>
  <pageMargins left="0.75" right="0.75" top="1" bottom="1" header="0.5" footer="0.5"/>
  <pageSetup scale="64" orientation="portrait" horizontalDpi="360" verticalDpi="36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dimension ref="B1:I72"/>
  <sheetViews>
    <sheetView zoomScaleNormal="100" workbookViewId="0"/>
  </sheetViews>
  <sheetFormatPr defaultRowHeight="12.75"/>
  <cols>
    <col min="2" max="2" width="3.140625" customWidth="1"/>
    <col min="3" max="3" width="28.42578125" bestFit="1" customWidth="1"/>
    <col min="4" max="4" width="18.85546875" bestFit="1" customWidth="1"/>
    <col min="5" max="5" width="3.140625" customWidth="1"/>
    <col min="6" max="7" width="18.140625" customWidth="1"/>
    <col min="8" max="9" width="3.140625" customWidth="1"/>
  </cols>
  <sheetData>
    <row r="1" spans="2:8" ht="18">
      <c r="C1" s="1" t="s">
        <v>436</v>
      </c>
    </row>
    <row r="2" spans="2:8" ht="15.75" customHeight="1">
      <c r="C2" s="3" t="s">
        <v>355</v>
      </c>
    </row>
    <row r="3" spans="2:8" ht="15.75" customHeight="1"/>
    <row r="4" spans="2:8" ht="15.75" customHeight="1">
      <c r="C4" s="2" t="s">
        <v>1</v>
      </c>
    </row>
    <row r="5" spans="2:8" ht="15.75" customHeight="1" thickBot="1"/>
    <row r="6" spans="2:8" ht="15.75" customHeight="1">
      <c r="B6" s="5"/>
      <c r="C6" s="6"/>
      <c r="D6" s="6"/>
      <c r="E6" s="7"/>
    </row>
    <row r="7" spans="2:8" ht="15.75" customHeight="1">
      <c r="B7" s="8"/>
      <c r="C7" s="274" t="s">
        <v>401</v>
      </c>
      <c r="D7" s="4"/>
      <c r="E7" s="9"/>
      <c r="H7" s="57"/>
    </row>
    <row r="8" spans="2:8" ht="15.75" customHeight="1">
      <c r="B8" s="8"/>
      <c r="C8" s="13" t="s">
        <v>402</v>
      </c>
      <c r="D8" s="295">
        <v>8.35</v>
      </c>
      <c r="E8" s="9"/>
    </row>
    <row r="9" spans="2:8" ht="15.75" customHeight="1">
      <c r="B9" s="8"/>
      <c r="C9" s="13" t="s">
        <v>403</v>
      </c>
      <c r="D9" s="91">
        <v>3000000</v>
      </c>
      <c r="E9" s="9"/>
    </row>
    <row r="10" spans="2:8" ht="15.75" customHeight="1">
      <c r="B10" s="8"/>
      <c r="C10" s="13" t="s">
        <v>404</v>
      </c>
      <c r="D10" s="334">
        <v>4.0999999999999996</v>
      </c>
      <c r="E10" s="9"/>
    </row>
    <row r="11" spans="2:8" ht="15.75" customHeight="1">
      <c r="B11" s="8"/>
      <c r="C11" s="13" t="s">
        <v>31</v>
      </c>
      <c r="D11" s="275">
        <v>23000000</v>
      </c>
      <c r="E11" s="9"/>
    </row>
    <row r="12" spans="2:8" ht="15.75" customHeight="1">
      <c r="B12" s="8"/>
      <c r="C12" s="13"/>
      <c r="D12" s="275"/>
      <c r="E12" s="9"/>
    </row>
    <row r="13" spans="2:8" ht="15.75" customHeight="1">
      <c r="B13" s="8"/>
      <c r="C13" s="274" t="s">
        <v>405</v>
      </c>
      <c r="D13" s="84"/>
      <c r="E13" s="9"/>
    </row>
    <row r="14" spans="2:8" ht="15.75" customHeight="1">
      <c r="B14" s="8"/>
      <c r="C14" s="13" t="s">
        <v>402</v>
      </c>
      <c r="D14" s="402">
        <f>D8</f>
        <v>8.35</v>
      </c>
      <c r="E14" s="9"/>
    </row>
    <row r="15" spans="2:8" ht="15.75" customHeight="1">
      <c r="B15" s="8"/>
      <c r="C15" s="13" t="s">
        <v>403</v>
      </c>
      <c r="D15" s="91">
        <v>4500000</v>
      </c>
      <c r="E15" s="9"/>
    </row>
    <row r="16" spans="2:8" ht="15.75" customHeight="1">
      <c r="B16" s="8"/>
      <c r="C16" s="13" t="s">
        <v>404</v>
      </c>
      <c r="D16" s="334">
        <v>4.6500000000000004</v>
      </c>
      <c r="E16" s="9"/>
    </row>
    <row r="17" spans="2:9" ht="15.75" customHeight="1">
      <c r="B17" s="8"/>
      <c r="C17" s="13" t="s">
        <v>31</v>
      </c>
      <c r="D17" s="275">
        <v>32000000</v>
      </c>
      <c r="E17" s="9"/>
    </row>
    <row r="18" spans="2:9" ht="15.75" customHeight="1">
      <c r="B18" s="8"/>
      <c r="C18" s="13" t="s">
        <v>406</v>
      </c>
      <c r="D18" s="85">
        <v>1000000</v>
      </c>
      <c r="E18" s="9"/>
    </row>
    <row r="19" spans="2:9" ht="15.75" customHeight="1">
      <c r="B19" s="8"/>
      <c r="C19" s="13"/>
      <c r="D19" s="85"/>
      <c r="E19" s="9"/>
    </row>
    <row r="20" spans="2:9" ht="15.75" customHeight="1">
      <c r="B20" s="8"/>
      <c r="C20" s="274" t="s">
        <v>407</v>
      </c>
      <c r="D20" s="85"/>
      <c r="E20" s="9"/>
    </row>
    <row r="21" spans="2:9" ht="15.75" customHeight="1">
      <c r="B21" s="8"/>
      <c r="C21" s="13" t="s">
        <v>207</v>
      </c>
      <c r="D21" s="153">
        <v>0.03</v>
      </c>
      <c r="E21" s="9"/>
    </row>
    <row r="22" spans="2:9" ht="15.75" customHeight="1">
      <c r="B22" s="8"/>
      <c r="C22" s="13" t="s">
        <v>408</v>
      </c>
      <c r="D22" s="91">
        <v>3</v>
      </c>
      <c r="E22" s="9"/>
    </row>
    <row r="23" spans="2:9" ht="15.75" customHeight="1">
      <c r="B23" s="8"/>
      <c r="C23" s="13" t="s">
        <v>6</v>
      </c>
      <c r="D23" s="153">
        <v>0.34</v>
      </c>
      <c r="E23" s="9"/>
    </row>
    <row r="24" spans="2:9" ht="15.75" customHeight="1">
      <c r="B24" s="8"/>
      <c r="C24" s="13" t="s">
        <v>311</v>
      </c>
      <c r="D24" s="84">
        <v>7.0000000000000007E-2</v>
      </c>
      <c r="E24" s="9"/>
    </row>
    <row r="25" spans="2:9" ht="15.75" customHeight="1" thickBot="1">
      <c r="B25" s="10"/>
      <c r="C25" s="28"/>
      <c r="D25" s="62"/>
      <c r="E25" s="12"/>
    </row>
    <row r="26" spans="2:9" ht="15.75" customHeight="1"/>
    <row r="27" spans="2:9" ht="15.75" customHeight="1">
      <c r="C27" s="2" t="s">
        <v>2</v>
      </c>
    </row>
    <row r="28" spans="2:9" ht="15.75" customHeight="1" thickBot="1"/>
    <row r="29" spans="2:9" ht="15.75" customHeight="1">
      <c r="B29" s="15"/>
      <c r="C29" s="16"/>
      <c r="D29" s="16"/>
      <c r="E29" s="16"/>
      <c r="F29" s="16"/>
      <c r="G29" s="16"/>
      <c r="H29" s="17"/>
      <c r="I29" s="30"/>
    </row>
    <row r="30" spans="2:9" ht="15.75" customHeight="1">
      <c r="B30" s="18"/>
      <c r="C30" s="266" t="s">
        <v>401</v>
      </c>
      <c r="D30" s="335" t="s">
        <v>181</v>
      </c>
      <c r="E30" s="336"/>
      <c r="F30" s="336" t="s">
        <v>182</v>
      </c>
      <c r="G30" s="336" t="s">
        <v>183</v>
      </c>
      <c r="H30" s="21"/>
      <c r="I30" s="30"/>
    </row>
    <row r="31" spans="2:9" ht="15.75" customHeight="1">
      <c r="B31" s="18"/>
      <c r="C31" s="19" t="s">
        <v>10</v>
      </c>
      <c r="D31" s="277">
        <f>D8*D9</f>
        <v>25050000</v>
      </c>
      <c r="E31" s="20"/>
      <c r="F31" s="184">
        <f>D31</f>
        <v>25050000</v>
      </c>
      <c r="G31" s="184">
        <f>F31</f>
        <v>25050000</v>
      </c>
      <c r="H31" s="21"/>
      <c r="I31" s="30"/>
    </row>
    <row r="32" spans="2:9" ht="15.75" customHeight="1">
      <c r="B32" s="18"/>
      <c r="C32" s="19" t="s">
        <v>409</v>
      </c>
      <c r="D32" s="140">
        <f>D10*D9</f>
        <v>12299999.999999998</v>
      </c>
      <c r="E32" s="20"/>
      <c r="F32" s="81">
        <f>D32</f>
        <v>12299999.999999998</v>
      </c>
      <c r="G32" s="81">
        <f>F32</f>
        <v>12299999.999999998</v>
      </c>
      <c r="H32" s="21"/>
      <c r="I32" s="30"/>
    </row>
    <row r="33" spans="2:9" ht="15.75" customHeight="1">
      <c r="B33" s="18"/>
      <c r="C33" s="19" t="s">
        <v>5</v>
      </c>
      <c r="D33" s="227">
        <f>(D11/D22)/(1+D21)</f>
        <v>7443365.6957928799</v>
      </c>
      <c r="E33" s="20"/>
      <c r="F33" s="83">
        <f>D33/(1+D21)</f>
        <v>7226568.636692116</v>
      </c>
      <c r="G33" s="83">
        <f>F33/(1+D21)</f>
        <v>7016086.0550408894</v>
      </c>
      <c r="H33" s="21"/>
      <c r="I33" s="30"/>
    </row>
    <row r="34" spans="2:9" ht="15.75" customHeight="1">
      <c r="B34" s="18"/>
      <c r="C34" s="19" t="s">
        <v>8</v>
      </c>
      <c r="D34" s="97">
        <f>D31-D32-D33</f>
        <v>5306634.304207122</v>
      </c>
      <c r="E34" s="20"/>
      <c r="F34" s="97">
        <f>F31-F32-F33</f>
        <v>5523431.3633078858</v>
      </c>
      <c r="G34" s="97">
        <f>G31-G32-G33</f>
        <v>5733913.9449591124</v>
      </c>
      <c r="H34" s="21"/>
      <c r="I34" s="30"/>
    </row>
    <row r="35" spans="2:9" ht="15.75" customHeight="1">
      <c r="B35" s="18"/>
      <c r="C35" s="19" t="s">
        <v>155</v>
      </c>
      <c r="D35" s="140">
        <f>D34*$D$23</f>
        <v>1804255.6634304216</v>
      </c>
      <c r="E35" s="20"/>
      <c r="F35" s="140">
        <f>F34*$D$23</f>
        <v>1877966.6635246812</v>
      </c>
      <c r="G35" s="140">
        <f>G34*$D$23</f>
        <v>1949530.7412860983</v>
      </c>
      <c r="H35" s="21"/>
      <c r="I35" s="30"/>
    </row>
    <row r="36" spans="2:9" ht="15.75" customHeight="1" thickBot="1">
      <c r="B36" s="18"/>
      <c r="C36" s="19" t="s">
        <v>115</v>
      </c>
      <c r="D36" s="161">
        <f>D34-D35</f>
        <v>3502378.6407767003</v>
      </c>
      <c r="E36" s="20"/>
      <c r="F36" s="161">
        <f>F34-F35</f>
        <v>3645464.6997832046</v>
      </c>
      <c r="G36" s="161">
        <f>G34-G35</f>
        <v>3784383.2036730144</v>
      </c>
      <c r="H36" s="21"/>
      <c r="I36" s="30"/>
    </row>
    <row r="37" spans="2:9" ht="15.75" customHeight="1" thickTop="1">
      <c r="B37" s="18"/>
      <c r="C37" s="19" t="s">
        <v>11</v>
      </c>
      <c r="D37" s="277">
        <f>D36+D33</f>
        <v>10945744.336569581</v>
      </c>
      <c r="E37" s="20"/>
      <c r="F37" s="277">
        <f>F36+F33</f>
        <v>10872033.33647532</v>
      </c>
      <c r="G37" s="277">
        <f>G36+G33</f>
        <v>10800469.258713905</v>
      </c>
      <c r="H37" s="21"/>
      <c r="I37" s="30"/>
    </row>
    <row r="38" spans="2:9" ht="15.75" customHeight="1">
      <c r="B38" s="18"/>
      <c r="C38" s="19"/>
      <c r="D38" s="142"/>
      <c r="E38" s="20"/>
      <c r="F38" s="290"/>
      <c r="G38" s="290"/>
      <c r="H38" s="21"/>
      <c r="I38" s="30"/>
    </row>
    <row r="39" spans="2:9" ht="15.75" customHeight="1">
      <c r="B39" s="18"/>
      <c r="C39" s="19" t="s">
        <v>310</v>
      </c>
      <c r="D39" s="139">
        <f>NPV(D24,D37:G37)-D11</f>
        <v>5542122.7007386759</v>
      </c>
      <c r="E39" s="19"/>
      <c r="F39" s="290"/>
      <c r="G39" s="290"/>
      <c r="H39" s="21"/>
      <c r="I39" s="31"/>
    </row>
    <row r="40" spans="2:9" ht="15.75" customHeight="1">
      <c r="B40" s="18"/>
      <c r="C40" s="19"/>
      <c r="D40" s="142"/>
      <c r="E40" s="19"/>
      <c r="F40" s="290"/>
      <c r="G40" s="290"/>
      <c r="H40" s="21"/>
      <c r="I40" s="31"/>
    </row>
    <row r="41" spans="2:9" ht="15.75" customHeight="1">
      <c r="B41" s="18"/>
      <c r="C41" s="266" t="s">
        <v>405</v>
      </c>
      <c r="D41" s="142"/>
      <c r="E41" s="19"/>
      <c r="F41" s="290"/>
      <c r="G41" s="290"/>
      <c r="H41" s="21"/>
      <c r="I41" s="31"/>
    </row>
    <row r="42" spans="2:9" ht="15.75" customHeight="1">
      <c r="B42" s="18"/>
      <c r="C42" s="266"/>
      <c r="D42" s="142"/>
      <c r="E42" s="19"/>
      <c r="F42" s="290"/>
      <c r="G42" s="290"/>
      <c r="H42" s="21"/>
      <c r="I42" s="31"/>
    </row>
    <row r="43" spans="2:9" ht="15.75" customHeight="1">
      <c r="B43" s="18"/>
      <c r="C43" s="266" t="s">
        <v>28</v>
      </c>
      <c r="D43" s="142"/>
      <c r="E43" s="19"/>
      <c r="F43" s="290"/>
      <c r="G43" s="290"/>
      <c r="H43" s="21"/>
      <c r="I43" s="31"/>
    </row>
    <row r="44" spans="2:9" ht="15.75" customHeight="1">
      <c r="B44" s="18"/>
      <c r="C44" s="19" t="s">
        <v>426</v>
      </c>
      <c r="D44" s="97">
        <f>D18</f>
        <v>1000000</v>
      </c>
      <c r="E44" s="19"/>
      <c r="F44" s="290"/>
      <c r="G44" s="290"/>
      <c r="H44" s="21"/>
      <c r="I44" s="31"/>
    </row>
    <row r="45" spans="2:9" ht="15.75" customHeight="1">
      <c r="B45" s="18"/>
      <c r="C45" s="19" t="s">
        <v>79</v>
      </c>
      <c r="D45" s="227">
        <f>(0-D44)*D23</f>
        <v>-340000</v>
      </c>
      <c r="E45" s="19"/>
      <c r="F45" s="290"/>
      <c r="G45" s="290"/>
      <c r="H45" s="21"/>
      <c r="I45" s="31"/>
    </row>
    <row r="46" spans="2:9" ht="15.75" customHeight="1">
      <c r="B46" s="18"/>
      <c r="C46" s="19" t="s">
        <v>200</v>
      </c>
      <c r="D46" s="97">
        <f>D44+D45</f>
        <v>660000</v>
      </c>
      <c r="E46" s="19"/>
      <c r="F46" s="290"/>
      <c r="G46" s="290"/>
      <c r="H46" s="21"/>
      <c r="I46" s="31"/>
    </row>
    <row r="47" spans="2:9" ht="15.75" customHeight="1">
      <c r="B47" s="18"/>
      <c r="C47" s="19"/>
      <c r="D47" s="142"/>
      <c r="E47" s="19"/>
      <c r="F47" s="290"/>
      <c r="G47" s="290"/>
      <c r="H47" s="21"/>
      <c r="I47" s="31"/>
    </row>
    <row r="48" spans="2:9" ht="15.75" customHeight="1">
      <c r="B48" s="18"/>
      <c r="C48" s="266"/>
      <c r="D48" s="335" t="s">
        <v>181</v>
      </c>
      <c r="E48" s="336"/>
      <c r="F48" s="336" t="s">
        <v>182</v>
      </c>
      <c r="G48" s="336" t="s">
        <v>183</v>
      </c>
      <c r="H48" s="21"/>
      <c r="I48" s="31"/>
    </row>
    <row r="49" spans="2:9" ht="15.75" customHeight="1">
      <c r="B49" s="18"/>
      <c r="C49" s="19" t="s">
        <v>10</v>
      </c>
      <c r="D49" s="277">
        <f>D14*D15</f>
        <v>37575000</v>
      </c>
      <c r="E49" s="20"/>
      <c r="F49" s="184">
        <f>D49</f>
        <v>37575000</v>
      </c>
      <c r="G49" s="184">
        <f>F49</f>
        <v>37575000</v>
      </c>
      <c r="H49" s="21"/>
      <c r="I49" s="31"/>
    </row>
    <row r="50" spans="2:9" ht="15.75" customHeight="1">
      <c r="B50" s="18"/>
      <c r="C50" s="19" t="s">
        <v>409</v>
      </c>
      <c r="D50" s="140">
        <f>D15*D16</f>
        <v>20925000</v>
      </c>
      <c r="E50" s="20"/>
      <c r="F50" s="81">
        <f>D50</f>
        <v>20925000</v>
      </c>
      <c r="G50" s="81">
        <f>F50</f>
        <v>20925000</v>
      </c>
      <c r="H50" s="21"/>
      <c r="I50" s="31"/>
    </row>
    <row r="51" spans="2:9" ht="15.75" customHeight="1">
      <c r="B51" s="18"/>
      <c r="C51" s="19" t="s">
        <v>5</v>
      </c>
      <c r="D51" s="227">
        <f>(D17/D22)/(1+D21)</f>
        <v>10355987.055016181</v>
      </c>
      <c r="E51" s="20"/>
      <c r="F51" s="83">
        <f>D51/(1+D21)</f>
        <v>10054356.364093378</v>
      </c>
      <c r="G51" s="83">
        <f>F51/(1+D21)</f>
        <v>9761511.0331003666</v>
      </c>
      <c r="H51" s="21"/>
      <c r="I51" s="31"/>
    </row>
    <row r="52" spans="2:9" ht="15.75" customHeight="1">
      <c r="B52" s="18"/>
      <c r="C52" s="19" t="s">
        <v>8</v>
      </c>
      <c r="D52" s="97">
        <f>D49-D50-D51</f>
        <v>6294012.9449838195</v>
      </c>
      <c r="E52" s="20"/>
      <c r="F52" s="97">
        <f>F49-F50-F51</f>
        <v>6595643.6359066218</v>
      </c>
      <c r="G52" s="97">
        <f>G49-G50-G51</f>
        <v>6888488.9668996334</v>
      </c>
      <c r="H52" s="21"/>
      <c r="I52" s="31"/>
    </row>
    <row r="53" spans="2:9" ht="15.75" customHeight="1">
      <c r="B53" s="18"/>
      <c r="C53" s="19" t="s">
        <v>155</v>
      </c>
      <c r="D53" s="140">
        <f>D52*$D$23</f>
        <v>2139964.4012944987</v>
      </c>
      <c r="E53" s="20"/>
      <c r="F53" s="140">
        <f>F52*$D$23</f>
        <v>2242518.8362082518</v>
      </c>
      <c r="G53" s="140">
        <f>G52*$D$23</f>
        <v>2342086.2487458754</v>
      </c>
      <c r="H53" s="21"/>
      <c r="I53" s="31"/>
    </row>
    <row r="54" spans="2:9" ht="15.75" customHeight="1" thickBot="1">
      <c r="B54" s="18"/>
      <c r="C54" s="19" t="s">
        <v>115</v>
      </c>
      <c r="D54" s="161">
        <f>D52-D53</f>
        <v>4154048.5436893208</v>
      </c>
      <c r="E54" s="20"/>
      <c r="F54" s="161">
        <f>F52-F53</f>
        <v>4353124.7996983696</v>
      </c>
      <c r="G54" s="161">
        <f>G52-G53</f>
        <v>4546402.718153758</v>
      </c>
      <c r="H54" s="21"/>
      <c r="I54" s="31"/>
    </row>
    <row r="55" spans="2:9" ht="15.75" customHeight="1" thickTop="1">
      <c r="B55" s="18"/>
      <c r="C55" s="19" t="s">
        <v>11</v>
      </c>
      <c r="D55" s="277">
        <f>D54+D51</f>
        <v>14510035.5987055</v>
      </c>
      <c r="E55" s="20"/>
      <c r="F55" s="277">
        <f>F54+F51</f>
        <v>14407481.163791748</v>
      </c>
      <c r="G55" s="277">
        <f>G54+G51</f>
        <v>14307913.751254125</v>
      </c>
      <c r="H55" s="21"/>
      <c r="I55" s="31"/>
    </row>
    <row r="56" spans="2:9" ht="15.75" customHeight="1">
      <c r="B56" s="18"/>
      <c r="C56" s="19"/>
      <c r="D56" s="142"/>
      <c r="E56" s="20"/>
      <c r="F56" s="290"/>
      <c r="G56" s="290"/>
      <c r="H56" s="21"/>
      <c r="I56" s="31"/>
    </row>
    <row r="57" spans="2:9" ht="15.75" customHeight="1">
      <c r="B57" s="18"/>
      <c r="C57" s="19" t="s">
        <v>310</v>
      </c>
      <c r="D57" s="139">
        <f>NPV(D24,D55,F55,G55)-D17+(D46/(1+D24)^3)</f>
        <v>6363109.1753262738</v>
      </c>
      <c r="E57" s="19"/>
      <c r="F57" s="290"/>
      <c r="G57" s="290"/>
      <c r="H57" s="21"/>
      <c r="I57" s="31"/>
    </row>
    <row r="58" spans="2:9" ht="15.75" customHeight="1">
      <c r="B58" s="18"/>
      <c r="C58" s="19"/>
      <c r="D58" s="142"/>
      <c r="E58" s="19"/>
      <c r="F58" s="20"/>
      <c r="G58" s="20"/>
      <c r="H58" s="21"/>
      <c r="I58" s="31"/>
    </row>
    <row r="59" spans="2:9" ht="15.75" customHeight="1">
      <c r="B59" s="18"/>
      <c r="C59" s="19" t="s">
        <v>410</v>
      </c>
      <c r="D59" s="337" t="str">
        <f>IF(D57&gt;D39,"headache and arthritis","headache only")</f>
        <v>headache and arthritis</v>
      </c>
      <c r="E59" s="19"/>
      <c r="F59" s="20"/>
      <c r="G59" s="20"/>
      <c r="H59" s="21"/>
      <c r="I59" s="31"/>
    </row>
    <row r="60" spans="2:9" ht="15.75" customHeight="1">
      <c r="B60" s="18"/>
      <c r="C60" s="19" t="s">
        <v>411</v>
      </c>
      <c r="D60" s="143"/>
      <c r="E60" s="19"/>
      <c r="F60" s="20"/>
      <c r="G60" s="20"/>
      <c r="H60" s="21"/>
      <c r="I60" s="31"/>
    </row>
    <row r="61" spans="2:9" ht="15.75" customHeight="1" thickBot="1">
      <c r="B61" s="23"/>
      <c r="C61" s="53"/>
      <c r="D61" s="64"/>
      <c r="E61" s="24"/>
      <c r="F61" s="24"/>
      <c r="G61" s="24"/>
      <c r="H61" s="25"/>
      <c r="I61" s="30"/>
    </row>
    <row r="62" spans="2:9" ht="15.75" customHeight="1">
      <c r="B62" s="14"/>
      <c r="C62" s="14"/>
      <c r="D62" s="14"/>
      <c r="E62" s="14"/>
      <c r="F62" s="14"/>
      <c r="G62" s="14"/>
      <c r="H62" s="14"/>
      <c r="I62" s="14"/>
    </row>
    <row r="63" spans="2:9" ht="15.75" customHeight="1"/>
    <row r="64" spans="2:9" ht="15.75" customHeight="1">
      <c r="D64" s="26"/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</sheetData>
  <phoneticPr fontId="0" type="noConversion"/>
  <pageMargins left="0.75" right="0.75" top="1" bottom="1" header="0.5" footer="0.5"/>
  <pageSetup scale="70" orientation="portrait" horizontalDpi="360" verticalDpi="36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dimension ref="A1:I84"/>
  <sheetViews>
    <sheetView zoomScaleNormal="100" workbookViewId="0"/>
  </sheetViews>
  <sheetFormatPr defaultRowHeight="15"/>
  <cols>
    <col min="1" max="1" width="9.140625" style="201"/>
    <col min="2" max="2" width="3.140625" style="201" customWidth="1"/>
    <col min="3" max="3" width="21.85546875" style="201" bestFit="1" customWidth="1"/>
    <col min="4" max="4" width="17.5703125" style="201" bestFit="1" customWidth="1"/>
    <col min="5" max="6" width="16.28515625" style="201" customWidth="1"/>
    <col min="7" max="7" width="16.28515625" style="201" bestFit="1" customWidth="1"/>
    <col min="8" max="8" width="15.5703125" style="201" bestFit="1" customWidth="1"/>
  </cols>
  <sheetData>
    <row r="1" spans="1:8" ht="18">
      <c r="A1" s="3"/>
      <c r="B1" s="3"/>
      <c r="C1" s="1" t="s">
        <v>436</v>
      </c>
    </row>
    <row r="2" spans="1:8" ht="15.75" customHeight="1">
      <c r="A2" s="3"/>
      <c r="B2" s="3"/>
      <c r="C2" s="3" t="s">
        <v>369</v>
      </c>
    </row>
    <row r="3" spans="1:8" ht="15.75" customHeight="1">
      <c r="A3" s="3"/>
      <c r="B3" s="3"/>
      <c r="C3" s="3"/>
    </row>
    <row r="4" spans="1:8" ht="15.75" customHeight="1">
      <c r="A4" s="3"/>
      <c r="B4" s="3"/>
      <c r="C4" s="2" t="s">
        <v>135</v>
      </c>
    </row>
    <row r="5" spans="1:8" ht="15.75" customHeight="1" thickBot="1">
      <c r="A5" s="3"/>
      <c r="B5" s="3"/>
      <c r="C5" s="2"/>
    </row>
    <row r="6" spans="1:8" ht="15.75" customHeight="1">
      <c r="B6" s="297"/>
      <c r="C6" s="298"/>
      <c r="D6" s="298"/>
      <c r="E6" s="299"/>
    </row>
    <row r="7" spans="1:8" ht="15.75" customHeight="1">
      <c r="B7" s="300"/>
      <c r="C7" s="165" t="s">
        <v>328</v>
      </c>
      <c r="D7" s="301">
        <v>6100</v>
      </c>
      <c r="E7" s="302"/>
    </row>
    <row r="8" spans="1:8" ht="15.75" customHeight="1">
      <c r="B8" s="300"/>
      <c r="C8" s="165" t="s">
        <v>345</v>
      </c>
      <c r="D8" s="303">
        <v>1800</v>
      </c>
      <c r="E8" s="304"/>
      <c r="F8" s="296"/>
      <c r="G8" s="296"/>
      <c r="H8" s="296"/>
    </row>
    <row r="9" spans="1:8" ht="15.75" customHeight="1">
      <c r="B9" s="300"/>
      <c r="C9" s="165" t="s">
        <v>346</v>
      </c>
      <c r="D9" s="303">
        <v>1950</v>
      </c>
      <c r="E9" s="304"/>
      <c r="F9" s="296"/>
      <c r="G9" s="296"/>
      <c r="H9" s="296"/>
    </row>
    <row r="10" spans="1:8" ht="15.75" customHeight="1">
      <c r="B10" s="300"/>
      <c r="C10" s="165" t="s">
        <v>347</v>
      </c>
      <c r="D10" s="303">
        <v>2500</v>
      </c>
      <c r="E10" s="304"/>
      <c r="F10" s="296"/>
      <c r="G10" s="296"/>
      <c r="H10" s="296"/>
    </row>
    <row r="11" spans="1:8" ht="15.75" customHeight="1">
      <c r="B11" s="300"/>
      <c r="C11" s="165" t="s">
        <v>348</v>
      </c>
      <c r="D11" s="303">
        <v>2350</v>
      </c>
      <c r="E11" s="304"/>
      <c r="F11" s="296"/>
      <c r="G11" s="296"/>
      <c r="H11" s="296"/>
    </row>
    <row r="12" spans="1:8" ht="15.75" customHeight="1">
      <c r="B12" s="300"/>
      <c r="C12" s="165" t="s">
        <v>349</v>
      </c>
      <c r="D12" s="303">
        <v>2100</v>
      </c>
      <c r="E12" s="304"/>
      <c r="F12" s="296"/>
      <c r="G12" s="296"/>
      <c r="H12" s="296"/>
    </row>
    <row r="13" spans="1:8" ht="15.75" customHeight="1">
      <c r="B13" s="300"/>
      <c r="C13" s="165" t="s">
        <v>7</v>
      </c>
      <c r="D13" s="305">
        <v>0.45</v>
      </c>
      <c r="E13" s="302"/>
    </row>
    <row r="14" spans="1:8" ht="15.75" customHeight="1">
      <c r="B14" s="300"/>
      <c r="C14" s="165" t="s">
        <v>81</v>
      </c>
      <c r="D14" s="301">
        <v>1900000</v>
      </c>
      <c r="E14" s="302"/>
    </row>
    <row r="15" spans="1:8" ht="15.75" customHeight="1">
      <c r="B15" s="300"/>
      <c r="C15" s="165" t="s">
        <v>329</v>
      </c>
      <c r="D15" s="305">
        <v>0.1</v>
      </c>
      <c r="E15" s="302"/>
    </row>
    <row r="16" spans="1:8" ht="15.75" customHeight="1">
      <c r="B16" s="300"/>
      <c r="C16" s="165" t="s">
        <v>330</v>
      </c>
      <c r="D16" s="303">
        <v>250</v>
      </c>
      <c r="E16" s="302"/>
    </row>
    <row r="17" spans="2:5" ht="15.75" customHeight="1">
      <c r="B17" s="300"/>
      <c r="C17" s="165" t="s">
        <v>331</v>
      </c>
      <c r="D17" s="301">
        <v>4500</v>
      </c>
      <c r="E17" s="302"/>
    </row>
    <row r="18" spans="2:5" ht="15.75" customHeight="1">
      <c r="B18" s="300"/>
      <c r="C18" s="165" t="s">
        <v>332</v>
      </c>
      <c r="D18" s="306">
        <v>0.4</v>
      </c>
      <c r="E18" s="302"/>
    </row>
    <row r="19" spans="2:5" ht="15.75" customHeight="1">
      <c r="B19" s="300"/>
      <c r="C19" s="165" t="s">
        <v>333</v>
      </c>
      <c r="D19" s="306">
        <v>0.1</v>
      </c>
      <c r="E19" s="302"/>
    </row>
    <row r="20" spans="2:5" ht="15.75" customHeight="1">
      <c r="B20" s="300"/>
      <c r="C20" s="165" t="s">
        <v>165</v>
      </c>
      <c r="D20" s="301">
        <v>18000000</v>
      </c>
      <c r="E20" s="302"/>
    </row>
    <row r="21" spans="2:5" ht="15.75" customHeight="1">
      <c r="B21" s="300"/>
      <c r="C21" s="165" t="s">
        <v>352</v>
      </c>
      <c r="D21" s="306"/>
      <c r="E21" s="302"/>
    </row>
    <row r="22" spans="2:5" ht="15.75" customHeight="1">
      <c r="B22" s="300"/>
      <c r="C22" s="165" t="s">
        <v>353</v>
      </c>
      <c r="D22" s="311">
        <v>3100000</v>
      </c>
      <c r="E22" s="302"/>
    </row>
    <row r="23" spans="2:5" ht="15.75" customHeight="1">
      <c r="B23" s="300"/>
      <c r="C23" s="165" t="s">
        <v>354</v>
      </c>
      <c r="D23" s="311">
        <v>7400000</v>
      </c>
      <c r="E23" s="302"/>
    </row>
    <row r="24" spans="2:5" ht="15.75" customHeight="1">
      <c r="B24" s="300"/>
      <c r="C24" s="165" t="s">
        <v>6</v>
      </c>
      <c r="D24" s="306">
        <v>0.4</v>
      </c>
      <c r="E24" s="302"/>
    </row>
    <row r="25" spans="2:5" ht="15.75" customHeight="1">
      <c r="B25" s="300"/>
      <c r="C25" s="165" t="s">
        <v>20</v>
      </c>
      <c r="D25" s="306">
        <v>0.11</v>
      </c>
      <c r="E25" s="302"/>
    </row>
    <row r="26" spans="2:5" ht="15.75" customHeight="1">
      <c r="B26" s="300"/>
      <c r="C26" s="115" t="s">
        <v>277</v>
      </c>
      <c r="D26" s="407">
        <v>0.1429</v>
      </c>
      <c r="E26" s="302"/>
    </row>
    <row r="27" spans="2:5" ht="15.75" customHeight="1">
      <c r="B27" s="300"/>
      <c r="C27" s="115" t="s">
        <v>278</v>
      </c>
      <c r="D27" s="407">
        <v>0.24490000000000001</v>
      </c>
      <c r="E27" s="302"/>
    </row>
    <row r="28" spans="2:5" ht="15.75" customHeight="1">
      <c r="B28" s="300"/>
      <c r="C28" s="115" t="s">
        <v>279</v>
      </c>
      <c r="D28" s="407">
        <v>0.1749</v>
      </c>
      <c r="E28" s="302"/>
    </row>
    <row r="29" spans="2:5" ht="15.75" customHeight="1" thickBot="1">
      <c r="B29" s="307"/>
      <c r="C29" s="308"/>
      <c r="D29" s="309"/>
      <c r="E29" s="310"/>
    </row>
    <row r="30" spans="2:5" ht="15.75" customHeight="1"/>
    <row r="31" spans="2:5" ht="15.75" customHeight="1">
      <c r="C31" s="2" t="s">
        <v>143</v>
      </c>
    </row>
    <row r="32" spans="2:5" ht="15.75" customHeight="1" thickBot="1"/>
    <row r="33" spans="2:9" ht="15.75" customHeight="1">
      <c r="B33" s="312"/>
      <c r="C33" s="313"/>
      <c r="D33" s="314"/>
      <c r="E33" s="314"/>
      <c r="F33" s="314"/>
      <c r="G33" s="314"/>
      <c r="H33" s="314"/>
      <c r="I33" s="179"/>
    </row>
    <row r="34" spans="2:9" ht="15.75" customHeight="1">
      <c r="B34" s="315"/>
      <c r="C34" s="182" t="s">
        <v>92</v>
      </c>
      <c r="D34" s="219"/>
      <c r="E34" s="219"/>
      <c r="F34" s="219"/>
      <c r="G34" s="219"/>
      <c r="H34" s="219"/>
      <c r="I34" s="180"/>
    </row>
    <row r="35" spans="2:9" ht="15.75" customHeight="1">
      <c r="B35" s="315"/>
      <c r="C35" s="219" t="s">
        <v>334</v>
      </c>
      <c r="D35" s="207">
        <f>-D15*D51</f>
        <v>-1098000</v>
      </c>
      <c r="E35" s="219"/>
      <c r="F35" s="219"/>
      <c r="G35" s="219"/>
      <c r="H35" s="219"/>
      <c r="I35" s="180"/>
    </row>
    <row r="36" spans="2:9" ht="15.75" customHeight="1">
      <c r="B36" s="315"/>
      <c r="C36" s="219" t="s">
        <v>335</v>
      </c>
      <c r="D36" s="211">
        <f>-D19*D52</f>
        <v>112500</v>
      </c>
      <c r="E36" s="219"/>
      <c r="F36" s="219"/>
      <c r="G36" s="219"/>
      <c r="H36" s="219"/>
      <c r="I36" s="180"/>
    </row>
    <row r="37" spans="2:9" ht="15.75" customHeight="1">
      <c r="B37" s="315"/>
      <c r="C37" s="219"/>
      <c r="D37" s="207">
        <f>SUM(D35:D36)</f>
        <v>-985500</v>
      </c>
      <c r="E37" s="219"/>
      <c r="F37" s="219"/>
      <c r="G37" s="219"/>
      <c r="H37" s="219"/>
      <c r="I37" s="180"/>
    </row>
    <row r="38" spans="2:9" ht="15.75" customHeight="1">
      <c r="B38" s="315"/>
      <c r="C38" s="219"/>
      <c r="D38" s="219"/>
      <c r="E38" s="219"/>
      <c r="F38" s="219"/>
      <c r="G38" s="219"/>
      <c r="H38" s="219"/>
      <c r="I38" s="180"/>
    </row>
    <row r="39" spans="2:9" ht="15.75" customHeight="1">
      <c r="B39" s="315"/>
      <c r="C39" s="182" t="s">
        <v>425</v>
      </c>
      <c r="D39" s="219"/>
      <c r="E39" s="219"/>
      <c r="F39" s="219"/>
      <c r="G39" s="219"/>
      <c r="H39" s="219"/>
      <c r="I39" s="180"/>
    </row>
    <row r="40" spans="2:9" ht="15.75" customHeight="1">
      <c r="B40" s="315"/>
      <c r="C40" s="219" t="s">
        <v>165</v>
      </c>
      <c r="D40" s="270">
        <f>-D20</f>
        <v>-18000000</v>
      </c>
      <c r="E40" s="219"/>
      <c r="F40" s="219"/>
      <c r="G40" s="219"/>
      <c r="H40" s="219"/>
      <c r="I40" s="180"/>
    </row>
    <row r="41" spans="2:9" ht="15.75" customHeight="1">
      <c r="B41" s="315"/>
      <c r="C41" s="219" t="s">
        <v>336</v>
      </c>
      <c r="D41" s="207">
        <f>SUM(D40:D40)</f>
        <v>-18000000</v>
      </c>
      <c r="E41" s="219"/>
      <c r="F41" s="219"/>
      <c r="G41" s="219"/>
      <c r="H41" s="219"/>
      <c r="I41" s="180"/>
    </row>
    <row r="42" spans="2:9" ht="15.75" customHeight="1">
      <c r="B42" s="315"/>
      <c r="C42" s="219"/>
      <c r="D42" s="207"/>
      <c r="E42" s="219"/>
      <c r="F42" s="219"/>
      <c r="G42" s="219"/>
      <c r="H42" s="219"/>
      <c r="I42" s="180"/>
    </row>
    <row r="43" spans="2:9" ht="15.75" customHeight="1">
      <c r="B43" s="315"/>
      <c r="C43" s="219" t="s">
        <v>427</v>
      </c>
      <c r="D43" s="207"/>
      <c r="E43" s="207">
        <f>D20-D63-E63-F63-G63-H63</f>
        <v>7871400</v>
      </c>
      <c r="F43" s="219"/>
      <c r="G43" s="219"/>
      <c r="H43" s="219"/>
      <c r="I43" s="180"/>
    </row>
    <row r="44" spans="2:9" ht="15.75" customHeight="1">
      <c r="B44" s="315"/>
      <c r="C44" s="219"/>
      <c r="D44" s="207"/>
      <c r="E44" s="219"/>
      <c r="F44" s="219"/>
      <c r="G44" s="219"/>
      <c r="H44" s="219"/>
      <c r="I44" s="180"/>
    </row>
    <row r="45" spans="2:9" ht="15.75" customHeight="1">
      <c r="B45" s="315"/>
      <c r="C45" s="182" t="s">
        <v>350</v>
      </c>
      <c r="D45" s="207"/>
      <c r="E45" s="219"/>
      <c r="F45" s="219"/>
      <c r="G45" s="219"/>
      <c r="H45" s="219"/>
      <c r="I45" s="180"/>
    </row>
    <row r="46" spans="2:9" ht="15.75" customHeight="1">
      <c r="B46" s="315"/>
      <c r="C46" s="219" t="s">
        <v>351</v>
      </c>
      <c r="D46" s="207">
        <f>D23</f>
        <v>7400000</v>
      </c>
      <c r="E46" s="219"/>
      <c r="F46" s="219"/>
      <c r="G46" s="219"/>
      <c r="H46" s="219"/>
      <c r="I46" s="180"/>
    </row>
    <row r="47" spans="2:9" ht="15.75" customHeight="1">
      <c r="B47" s="315"/>
      <c r="C47" s="219" t="s">
        <v>79</v>
      </c>
      <c r="D47" s="211">
        <f>(E43-D23)*D24</f>
        <v>188560</v>
      </c>
      <c r="E47" s="219"/>
      <c r="F47" s="219"/>
      <c r="G47" s="219"/>
      <c r="H47" s="219"/>
      <c r="I47" s="180"/>
    </row>
    <row r="48" spans="2:9" ht="15.75" customHeight="1">
      <c r="B48" s="315"/>
      <c r="C48" s="219" t="s">
        <v>200</v>
      </c>
      <c r="D48" s="207">
        <f>D46+D47</f>
        <v>7588560</v>
      </c>
      <c r="E48" s="219"/>
      <c r="F48" s="219"/>
      <c r="G48" s="219"/>
      <c r="H48" s="219"/>
      <c r="I48" s="180"/>
    </row>
    <row r="49" spans="2:9" ht="15.75" customHeight="1">
      <c r="B49" s="315"/>
      <c r="C49" s="219"/>
      <c r="D49" s="219"/>
      <c r="E49" s="219"/>
      <c r="F49" s="219"/>
      <c r="G49" s="219"/>
      <c r="H49" s="219"/>
      <c r="I49" s="180"/>
    </row>
    <row r="50" spans="2:9" ht="15.75" customHeight="1">
      <c r="B50" s="315"/>
      <c r="C50" s="219" t="s">
        <v>10</v>
      </c>
      <c r="D50" s="316" t="s">
        <v>181</v>
      </c>
      <c r="E50" s="316" t="s">
        <v>182</v>
      </c>
      <c r="F50" s="316" t="s">
        <v>183</v>
      </c>
      <c r="G50" s="316" t="s">
        <v>184</v>
      </c>
      <c r="H50" s="316" t="s">
        <v>231</v>
      </c>
      <c r="I50" s="180"/>
    </row>
    <row r="51" spans="2:9" ht="15.75" customHeight="1">
      <c r="B51" s="315"/>
      <c r="C51" s="219" t="s">
        <v>428</v>
      </c>
      <c r="D51" s="207">
        <f>D8*$D$7</f>
        <v>10980000</v>
      </c>
      <c r="E51" s="207">
        <f>D7*D9</f>
        <v>11895000</v>
      </c>
      <c r="F51" s="207">
        <f>D7*D10</f>
        <v>15250000</v>
      </c>
      <c r="G51" s="207">
        <f>D7*D11</f>
        <v>14335000</v>
      </c>
      <c r="H51" s="207">
        <f>D7*D12</f>
        <v>12810000</v>
      </c>
      <c r="I51" s="180"/>
    </row>
    <row r="52" spans="2:9" ht="15.75" customHeight="1">
      <c r="B52" s="315"/>
      <c r="C52" s="219" t="s">
        <v>429</v>
      </c>
      <c r="D52" s="211">
        <f>-$D$16*$D$17</f>
        <v>-1125000</v>
      </c>
      <c r="E52" s="211">
        <f>D52</f>
        <v>-1125000</v>
      </c>
      <c r="F52" s="211">
        <f>E52</f>
        <v>-1125000</v>
      </c>
      <c r="G52" s="211">
        <f>F52</f>
        <v>-1125000</v>
      </c>
      <c r="H52" s="211">
        <f>G52</f>
        <v>-1125000</v>
      </c>
      <c r="I52" s="180"/>
    </row>
    <row r="53" spans="2:9" ht="15.75" customHeight="1">
      <c r="B53" s="315"/>
      <c r="C53" s="219" t="s">
        <v>200</v>
      </c>
      <c r="D53" s="207">
        <f>SUM(D51:D52)</f>
        <v>9855000</v>
      </c>
      <c r="E53" s="207">
        <f>SUM(E51:E52)</f>
        <v>10770000</v>
      </c>
      <c r="F53" s="207">
        <f>SUM(F51:F52)</f>
        <v>14125000</v>
      </c>
      <c r="G53" s="207">
        <f>SUM(G51:G52)</f>
        <v>13210000</v>
      </c>
      <c r="H53" s="207">
        <f>SUM(H51:H52)</f>
        <v>11685000</v>
      </c>
      <c r="I53" s="180"/>
    </row>
    <row r="54" spans="2:9" ht="15.75" customHeight="1">
      <c r="B54" s="315"/>
      <c r="C54" s="219"/>
      <c r="D54" s="219"/>
      <c r="E54" s="219"/>
      <c r="F54" s="219"/>
      <c r="G54" s="219"/>
      <c r="H54" s="219"/>
      <c r="I54" s="180"/>
    </row>
    <row r="55" spans="2:9" ht="15.75" customHeight="1">
      <c r="B55" s="315"/>
      <c r="C55" s="219" t="s">
        <v>80</v>
      </c>
      <c r="D55" s="219"/>
      <c r="E55" s="219"/>
      <c r="F55" s="219"/>
      <c r="G55" s="219"/>
      <c r="H55" s="219"/>
      <c r="I55" s="180"/>
    </row>
    <row r="56" spans="2:9" ht="15.75" customHeight="1">
      <c r="B56" s="315"/>
      <c r="C56" s="219" t="s">
        <v>428</v>
      </c>
      <c r="D56" s="207">
        <f>D51*$D$13</f>
        <v>4941000</v>
      </c>
      <c r="E56" s="207">
        <f>E51*$D$13</f>
        <v>5352750</v>
      </c>
      <c r="F56" s="207">
        <f>F51*$D$13</f>
        <v>6862500</v>
      </c>
      <c r="G56" s="207">
        <f>G51*$D$13</f>
        <v>6450750</v>
      </c>
      <c r="H56" s="207">
        <f>H51*$D$13</f>
        <v>5764500</v>
      </c>
      <c r="I56" s="180"/>
    </row>
    <row r="57" spans="2:9" ht="15.75" customHeight="1">
      <c r="B57" s="315"/>
      <c r="C57" s="219" t="s">
        <v>429</v>
      </c>
      <c r="D57" s="211">
        <f>D52*$D$18</f>
        <v>-450000</v>
      </c>
      <c r="E57" s="211">
        <f>E52*$D$18</f>
        <v>-450000</v>
      </c>
      <c r="F57" s="211">
        <f>F52*$D$18</f>
        <v>-450000</v>
      </c>
      <c r="G57" s="211">
        <f>G52*$D$18</f>
        <v>-450000</v>
      </c>
      <c r="H57" s="211">
        <f>H52*$D$18</f>
        <v>-450000</v>
      </c>
      <c r="I57" s="180"/>
    </row>
    <row r="58" spans="2:9" ht="15.75" customHeight="1">
      <c r="B58" s="315"/>
      <c r="C58" s="219" t="s">
        <v>200</v>
      </c>
      <c r="D58" s="207">
        <f>SUM(D56:D57)</f>
        <v>4491000</v>
      </c>
      <c r="E58" s="207">
        <f>SUM(E56:E57)</f>
        <v>4902750</v>
      </c>
      <c r="F58" s="207">
        <f>SUM(F56:F57)</f>
        <v>6412500</v>
      </c>
      <c r="G58" s="207">
        <f>SUM(G56:G57)</f>
        <v>6000750</v>
      </c>
      <c r="H58" s="207">
        <f>SUM(H56:H57)</f>
        <v>5314500</v>
      </c>
      <c r="I58" s="180"/>
    </row>
    <row r="59" spans="2:9" ht="15.75" customHeight="1">
      <c r="B59" s="315"/>
      <c r="C59" s="219"/>
      <c r="D59" s="215"/>
      <c r="E59" s="215"/>
      <c r="F59" s="215"/>
      <c r="G59" s="215"/>
      <c r="H59" s="215"/>
      <c r="I59" s="180"/>
    </row>
    <row r="60" spans="2:9" ht="15.75" customHeight="1">
      <c r="B60" s="315"/>
      <c r="C60" s="219" t="s">
        <v>10</v>
      </c>
      <c r="D60" s="207">
        <f>D53</f>
        <v>9855000</v>
      </c>
      <c r="E60" s="207">
        <f>E53</f>
        <v>10770000</v>
      </c>
      <c r="F60" s="207">
        <f>F53</f>
        <v>14125000</v>
      </c>
      <c r="G60" s="207">
        <f>G53</f>
        <v>13210000</v>
      </c>
      <c r="H60" s="207">
        <f>H53</f>
        <v>11685000</v>
      </c>
      <c r="I60" s="180"/>
    </row>
    <row r="61" spans="2:9" ht="15.75" customHeight="1">
      <c r="B61" s="315"/>
      <c r="C61" s="219" t="s">
        <v>337</v>
      </c>
      <c r="D61" s="210">
        <f>D58</f>
        <v>4491000</v>
      </c>
      <c r="E61" s="210">
        <f>E58</f>
        <v>4902750</v>
      </c>
      <c r="F61" s="210">
        <f>F58</f>
        <v>6412500</v>
      </c>
      <c r="G61" s="210">
        <f>G58</f>
        <v>6000750</v>
      </c>
      <c r="H61" s="210">
        <f>H58</f>
        <v>5314500</v>
      </c>
      <c r="I61" s="180"/>
    </row>
    <row r="62" spans="2:9" ht="15.75" customHeight="1">
      <c r="B62" s="315"/>
      <c r="C62" s="219" t="s">
        <v>81</v>
      </c>
      <c r="D62" s="210">
        <f>D14</f>
        <v>1900000</v>
      </c>
      <c r="E62" s="210">
        <f>D62</f>
        <v>1900000</v>
      </c>
      <c r="F62" s="210">
        <f>E62</f>
        <v>1900000</v>
      </c>
      <c r="G62" s="210">
        <f>F62</f>
        <v>1900000</v>
      </c>
      <c r="H62" s="210">
        <f>G62</f>
        <v>1900000</v>
      </c>
      <c r="I62" s="180"/>
    </row>
    <row r="63" spans="2:9" ht="15.75" customHeight="1">
      <c r="B63" s="315"/>
      <c r="C63" s="219" t="s">
        <v>338</v>
      </c>
      <c r="D63" s="211">
        <v>0</v>
      </c>
      <c r="E63" s="211">
        <v>0</v>
      </c>
      <c r="F63" s="211">
        <f>$D$20*D26</f>
        <v>2572200</v>
      </c>
      <c r="G63" s="211">
        <f>$D$20*D27</f>
        <v>4408200</v>
      </c>
      <c r="H63" s="211">
        <f>$D$20*D28</f>
        <v>3148200</v>
      </c>
      <c r="I63" s="180"/>
    </row>
    <row r="64" spans="2:9" ht="15.75" customHeight="1">
      <c r="B64" s="315"/>
      <c r="C64" s="219" t="s">
        <v>8</v>
      </c>
      <c r="D64" s="207">
        <f>D60-D61-D62-D63</f>
        <v>3464000</v>
      </c>
      <c r="E64" s="207">
        <f>E60-E61-E62-E63</f>
        <v>3967250</v>
      </c>
      <c r="F64" s="207">
        <f>F60-F61-F62-F63</f>
        <v>3240300</v>
      </c>
      <c r="G64" s="207">
        <f>G60-G61-G62-G63</f>
        <v>901050</v>
      </c>
      <c r="H64" s="207">
        <f>H60-H61-H62-H63</f>
        <v>1322300</v>
      </c>
      <c r="I64" s="180"/>
    </row>
    <row r="65" spans="2:9" ht="15.75" customHeight="1">
      <c r="B65" s="315"/>
      <c r="C65" s="219" t="s">
        <v>155</v>
      </c>
      <c r="D65" s="211">
        <f>$D$24*D64</f>
        <v>1385600</v>
      </c>
      <c r="E65" s="211">
        <f>$D$24*E64</f>
        <v>1586900</v>
      </c>
      <c r="F65" s="211">
        <f>$D$24*F64</f>
        <v>1296120</v>
      </c>
      <c r="G65" s="211">
        <f>$D$24*G64</f>
        <v>360420</v>
      </c>
      <c r="H65" s="211">
        <f>$D$24*H64</f>
        <v>528920</v>
      </c>
      <c r="I65" s="180"/>
    </row>
    <row r="66" spans="2:9" ht="15.75" customHeight="1">
      <c r="B66" s="315"/>
      <c r="C66" s="219" t="s">
        <v>339</v>
      </c>
      <c r="D66" s="207">
        <f>D64-D65</f>
        <v>2078400</v>
      </c>
      <c r="E66" s="207">
        <f>E64-E65</f>
        <v>2380350</v>
      </c>
      <c r="F66" s="207">
        <f>F64-F65</f>
        <v>1944180</v>
      </c>
      <c r="G66" s="207">
        <f>G64-G65</f>
        <v>540630</v>
      </c>
      <c r="H66" s="207">
        <f>H64-H65</f>
        <v>793380</v>
      </c>
      <c r="I66" s="180"/>
    </row>
    <row r="67" spans="2:9" ht="15.75" customHeight="1">
      <c r="B67" s="315"/>
      <c r="C67" s="317" t="s">
        <v>340</v>
      </c>
      <c r="D67" s="211">
        <f>-D63</f>
        <v>0</v>
      </c>
      <c r="E67" s="211">
        <f>-E63</f>
        <v>0</v>
      </c>
      <c r="F67" s="211">
        <f>F63</f>
        <v>2572200</v>
      </c>
      <c r="G67" s="211">
        <f>G63</f>
        <v>4408200</v>
      </c>
      <c r="H67" s="211">
        <f>H63</f>
        <v>3148200</v>
      </c>
      <c r="I67" s="180"/>
    </row>
    <row r="68" spans="2:9" ht="15.75" customHeight="1">
      <c r="B68" s="315"/>
      <c r="C68" s="219" t="s">
        <v>11</v>
      </c>
      <c r="D68" s="207">
        <f>SUM(D66:D67)</f>
        <v>2078400</v>
      </c>
      <c r="E68" s="207">
        <f>SUM(E66:E67)</f>
        <v>2380350</v>
      </c>
      <c r="F68" s="207">
        <f>SUM(F66:F67)</f>
        <v>4516380</v>
      </c>
      <c r="G68" s="207">
        <f>SUM(G66:G67)</f>
        <v>4948830</v>
      </c>
      <c r="H68" s="207">
        <f>SUM(H66:H67)</f>
        <v>3941580</v>
      </c>
      <c r="I68" s="180"/>
    </row>
    <row r="69" spans="2:9" ht="15.75" customHeight="1">
      <c r="B69" s="315"/>
      <c r="C69" s="219"/>
      <c r="D69" s="215"/>
      <c r="E69" s="215"/>
      <c r="F69" s="215"/>
      <c r="G69" s="215"/>
      <c r="H69" s="215"/>
      <c r="I69" s="180"/>
    </row>
    <row r="70" spans="2:9" ht="15.75" customHeight="1">
      <c r="B70" s="315"/>
      <c r="C70" s="219" t="s">
        <v>189</v>
      </c>
      <c r="D70" s="215"/>
      <c r="E70" s="215"/>
      <c r="F70" s="215"/>
      <c r="G70" s="215"/>
      <c r="H70" s="215"/>
      <c r="I70" s="180"/>
    </row>
    <row r="71" spans="2:9" ht="15.75" customHeight="1">
      <c r="B71" s="315"/>
      <c r="C71" s="219" t="s">
        <v>341</v>
      </c>
      <c r="D71" s="207">
        <f>-D35</f>
        <v>1098000</v>
      </c>
      <c r="E71" s="207">
        <f>D72</f>
        <v>1189500</v>
      </c>
      <c r="F71" s="207">
        <f>E72</f>
        <v>1525000</v>
      </c>
      <c r="G71" s="207">
        <f>F72</f>
        <v>1433500</v>
      </c>
      <c r="H71" s="207">
        <f>G72</f>
        <v>1281000</v>
      </c>
      <c r="I71" s="180"/>
    </row>
    <row r="72" spans="2:9" ht="15.75" customHeight="1">
      <c r="B72" s="315"/>
      <c r="C72" s="219" t="s">
        <v>342</v>
      </c>
      <c r="D72" s="211">
        <f>E51*$D$15</f>
        <v>1189500</v>
      </c>
      <c r="E72" s="211">
        <f>F51*$D$15</f>
        <v>1525000</v>
      </c>
      <c r="F72" s="211">
        <f>G51*$D$15</f>
        <v>1433500</v>
      </c>
      <c r="G72" s="211">
        <f>H51*$D$15</f>
        <v>1281000</v>
      </c>
      <c r="H72" s="211">
        <v>0</v>
      </c>
      <c r="I72" s="180"/>
    </row>
    <row r="73" spans="2:9" ht="15.75" customHeight="1">
      <c r="B73" s="315"/>
      <c r="C73" s="219" t="s">
        <v>343</v>
      </c>
      <c r="D73" s="207">
        <f>D71-D72</f>
        <v>-91500</v>
      </c>
      <c r="E73" s="207">
        <f>E71-E72</f>
        <v>-335500</v>
      </c>
      <c r="F73" s="207">
        <f>F71-F72</f>
        <v>91500</v>
      </c>
      <c r="G73" s="207">
        <f>G71-G72</f>
        <v>152500</v>
      </c>
      <c r="H73" s="207">
        <f>H71-H72</f>
        <v>1281000</v>
      </c>
      <c r="I73" s="180"/>
    </row>
    <row r="74" spans="2:9" ht="15.75" customHeight="1">
      <c r="B74" s="315"/>
      <c r="C74" s="219"/>
      <c r="D74" s="207"/>
      <c r="E74" s="207"/>
      <c r="F74" s="207"/>
      <c r="G74" s="207"/>
      <c r="H74" s="207"/>
      <c r="I74" s="180"/>
    </row>
    <row r="75" spans="2:9" ht="15.75" customHeight="1">
      <c r="B75" s="315"/>
      <c r="C75" s="219" t="s">
        <v>119</v>
      </c>
      <c r="D75" s="207"/>
      <c r="E75" s="207">
        <f>D41</f>
        <v>-18000000</v>
      </c>
      <c r="F75" s="207"/>
      <c r="G75" s="207"/>
      <c r="H75" s="207">
        <f>D48</f>
        <v>7588560</v>
      </c>
      <c r="I75" s="180"/>
    </row>
    <row r="76" spans="2:9" ht="15.75" customHeight="1">
      <c r="B76" s="315"/>
      <c r="C76" s="219"/>
      <c r="D76" s="215"/>
      <c r="E76" s="215"/>
      <c r="F76" s="215"/>
      <c r="G76" s="215"/>
      <c r="H76" s="215"/>
      <c r="I76" s="180"/>
    </row>
    <row r="77" spans="2:9" ht="15.75" customHeight="1">
      <c r="B77" s="315"/>
      <c r="C77" s="219" t="s">
        <v>344</v>
      </c>
      <c r="D77" s="207">
        <f>D68+D73+D75</f>
        <v>1986900</v>
      </c>
      <c r="E77" s="207">
        <f>E68+E73+E75</f>
        <v>-15955150</v>
      </c>
      <c r="F77" s="207">
        <f>F68+F73+F75</f>
        <v>4607880</v>
      </c>
      <c r="G77" s="207">
        <f>G68+G73+G75</f>
        <v>5101330</v>
      </c>
      <c r="H77" s="207">
        <f>H68+H73+H75</f>
        <v>12811140</v>
      </c>
      <c r="I77" s="180"/>
    </row>
    <row r="78" spans="2:9" ht="15.75" customHeight="1">
      <c r="B78" s="315"/>
      <c r="C78" s="219"/>
      <c r="D78" s="219"/>
      <c r="E78" s="219"/>
      <c r="F78" s="219"/>
      <c r="G78" s="219"/>
      <c r="H78" s="219"/>
      <c r="I78" s="180"/>
    </row>
    <row r="79" spans="2:9" ht="15.75" customHeight="1">
      <c r="B79" s="315"/>
      <c r="C79" s="219" t="s">
        <v>21</v>
      </c>
      <c r="D79" s="131">
        <f>NPV(D25,D77:H77)+D37</f>
        <v>2187376.6035743784</v>
      </c>
      <c r="E79" s="219"/>
      <c r="F79" s="219"/>
      <c r="G79" s="219"/>
      <c r="H79" s="219"/>
      <c r="I79" s="180"/>
    </row>
    <row r="80" spans="2:9" ht="15.75" customHeight="1" thickBot="1">
      <c r="B80" s="318"/>
      <c r="C80" s="319"/>
      <c r="D80" s="319"/>
      <c r="E80" s="319"/>
      <c r="F80" s="319"/>
      <c r="G80" s="319"/>
      <c r="H80" s="319"/>
      <c r="I80" s="200"/>
    </row>
    <row r="81" ht="15.75" customHeight="1"/>
    <row r="82" ht="15.75" customHeight="1"/>
    <row r="83" ht="15.75" customHeight="1"/>
    <row r="84" ht="15.75" customHeight="1"/>
  </sheetData>
  <phoneticPr fontId="28" type="noConversion"/>
  <pageMargins left="0.75" right="0.75" top="1" bottom="1" header="0.5" footer="0.5"/>
  <pageSetup scale="73" orientation="portrait" r:id="rId1"/>
  <headerFooter alignWithMargins="0"/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B1:H45"/>
  <sheetViews>
    <sheetView workbookViewId="0"/>
  </sheetViews>
  <sheetFormatPr defaultRowHeight="12.75"/>
  <cols>
    <col min="2" max="2" width="3.140625" customWidth="1"/>
    <col min="3" max="3" width="26.28515625" bestFit="1" customWidth="1"/>
    <col min="4" max="4" width="18.140625" customWidth="1"/>
    <col min="5" max="5" width="3.140625" customWidth="1"/>
    <col min="6" max="6" width="17.85546875" bestFit="1" customWidth="1"/>
    <col min="7" max="7" width="19.85546875" bestFit="1" customWidth="1"/>
    <col min="8" max="8" width="3.140625" customWidth="1"/>
  </cols>
  <sheetData>
    <row r="1" spans="2:7" ht="17.25" customHeight="1">
      <c r="C1" s="1" t="s">
        <v>436</v>
      </c>
    </row>
    <row r="2" spans="2:7" ht="15.75" customHeight="1">
      <c r="C2" s="3" t="s">
        <v>4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4"/>
    </row>
    <row r="6" spans="2:7" ht="15.75" customHeight="1">
      <c r="B6" s="5"/>
      <c r="C6" s="6"/>
      <c r="D6" s="6"/>
      <c r="E6" s="7"/>
      <c r="F6" s="14"/>
      <c r="G6" s="14"/>
    </row>
    <row r="7" spans="2:7" ht="15.75" customHeight="1">
      <c r="B7" s="8"/>
      <c r="C7" s="13" t="s">
        <v>17</v>
      </c>
      <c r="D7" s="85">
        <v>1400000</v>
      </c>
      <c r="E7" s="9"/>
      <c r="F7" s="14"/>
      <c r="G7" s="14"/>
    </row>
    <row r="8" spans="2:7" ht="15.75" customHeight="1">
      <c r="B8" s="8"/>
      <c r="C8" s="13" t="s">
        <v>18</v>
      </c>
      <c r="D8" s="85">
        <v>1120000</v>
      </c>
      <c r="E8" s="9"/>
      <c r="F8" s="14"/>
      <c r="G8" s="14"/>
    </row>
    <row r="9" spans="2:7" ht="15.75" customHeight="1">
      <c r="B9" s="8"/>
      <c r="C9" s="13" t="s">
        <v>14</v>
      </c>
      <c r="D9" s="85">
        <v>480000</v>
      </c>
      <c r="E9" s="9"/>
      <c r="F9" s="14"/>
      <c r="G9" s="14"/>
    </row>
    <row r="10" spans="2:7" ht="15.75" customHeight="1">
      <c r="B10" s="8"/>
      <c r="C10" s="13" t="s">
        <v>6</v>
      </c>
      <c r="D10" s="92">
        <v>0.35</v>
      </c>
      <c r="E10" s="9"/>
      <c r="F10" s="45"/>
      <c r="G10" s="45"/>
    </row>
    <row r="11" spans="2:7" ht="15.75" customHeight="1">
      <c r="B11" s="8"/>
      <c r="C11" s="13" t="s">
        <v>34</v>
      </c>
      <c r="D11" s="86"/>
      <c r="E11" s="40"/>
      <c r="F11" s="46"/>
      <c r="G11" s="46"/>
    </row>
    <row r="12" spans="2:7" ht="15.75" customHeight="1">
      <c r="B12" s="8"/>
      <c r="C12" s="13" t="s">
        <v>19</v>
      </c>
      <c r="D12" s="93">
        <v>3</v>
      </c>
      <c r="E12" s="40"/>
      <c r="F12" s="46"/>
      <c r="G12" s="46"/>
    </row>
    <row r="13" spans="2:7" ht="15.75" customHeight="1">
      <c r="B13" s="8"/>
      <c r="C13" s="13" t="s">
        <v>20</v>
      </c>
      <c r="D13" s="84">
        <v>0.12</v>
      </c>
      <c r="E13" s="40"/>
      <c r="F13" s="46"/>
      <c r="G13" s="46"/>
    </row>
    <row r="14" spans="2:7" ht="15.75" customHeight="1" thickBot="1">
      <c r="B14" s="10"/>
      <c r="C14" s="11"/>
      <c r="D14" s="11"/>
      <c r="E14" s="12"/>
      <c r="F14" s="47"/>
      <c r="G14" s="14"/>
    </row>
    <row r="15" spans="2:7" ht="15.75" customHeight="1"/>
    <row r="16" spans="2:7" ht="15.75" customHeight="1">
      <c r="C16" s="2" t="s">
        <v>2</v>
      </c>
    </row>
    <row r="17" spans="2:8" ht="15.75" customHeight="1" thickBot="1"/>
    <row r="18" spans="2:8" ht="15.75" customHeight="1">
      <c r="B18" s="15"/>
      <c r="C18" s="16"/>
      <c r="D18" s="16"/>
      <c r="E18" s="17"/>
      <c r="F18" s="30"/>
      <c r="G18" s="30"/>
      <c r="H18" s="30"/>
    </row>
    <row r="19" spans="2:8" ht="15.75" customHeight="1">
      <c r="B19" s="18"/>
      <c r="C19" s="19" t="s">
        <v>11</v>
      </c>
      <c r="D19" s="87">
        <f>(D8-D9)*(1-D10)+D10*(D7/D12)</f>
        <v>579333.33333333337</v>
      </c>
      <c r="E19" s="21"/>
      <c r="F19" s="31"/>
      <c r="G19" s="31"/>
      <c r="H19" s="30"/>
    </row>
    <row r="20" spans="2:8" ht="15.75" customHeight="1">
      <c r="B20" s="18"/>
      <c r="C20" s="19"/>
      <c r="D20" s="88"/>
      <c r="E20" s="21"/>
      <c r="F20" s="31"/>
      <c r="G20" s="31"/>
      <c r="H20" s="30"/>
    </row>
    <row r="21" spans="2:8" ht="15.75" customHeight="1">
      <c r="B21" s="18"/>
      <c r="C21" s="19" t="s">
        <v>21</v>
      </c>
      <c r="D21" s="131">
        <f>-D7+PV(D13,D12,-D19)</f>
        <v>-8539.0852769666817</v>
      </c>
      <c r="E21" s="21"/>
      <c r="F21" s="31"/>
      <c r="G21" s="31"/>
      <c r="H21" s="30"/>
    </row>
    <row r="22" spans="2:8" ht="15.75" customHeight="1" thickBot="1">
      <c r="B22" s="23"/>
      <c r="C22" s="39"/>
      <c r="D22" s="50"/>
      <c r="E22" s="51"/>
      <c r="F22" s="35"/>
      <c r="G22" s="35"/>
      <c r="H22" s="31"/>
    </row>
    <row r="23" spans="2:8" ht="15.75" customHeight="1">
      <c r="B23" s="30"/>
      <c r="C23" s="35"/>
      <c r="D23" s="48"/>
      <c r="E23" s="30"/>
      <c r="F23" s="35"/>
      <c r="G23" s="35"/>
      <c r="H23" s="30"/>
    </row>
    <row r="24" spans="2:8" ht="15.75" customHeight="1">
      <c r="B24" s="30"/>
      <c r="C24" s="35"/>
      <c r="D24" s="49"/>
      <c r="E24" s="30"/>
      <c r="F24" s="35"/>
      <c r="G24" s="35"/>
      <c r="H24" s="30"/>
    </row>
    <row r="25" spans="2:8" ht="15.75" customHeight="1">
      <c r="B25" s="30"/>
      <c r="C25" s="36"/>
      <c r="D25" s="37"/>
      <c r="E25" s="38"/>
      <c r="F25" s="35"/>
      <c r="G25" s="35"/>
      <c r="H25" s="30"/>
    </row>
    <row r="26" spans="2:8" ht="15.75" customHeight="1">
      <c r="B26" s="30"/>
      <c r="C26" s="36"/>
      <c r="D26" s="37"/>
      <c r="E26" s="38"/>
      <c r="F26" s="35"/>
      <c r="G26" s="35"/>
      <c r="H26" s="30"/>
    </row>
    <row r="27" spans="2:8" ht="15.75" customHeight="1">
      <c r="B27" s="30"/>
      <c r="C27" s="36"/>
      <c r="D27" s="37"/>
      <c r="E27" s="38"/>
      <c r="F27" s="35"/>
      <c r="G27" s="35"/>
      <c r="H27" s="30"/>
    </row>
    <row r="28" spans="2:8" ht="15.75" customHeight="1">
      <c r="B28" s="30"/>
      <c r="C28" s="36"/>
      <c r="D28" s="37"/>
      <c r="E28" s="38"/>
      <c r="F28" s="35"/>
      <c r="G28" s="35"/>
      <c r="H28" s="30"/>
    </row>
    <row r="29" spans="2:8" ht="15.75" customHeight="1">
      <c r="B29" s="30"/>
      <c r="C29" s="30"/>
      <c r="D29" s="30"/>
      <c r="E29" s="30"/>
      <c r="F29" s="30"/>
      <c r="G29" s="30"/>
      <c r="H29" s="30"/>
    </row>
    <row r="30" spans="2:8" ht="15.75" customHeight="1">
      <c r="B30" s="14"/>
      <c r="C30" s="14"/>
      <c r="D30" s="14"/>
      <c r="E30" s="14"/>
      <c r="F30" s="14"/>
      <c r="G30" s="14"/>
      <c r="H30" s="14"/>
    </row>
    <row r="31" spans="2:8" ht="15.75" customHeight="1"/>
    <row r="32" spans="2:8" ht="15.75" customHeight="1">
      <c r="D32" s="26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H41"/>
  <sheetViews>
    <sheetView workbookViewId="0"/>
  </sheetViews>
  <sheetFormatPr defaultRowHeight="12.75"/>
  <cols>
    <col min="2" max="2" width="3.140625" customWidth="1"/>
    <col min="3" max="3" width="28.28515625" bestFit="1" customWidth="1"/>
    <col min="4" max="4" width="18.140625" customWidth="1"/>
    <col min="5" max="5" width="3.140625" customWidth="1"/>
    <col min="6" max="6" width="17.85546875" bestFit="1" customWidth="1"/>
    <col min="7" max="7" width="19.85546875" bestFit="1" customWidth="1"/>
    <col min="8" max="8" width="3.140625" customWidth="1"/>
  </cols>
  <sheetData>
    <row r="1" spans="2:7" ht="17.25" customHeight="1">
      <c r="C1" s="1" t="s">
        <v>436</v>
      </c>
    </row>
    <row r="2" spans="2:7" ht="15.75" customHeight="1">
      <c r="C2" s="3" t="s">
        <v>9</v>
      </c>
    </row>
    <row r="3" spans="2:7" ht="15.75" customHeight="1"/>
    <row r="4" spans="2:7" ht="15.75" customHeight="1">
      <c r="C4" s="2" t="s">
        <v>1</v>
      </c>
    </row>
    <row r="5" spans="2:7" ht="15.75" customHeight="1" thickBot="1">
      <c r="G5" s="44"/>
    </row>
    <row r="6" spans="2:7" ht="15.75" customHeight="1">
      <c r="B6" s="5"/>
      <c r="C6" s="6"/>
      <c r="D6" s="6"/>
      <c r="E6" s="7"/>
      <c r="F6" s="14"/>
      <c r="G6" s="14"/>
    </row>
    <row r="7" spans="2:7" ht="15.75" customHeight="1">
      <c r="B7" s="8"/>
      <c r="C7" s="13" t="s">
        <v>17</v>
      </c>
      <c r="D7" s="128">
        <f ca="1">'#3'!D7</f>
        <v>1400000</v>
      </c>
      <c r="E7" s="9"/>
      <c r="F7" s="14"/>
      <c r="G7" s="14"/>
    </row>
    <row r="8" spans="2:7" ht="15.75" customHeight="1">
      <c r="B8" s="8"/>
      <c r="C8" s="13" t="s">
        <v>18</v>
      </c>
      <c r="D8" s="128">
        <f ca="1">'#3'!D8</f>
        <v>1120000</v>
      </c>
      <c r="E8" s="9"/>
      <c r="F8" s="14"/>
      <c r="G8" s="14"/>
    </row>
    <row r="9" spans="2:7" ht="15.75" customHeight="1">
      <c r="B9" s="8"/>
      <c r="C9" s="13" t="s">
        <v>14</v>
      </c>
      <c r="D9" s="128">
        <f ca="1">'#3'!D9</f>
        <v>480000</v>
      </c>
      <c r="E9" s="9"/>
      <c r="F9" s="14"/>
      <c r="G9" s="14"/>
    </row>
    <row r="10" spans="2:7" ht="15.75" customHeight="1">
      <c r="B10" s="8"/>
      <c r="C10" s="13" t="s">
        <v>6</v>
      </c>
      <c r="D10" s="129">
        <f ca="1">'#3'!D10</f>
        <v>0.35</v>
      </c>
      <c r="E10" s="9"/>
      <c r="F10" s="45"/>
    </row>
    <row r="11" spans="2:7" ht="15.75" customHeight="1">
      <c r="B11" s="8"/>
      <c r="C11" s="13" t="s">
        <v>20</v>
      </c>
      <c r="D11" s="132">
        <f ca="1">'#3'!D13</f>
        <v>0.12</v>
      </c>
      <c r="E11" s="40"/>
      <c r="F11" s="46"/>
    </row>
    <row r="12" spans="2:7" ht="15.75" customHeight="1">
      <c r="B12" s="8"/>
      <c r="C12" s="13" t="s">
        <v>34</v>
      </c>
      <c r="D12" s="133"/>
      <c r="E12" s="40"/>
      <c r="F12" s="46"/>
    </row>
    <row r="13" spans="2:7" ht="15.75" customHeight="1">
      <c r="B13" s="8"/>
      <c r="C13" s="13" t="s">
        <v>19</v>
      </c>
      <c r="D13" s="130">
        <f ca="1">'#3'!D12</f>
        <v>3</v>
      </c>
      <c r="E13" s="40"/>
      <c r="F13" s="46"/>
    </row>
    <row r="14" spans="2:7" ht="15.75" customHeight="1">
      <c r="B14" s="8"/>
      <c r="C14" s="13" t="s">
        <v>11</v>
      </c>
      <c r="D14" s="128">
        <f ca="1">'#3'!D19</f>
        <v>579333.33333333337</v>
      </c>
      <c r="E14" s="40"/>
      <c r="F14" s="46"/>
    </row>
    <row r="15" spans="2:7" ht="15.75" customHeight="1">
      <c r="B15" s="8"/>
      <c r="C15" s="13" t="s">
        <v>22</v>
      </c>
      <c r="D15" s="85">
        <v>285000</v>
      </c>
      <c r="E15" s="40"/>
      <c r="F15" s="46"/>
    </row>
    <row r="16" spans="2:7" ht="15.75" customHeight="1">
      <c r="B16" s="8"/>
      <c r="C16" s="13" t="s">
        <v>23</v>
      </c>
      <c r="D16" s="85">
        <v>225000</v>
      </c>
      <c r="E16" s="40"/>
      <c r="F16" s="46"/>
    </row>
    <row r="17" spans="2:8" ht="15.75" customHeight="1" thickBot="1">
      <c r="B17" s="10"/>
      <c r="C17" s="11"/>
      <c r="D17" s="11"/>
      <c r="E17" s="12"/>
      <c r="F17" s="47"/>
      <c r="G17" s="14"/>
    </row>
    <row r="18" spans="2:8" ht="15.75" customHeight="1"/>
    <row r="19" spans="2:8" ht="15.75" customHeight="1">
      <c r="C19" s="2" t="s">
        <v>2</v>
      </c>
    </row>
    <row r="20" spans="2:8" ht="15.75" customHeight="1" thickBot="1"/>
    <row r="21" spans="2:8" ht="15.75" customHeight="1">
      <c r="B21" s="15"/>
      <c r="C21" s="16"/>
      <c r="D21" s="16"/>
      <c r="E21" s="17"/>
      <c r="F21" s="30"/>
      <c r="G21" s="30"/>
      <c r="H21" s="30"/>
    </row>
    <row r="22" spans="2:8" ht="15.75" customHeight="1">
      <c r="B22" s="18"/>
      <c r="C22" s="157" t="s">
        <v>24</v>
      </c>
      <c r="D22" s="90" t="s">
        <v>25</v>
      </c>
      <c r="E22" s="21"/>
      <c r="F22" s="31"/>
      <c r="G22" s="31"/>
      <c r="H22" s="30"/>
    </row>
    <row r="23" spans="2:8" ht="15.75" customHeight="1">
      <c r="B23" s="18"/>
      <c r="C23" s="77">
        <v>0</v>
      </c>
      <c r="D23" s="172">
        <f>(-D7-D15)</f>
        <v>-1685000</v>
      </c>
      <c r="E23" s="21"/>
      <c r="F23" s="31"/>
      <c r="G23" s="31"/>
      <c r="H23" s="30"/>
    </row>
    <row r="24" spans="2:8" ht="15.75" customHeight="1">
      <c r="B24" s="18"/>
      <c r="C24" s="235">
        <v>1</v>
      </c>
      <c r="D24" s="172">
        <f>D14</f>
        <v>579333.33333333337</v>
      </c>
      <c r="E24" s="21"/>
      <c r="F24" s="31"/>
      <c r="G24" s="31"/>
      <c r="H24" s="30"/>
    </row>
    <row r="25" spans="2:8" ht="15.75" customHeight="1">
      <c r="B25" s="18"/>
      <c r="C25" s="235">
        <v>2</v>
      </c>
      <c r="D25" s="172">
        <f>D14</f>
        <v>579333.33333333337</v>
      </c>
      <c r="E25" s="21"/>
      <c r="F25" s="31"/>
      <c r="G25" s="31"/>
      <c r="H25" s="30"/>
    </row>
    <row r="26" spans="2:8" ht="15.75" customHeight="1">
      <c r="B26" s="18"/>
      <c r="C26" s="235">
        <v>3</v>
      </c>
      <c r="D26" s="172">
        <f>D14+D15+(D16*(1-D10))</f>
        <v>1010583.3333333334</v>
      </c>
      <c r="E26" s="21"/>
      <c r="F26" s="31"/>
      <c r="G26" s="31"/>
      <c r="H26" s="30"/>
    </row>
    <row r="27" spans="2:8" ht="15.75" customHeight="1">
      <c r="B27" s="18"/>
      <c r="C27" s="52"/>
      <c r="D27" s="33"/>
      <c r="E27" s="21"/>
      <c r="F27" s="31"/>
      <c r="G27" s="31"/>
      <c r="H27" s="30"/>
    </row>
    <row r="28" spans="2:8" ht="15.75" customHeight="1">
      <c r="B28" s="18"/>
      <c r="C28" s="52" t="s">
        <v>21</v>
      </c>
      <c r="D28" s="131">
        <f>NPV(D11,D24:D26)+D23</f>
        <v>13416.146592565347</v>
      </c>
      <c r="E28" s="21"/>
      <c r="F28" s="31"/>
      <c r="G28" s="31"/>
      <c r="H28" s="30"/>
    </row>
    <row r="29" spans="2:8" ht="15.75" customHeight="1" thickBot="1">
      <c r="B29" s="23"/>
      <c r="C29" s="39"/>
      <c r="D29" s="50"/>
      <c r="E29" s="51"/>
      <c r="F29" s="35"/>
      <c r="G29" s="35"/>
      <c r="H29" s="31"/>
    </row>
    <row r="30" spans="2:8" ht="15.75" customHeight="1">
      <c r="B30" s="30"/>
      <c r="C30" s="35"/>
      <c r="D30" s="48"/>
      <c r="E30" s="30"/>
      <c r="F30" s="35"/>
      <c r="G30" s="35"/>
      <c r="H30" s="30"/>
    </row>
    <row r="31" spans="2:8" ht="15.75" customHeight="1">
      <c r="B31" s="30"/>
      <c r="C31" s="35"/>
      <c r="D31" s="49"/>
      <c r="E31" s="30"/>
      <c r="F31" s="35"/>
      <c r="G31" s="35"/>
      <c r="H31" s="30"/>
    </row>
    <row r="32" spans="2:8" ht="15.75" customHeight="1">
      <c r="B32" s="30"/>
      <c r="C32" s="36"/>
      <c r="D32" s="37"/>
      <c r="E32" s="38"/>
      <c r="F32" s="35"/>
      <c r="G32" s="35"/>
      <c r="H32" s="30"/>
    </row>
    <row r="33" spans="2:8" ht="15.75" customHeight="1">
      <c r="B33" s="30"/>
      <c r="C33" s="36"/>
      <c r="D33" s="37"/>
      <c r="E33" s="38"/>
      <c r="F33" s="35"/>
      <c r="G33" s="35"/>
      <c r="H33" s="30"/>
    </row>
    <row r="34" spans="2:8" ht="15.75" customHeight="1">
      <c r="B34" s="30"/>
      <c r="C34" s="36"/>
      <c r="D34" s="37"/>
      <c r="E34" s="38"/>
      <c r="F34" s="35"/>
      <c r="G34" s="35"/>
      <c r="H34" s="30"/>
    </row>
    <row r="35" spans="2:8" ht="15.75" customHeight="1">
      <c r="B35" s="30"/>
      <c r="C35" s="36"/>
      <c r="D35" s="37"/>
      <c r="E35" s="38"/>
      <c r="F35" s="35"/>
      <c r="G35" s="35"/>
      <c r="H35" s="30"/>
    </row>
    <row r="36" spans="2:8" ht="15.75" customHeight="1">
      <c r="B36" s="30"/>
      <c r="C36" s="30"/>
      <c r="D36" s="30"/>
      <c r="E36" s="30"/>
      <c r="F36" s="30"/>
      <c r="G36" s="30"/>
      <c r="H36" s="30"/>
    </row>
    <row r="37" spans="2:8" ht="15.75" customHeight="1">
      <c r="B37" s="14"/>
      <c r="C37" s="14"/>
      <c r="D37" s="14"/>
      <c r="E37" s="14"/>
      <c r="F37" s="14"/>
      <c r="G37" s="14"/>
      <c r="H37" s="14"/>
    </row>
    <row r="38" spans="2:8" ht="15.75" customHeight="1"/>
    <row r="39" spans="2:8" ht="15.75" customHeight="1">
      <c r="D39" s="26"/>
    </row>
    <row r="40" spans="2:8" ht="15.75" customHeight="1"/>
    <row r="41" spans="2:8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H43"/>
  <sheetViews>
    <sheetView workbookViewId="0"/>
  </sheetViews>
  <sheetFormatPr defaultRowHeight="12.75"/>
  <cols>
    <col min="2" max="2" width="3.140625" customWidth="1"/>
    <col min="3" max="3" width="26.28515625" bestFit="1" customWidth="1"/>
    <col min="4" max="4" width="18.140625" customWidth="1"/>
    <col min="5" max="5" width="3.140625" customWidth="1"/>
    <col min="6" max="6" width="18.28515625" bestFit="1" customWidth="1"/>
    <col min="7" max="7" width="3.140625" customWidth="1"/>
    <col min="8" max="8" width="17.85546875" customWidth="1"/>
  </cols>
  <sheetData>
    <row r="1" spans="2:8" ht="17.25" customHeight="1">
      <c r="C1" s="1" t="s">
        <v>436</v>
      </c>
    </row>
    <row r="2" spans="2:8" ht="15.75" customHeight="1">
      <c r="C2" s="3" t="s">
        <v>13</v>
      </c>
    </row>
    <row r="3" spans="2:8" ht="15.75" customHeight="1"/>
    <row r="4" spans="2:8" ht="15.75" customHeight="1">
      <c r="C4" s="2" t="s">
        <v>1</v>
      </c>
    </row>
    <row r="5" spans="2:8" ht="15.75" customHeight="1" thickBot="1">
      <c r="G5" s="44"/>
    </row>
    <row r="6" spans="2:8" ht="15.75" customHeight="1">
      <c r="B6" s="5"/>
      <c r="C6" s="6"/>
      <c r="D6" s="6"/>
      <c r="E6" s="7"/>
      <c r="F6" s="14"/>
      <c r="G6" s="14"/>
    </row>
    <row r="7" spans="2:8" ht="15.75" customHeight="1">
      <c r="B7" s="8"/>
      <c r="C7" s="13" t="s">
        <v>17</v>
      </c>
      <c r="D7" s="128">
        <f ca="1">'#4'!D7</f>
        <v>1400000</v>
      </c>
      <c r="E7" s="9"/>
      <c r="F7" s="14"/>
      <c r="G7" s="14"/>
    </row>
    <row r="8" spans="2:8" ht="15.75" customHeight="1">
      <c r="B8" s="8"/>
      <c r="C8" s="13" t="s">
        <v>18</v>
      </c>
      <c r="D8" s="128">
        <f ca="1">'#4'!D8</f>
        <v>1120000</v>
      </c>
      <c r="E8" s="9"/>
      <c r="F8" s="14"/>
      <c r="G8" s="14"/>
    </row>
    <row r="9" spans="2:8" ht="15.75" customHeight="1">
      <c r="B9" s="8"/>
      <c r="C9" s="13" t="s">
        <v>14</v>
      </c>
      <c r="D9" s="128">
        <f ca="1">'#4'!D9</f>
        <v>480000</v>
      </c>
      <c r="E9" s="9"/>
      <c r="F9" s="14"/>
      <c r="G9" s="14"/>
    </row>
    <row r="10" spans="2:8" ht="15.75" customHeight="1">
      <c r="B10" s="8"/>
      <c r="C10" s="13" t="s">
        <v>6</v>
      </c>
      <c r="D10" s="129">
        <f ca="1">'#4'!D10</f>
        <v>0.35</v>
      </c>
      <c r="E10" s="9"/>
      <c r="F10" s="45"/>
    </row>
    <row r="11" spans="2:8" ht="15.75" customHeight="1">
      <c r="B11" s="8"/>
      <c r="C11" s="13" t="s">
        <v>20</v>
      </c>
      <c r="D11" s="132">
        <f ca="1">'#4'!D11</f>
        <v>0.12</v>
      </c>
      <c r="E11" s="40"/>
      <c r="F11" s="46"/>
    </row>
    <row r="12" spans="2:8" ht="15.75" customHeight="1">
      <c r="B12" s="8"/>
      <c r="C12" s="13" t="s">
        <v>22</v>
      </c>
      <c r="D12" s="128">
        <f ca="1">'#4'!D15</f>
        <v>285000</v>
      </c>
      <c r="E12" s="40"/>
      <c r="F12" s="46"/>
    </row>
    <row r="13" spans="2:8" ht="15.75" customHeight="1">
      <c r="B13" s="8"/>
      <c r="C13" s="13" t="s">
        <v>23</v>
      </c>
      <c r="D13" s="128">
        <f ca="1">'#4'!D16</f>
        <v>225000</v>
      </c>
      <c r="E13" s="40"/>
      <c r="F13" s="46"/>
      <c r="H13" s="404"/>
    </row>
    <row r="14" spans="2:8" ht="15.75" customHeight="1">
      <c r="B14" s="8"/>
      <c r="C14" s="13" t="s">
        <v>82</v>
      </c>
      <c r="D14" s="94">
        <v>0.33329999999999999</v>
      </c>
      <c r="E14" s="41"/>
      <c r="F14" s="46"/>
      <c r="G14" s="46"/>
    </row>
    <row r="15" spans="2:8" ht="15.75" customHeight="1">
      <c r="B15" s="8"/>
      <c r="C15" s="13"/>
      <c r="D15" s="94">
        <v>0.44450000000000001</v>
      </c>
      <c r="E15" s="41"/>
      <c r="F15" s="46"/>
      <c r="G15" s="46"/>
    </row>
    <row r="16" spans="2:8" ht="15.75" customHeight="1">
      <c r="B16" s="8"/>
      <c r="C16" s="13"/>
      <c r="D16" s="94">
        <v>0.14810000000000001</v>
      </c>
      <c r="E16" s="41"/>
      <c r="F16" s="46"/>
      <c r="G16" s="46"/>
    </row>
    <row r="17" spans="2:8" ht="15.75" customHeight="1" thickBot="1">
      <c r="B17" s="10"/>
      <c r="C17" s="11"/>
      <c r="D17" s="11"/>
      <c r="E17" s="12"/>
      <c r="F17" s="47"/>
      <c r="G17" s="14"/>
    </row>
    <row r="18" spans="2:8" ht="15.75" customHeight="1"/>
    <row r="19" spans="2:8" ht="15.75" customHeight="1">
      <c r="C19" s="2" t="s">
        <v>2</v>
      </c>
    </row>
    <row r="20" spans="2:8" ht="15.75" customHeight="1" thickBot="1">
      <c r="F20" s="44"/>
    </row>
    <row r="21" spans="2:8" ht="15.75" customHeight="1">
      <c r="B21" s="15"/>
      <c r="C21" s="16"/>
      <c r="D21" s="16"/>
      <c r="E21" s="16"/>
      <c r="F21" s="16"/>
      <c r="G21" s="17"/>
      <c r="H21" s="30"/>
    </row>
    <row r="22" spans="2:8" ht="15.75" customHeight="1">
      <c r="B22" s="18"/>
      <c r="C22" s="157" t="s">
        <v>24</v>
      </c>
      <c r="D22" s="32" t="s">
        <v>5</v>
      </c>
      <c r="E22" s="20"/>
      <c r="F22" s="19" t="s">
        <v>25</v>
      </c>
      <c r="G22" s="22"/>
      <c r="H22" s="30"/>
    </row>
    <row r="23" spans="2:8" ht="15.75" customHeight="1">
      <c r="B23" s="18"/>
      <c r="C23" s="77">
        <v>0</v>
      </c>
      <c r="D23" s="87"/>
      <c r="E23" s="95"/>
      <c r="F23" s="131">
        <f>(-D7-D12)</f>
        <v>-1685000</v>
      </c>
      <c r="G23" s="22"/>
      <c r="H23" s="30"/>
    </row>
    <row r="24" spans="2:8" ht="15.75" customHeight="1">
      <c r="B24" s="18"/>
      <c r="C24" s="235">
        <v>1</v>
      </c>
      <c r="D24" s="87">
        <f>D7*D14</f>
        <v>466620</v>
      </c>
      <c r="E24" s="95"/>
      <c r="F24" s="131">
        <f>(D8-D9)*(1-D10)+D10*(D24)</f>
        <v>579317</v>
      </c>
      <c r="G24" s="22"/>
      <c r="H24" s="30"/>
    </row>
    <row r="25" spans="2:8" ht="15.75" customHeight="1">
      <c r="B25" s="18"/>
      <c r="C25" s="235">
        <v>2</v>
      </c>
      <c r="D25" s="87">
        <f>D7*D15</f>
        <v>622300</v>
      </c>
      <c r="E25" s="95"/>
      <c r="F25" s="131">
        <f>(D8-D9)*(1-D10)+D10*D25</f>
        <v>633805</v>
      </c>
      <c r="G25" s="22"/>
      <c r="H25" s="30"/>
    </row>
    <row r="26" spans="2:8" ht="15.75" customHeight="1">
      <c r="B26" s="18"/>
      <c r="C26" s="235">
        <v>3</v>
      </c>
      <c r="D26" s="87">
        <f>D7*D16</f>
        <v>207340</v>
      </c>
      <c r="E26" s="95"/>
      <c r="F26" s="131">
        <f>(D8-D9)*(1-D10)+D10*D26+(F30+D12)</f>
        <v>956128</v>
      </c>
      <c r="G26" s="22"/>
      <c r="H26" s="30"/>
    </row>
    <row r="27" spans="2:8" ht="15.75" customHeight="1">
      <c r="B27" s="18"/>
      <c r="C27" s="52"/>
      <c r="D27" s="33"/>
      <c r="E27" s="20"/>
      <c r="F27" s="19"/>
      <c r="G27" s="22"/>
      <c r="H27" s="30"/>
    </row>
    <row r="28" spans="2:8" ht="15.75" customHeight="1">
      <c r="B28" s="18"/>
      <c r="C28" s="52" t="s">
        <v>27</v>
      </c>
      <c r="D28" s="56"/>
      <c r="E28" s="20"/>
      <c r="F28" s="80">
        <f>D7-SUM(D24:D26)</f>
        <v>103740</v>
      </c>
      <c r="G28" s="22"/>
      <c r="H28" s="30"/>
    </row>
    <row r="29" spans="2:8" ht="15.75" customHeight="1">
      <c r="B29" s="18"/>
      <c r="C29" s="52"/>
      <c r="D29" s="33"/>
      <c r="E29" s="20"/>
      <c r="F29" s="19"/>
      <c r="G29" s="22"/>
      <c r="H29" s="30"/>
    </row>
    <row r="30" spans="2:8" ht="15.75" customHeight="1">
      <c r="B30" s="18"/>
      <c r="C30" s="52" t="s">
        <v>28</v>
      </c>
      <c r="D30" s="56"/>
      <c r="E30" s="20"/>
      <c r="F30" s="80">
        <f>F28+(D13-F28)*(1-D10)</f>
        <v>182559</v>
      </c>
      <c r="G30" s="22"/>
      <c r="H30" s="30"/>
    </row>
    <row r="31" spans="2:8" ht="15.75" customHeight="1">
      <c r="B31" s="18"/>
      <c r="C31" s="52"/>
      <c r="D31" s="33"/>
      <c r="E31" s="20"/>
      <c r="F31" s="19"/>
      <c r="G31" s="22"/>
      <c r="H31" s="30"/>
    </row>
    <row r="32" spans="2:8" ht="15.75" customHeight="1">
      <c r="B32" s="18"/>
      <c r="C32" s="52" t="s">
        <v>21</v>
      </c>
      <c r="D32" s="33"/>
      <c r="E32" s="20"/>
      <c r="F32" s="76">
        <f>F23+(F24/(1+D11))+(F25/(POWER(1+D11,2)))+(F26/POWER(1+D11,3))</f>
        <v>18065.811771136709</v>
      </c>
      <c r="G32" s="22"/>
      <c r="H32" s="30"/>
    </row>
    <row r="33" spans="2:8" ht="15.75" customHeight="1" thickBot="1">
      <c r="B33" s="23"/>
      <c r="C33" s="39"/>
      <c r="D33" s="50"/>
      <c r="E33" s="53"/>
      <c r="F33" s="55"/>
      <c r="G33" s="43"/>
      <c r="H33" s="31"/>
    </row>
    <row r="34" spans="2:8" ht="15.75" customHeight="1">
      <c r="B34" s="30"/>
      <c r="C34" s="35"/>
      <c r="D34" s="48"/>
      <c r="E34" s="30"/>
      <c r="F34" s="35"/>
      <c r="G34" s="35"/>
      <c r="H34" s="30"/>
    </row>
    <row r="35" spans="2:8" ht="15.75" customHeight="1">
      <c r="B35" s="30"/>
      <c r="C35" s="35"/>
      <c r="D35" s="49"/>
      <c r="E35" s="30"/>
      <c r="F35" s="35"/>
      <c r="G35" s="35"/>
      <c r="H35" s="30"/>
    </row>
    <row r="36" spans="2:8" ht="15.75" customHeight="1">
      <c r="B36" s="30"/>
      <c r="C36" s="36"/>
      <c r="D36" s="37"/>
      <c r="E36" s="38"/>
      <c r="F36" s="35"/>
      <c r="G36" s="35"/>
      <c r="H36" s="30"/>
    </row>
    <row r="37" spans="2:8" ht="15.75" customHeight="1">
      <c r="B37" s="30"/>
      <c r="C37" s="36"/>
      <c r="D37" s="37"/>
      <c r="E37" s="38"/>
      <c r="F37" s="35"/>
      <c r="G37" s="35"/>
      <c r="H37" s="30"/>
    </row>
    <row r="38" spans="2:8" ht="15.75" customHeight="1">
      <c r="B38" s="30"/>
      <c r="C38" s="36"/>
      <c r="D38" s="37"/>
      <c r="E38" s="38"/>
      <c r="F38" s="35"/>
      <c r="G38" s="35"/>
      <c r="H38" s="30"/>
    </row>
    <row r="39" spans="2:8" ht="15.75" customHeight="1">
      <c r="B39" s="30"/>
      <c r="C39" s="36"/>
      <c r="D39" s="37"/>
      <c r="E39" s="38"/>
      <c r="F39" s="35"/>
      <c r="G39" s="35"/>
      <c r="H39" s="30"/>
    </row>
    <row r="40" spans="2:8" ht="15.75" customHeight="1">
      <c r="B40" s="30"/>
      <c r="C40" s="30"/>
      <c r="D40" s="30"/>
      <c r="E40" s="30"/>
      <c r="F40" s="30"/>
      <c r="G40" s="30"/>
      <c r="H40" s="30"/>
    </row>
    <row r="41" spans="2:8">
      <c r="B41" s="14"/>
      <c r="C41" s="14"/>
      <c r="D41" s="14"/>
      <c r="E41" s="14"/>
      <c r="F41" s="14"/>
      <c r="G41" s="14"/>
      <c r="H41" s="14"/>
    </row>
    <row r="43" spans="2:8">
      <c r="D43" s="26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H40"/>
  <sheetViews>
    <sheetView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8" max="8" width="3.140625" customWidth="1"/>
  </cols>
  <sheetData>
    <row r="1" spans="2:7" ht="18" customHeight="1">
      <c r="C1" s="1" t="s">
        <v>436</v>
      </c>
    </row>
    <row r="2" spans="2:7" ht="15.75" customHeight="1">
      <c r="C2" s="3" t="s">
        <v>16</v>
      </c>
    </row>
    <row r="3" spans="2:7" ht="15.75" customHeight="1"/>
    <row r="4" spans="2:7" ht="15.75" customHeight="1">
      <c r="C4" s="2" t="s">
        <v>1</v>
      </c>
    </row>
    <row r="5" spans="2:7" ht="15.75" customHeight="1" thickBot="1"/>
    <row r="6" spans="2:7" ht="15.75" customHeight="1">
      <c r="B6" s="5"/>
      <c r="C6" s="6"/>
      <c r="D6" s="6"/>
      <c r="E6" s="7"/>
    </row>
    <row r="7" spans="2:7" ht="15.75" customHeight="1">
      <c r="B7" s="8"/>
      <c r="C7" s="13" t="s">
        <v>31</v>
      </c>
      <c r="D7" s="85">
        <v>670000</v>
      </c>
      <c r="E7" s="9"/>
      <c r="G7" s="57"/>
    </row>
    <row r="8" spans="2:7" ht="15.75" customHeight="1">
      <c r="B8" s="8"/>
      <c r="C8" s="13" t="s">
        <v>33</v>
      </c>
      <c r="D8" s="85">
        <v>50000</v>
      </c>
      <c r="E8" s="9"/>
    </row>
    <row r="9" spans="2:7" ht="15.75" customHeight="1">
      <c r="B9" s="8"/>
      <c r="C9" s="13" t="s">
        <v>41</v>
      </c>
      <c r="D9" s="85">
        <v>240000</v>
      </c>
      <c r="E9" s="9"/>
    </row>
    <row r="10" spans="2:7" ht="15.75" customHeight="1">
      <c r="B10" s="8"/>
      <c r="C10" s="13" t="s">
        <v>39</v>
      </c>
      <c r="D10" s="85">
        <v>85000</v>
      </c>
      <c r="E10" s="9"/>
    </row>
    <row r="11" spans="2:7" ht="15.75" customHeight="1">
      <c r="B11" s="8"/>
      <c r="C11" s="13" t="s">
        <v>6</v>
      </c>
      <c r="D11" s="84">
        <v>0.35</v>
      </c>
      <c r="E11" s="9"/>
    </row>
    <row r="12" spans="2:7" ht="15.75" customHeight="1">
      <c r="B12" s="8"/>
      <c r="C12" s="13" t="s">
        <v>34</v>
      </c>
      <c r="D12" s="96"/>
      <c r="E12" s="9"/>
    </row>
    <row r="13" spans="2:7" ht="15.75" customHeight="1">
      <c r="B13" s="8"/>
      <c r="C13" s="13" t="s">
        <v>36</v>
      </c>
      <c r="D13" s="96">
        <v>5</v>
      </c>
      <c r="E13" s="9"/>
    </row>
    <row r="14" spans="2:7" ht="15.75" customHeight="1" thickBot="1">
      <c r="B14" s="10"/>
      <c r="C14" s="11"/>
      <c r="D14" s="11"/>
      <c r="E14" s="12"/>
    </row>
    <row r="15" spans="2:7" ht="15.75" customHeight="1"/>
    <row r="16" spans="2:7" ht="15.75" customHeight="1">
      <c r="C16" s="2" t="s">
        <v>2</v>
      </c>
    </row>
    <row r="17" spans="2:8" ht="15.75" customHeight="1" thickBot="1"/>
    <row r="18" spans="2:8" ht="15.75" customHeight="1">
      <c r="B18" s="15"/>
      <c r="C18" s="16"/>
      <c r="D18" s="16"/>
      <c r="E18" s="17"/>
      <c r="F18" s="30"/>
      <c r="G18" s="30"/>
      <c r="H18" s="30"/>
    </row>
    <row r="19" spans="2:8" ht="15.75" customHeight="1">
      <c r="B19" s="18"/>
      <c r="C19" s="19" t="s">
        <v>37</v>
      </c>
      <c r="D19" s="97">
        <f>D7/D13</f>
        <v>134000</v>
      </c>
      <c r="E19" s="21"/>
      <c r="F19" s="30"/>
      <c r="G19" s="30"/>
      <c r="H19" s="30"/>
    </row>
    <row r="20" spans="2:8" ht="15.75" customHeight="1">
      <c r="B20" s="18"/>
      <c r="C20" s="19" t="s">
        <v>28</v>
      </c>
      <c r="D20" s="97">
        <f>D8*(1-D11)</f>
        <v>32500</v>
      </c>
      <c r="E20" s="22"/>
      <c r="F20" s="30"/>
      <c r="G20" s="30"/>
      <c r="H20" s="31"/>
    </row>
    <row r="21" spans="2:8" ht="15.75" customHeight="1">
      <c r="B21" s="18"/>
      <c r="C21" s="19" t="s">
        <v>11</v>
      </c>
      <c r="D21" s="97">
        <f>D9*(1-D11)+D11*(D19)</f>
        <v>202900</v>
      </c>
      <c r="E21" s="21"/>
      <c r="F21" s="30"/>
      <c r="G21" s="30"/>
      <c r="H21" s="30"/>
    </row>
    <row r="22" spans="2:8" ht="15.75" customHeight="1">
      <c r="B22" s="18"/>
      <c r="C22" s="19"/>
      <c r="D22" s="97"/>
      <c r="E22" s="21"/>
      <c r="F22" s="30"/>
      <c r="G22" s="30"/>
      <c r="H22" s="30"/>
    </row>
    <row r="23" spans="2:8" ht="15.75" customHeight="1">
      <c r="B23" s="18"/>
      <c r="C23" s="134" t="s">
        <v>24</v>
      </c>
      <c r="D23" s="135" t="s">
        <v>25</v>
      </c>
      <c r="E23" s="21"/>
      <c r="F23" s="30"/>
      <c r="G23" s="30"/>
      <c r="H23" s="30"/>
    </row>
    <row r="24" spans="2:8" ht="15.75" customHeight="1">
      <c r="B24" s="18"/>
      <c r="C24" s="19">
        <v>0</v>
      </c>
      <c r="D24" s="97">
        <f>-D7+D10</f>
        <v>-585000</v>
      </c>
      <c r="E24" s="21"/>
      <c r="F24" s="30"/>
      <c r="G24" s="30"/>
      <c r="H24" s="30"/>
    </row>
    <row r="25" spans="2:8" ht="15.75" customHeight="1">
      <c r="B25" s="18"/>
      <c r="C25" s="19">
        <v>1</v>
      </c>
      <c r="D25" s="97">
        <f>D21</f>
        <v>202900</v>
      </c>
      <c r="E25" s="21"/>
      <c r="F25" s="30"/>
      <c r="G25" s="30"/>
      <c r="H25" s="30"/>
    </row>
    <row r="26" spans="2:8" ht="15.75" customHeight="1">
      <c r="B26" s="18"/>
      <c r="C26" s="19">
        <v>2</v>
      </c>
      <c r="D26" s="97">
        <f>D21</f>
        <v>202900</v>
      </c>
      <c r="E26" s="21"/>
      <c r="F26" s="30"/>
      <c r="G26" s="30"/>
      <c r="H26" s="30"/>
    </row>
    <row r="27" spans="2:8" ht="15.75" customHeight="1">
      <c r="B27" s="18"/>
      <c r="C27" s="19">
        <v>3</v>
      </c>
      <c r="D27" s="97">
        <f>D21</f>
        <v>202900</v>
      </c>
      <c r="E27" s="21"/>
      <c r="F27" s="30"/>
      <c r="G27" s="30"/>
      <c r="H27" s="30"/>
    </row>
    <row r="28" spans="2:8" ht="15.75" customHeight="1">
      <c r="B28" s="18"/>
      <c r="C28" s="19">
        <v>4</v>
      </c>
      <c r="D28" s="97">
        <f>D21</f>
        <v>202900</v>
      </c>
      <c r="E28" s="21"/>
      <c r="F28" s="30"/>
      <c r="G28" s="30"/>
      <c r="H28" s="30"/>
    </row>
    <row r="29" spans="2:8" ht="15.75" customHeight="1">
      <c r="B29" s="18"/>
      <c r="C29" s="19">
        <v>5</v>
      </c>
      <c r="D29" s="97">
        <f>D21+D20-D10</f>
        <v>150400</v>
      </c>
      <c r="E29" s="21"/>
      <c r="F29" s="30"/>
      <c r="G29" s="30"/>
      <c r="H29" s="30"/>
    </row>
    <row r="30" spans="2:8" ht="15.75" customHeight="1">
      <c r="B30" s="18"/>
      <c r="C30" s="19"/>
      <c r="D30" s="97"/>
      <c r="E30" s="21"/>
      <c r="F30" s="30"/>
      <c r="G30" s="30"/>
      <c r="H30" s="30"/>
    </row>
    <row r="31" spans="2:8" ht="15.75" customHeight="1">
      <c r="B31" s="18"/>
      <c r="C31" s="19" t="s">
        <v>73</v>
      </c>
      <c r="D31" s="136">
        <f>IRR(D24:D29)</f>
        <v>0.20055906615300972</v>
      </c>
      <c r="E31" s="21"/>
      <c r="F31" s="30"/>
      <c r="G31" s="30"/>
      <c r="H31" s="30"/>
    </row>
    <row r="32" spans="2:8" ht="15.75" customHeight="1">
      <c r="B32" s="18"/>
      <c r="C32" s="19"/>
      <c r="D32" s="61"/>
      <c r="E32" s="21"/>
      <c r="F32" s="30"/>
      <c r="G32" s="30"/>
      <c r="H32" s="30"/>
    </row>
    <row r="33" spans="2:8" ht="15.75" customHeight="1" thickBot="1">
      <c r="B33" s="23"/>
      <c r="C33" s="53"/>
      <c r="D33" s="53"/>
      <c r="E33" s="25"/>
      <c r="F33" s="30"/>
      <c r="G33" s="30"/>
      <c r="H33" s="30"/>
    </row>
    <row r="34" spans="2:8" ht="15.75" customHeight="1">
      <c r="B34" s="14"/>
      <c r="C34" s="14"/>
      <c r="D34" s="14"/>
      <c r="E34" s="14"/>
      <c r="F34" s="14"/>
      <c r="G34" s="14"/>
      <c r="H34" s="14"/>
    </row>
    <row r="35" spans="2:8" ht="15.75" customHeight="1"/>
    <row r="36" spans="2:8" ht="15.75" customHeight="1">
      <c r="D36" s="26"/>
    </row>
    <row r="37" spans="2:8" ht="15.75" customHeight="1"/>
    <row r="38" spans="2:8" ht="15.75" customHeight="1"/>
    <row r="39" spans="2:8" ht="15.75" customHeight="1"/>
    <row r="40" spans="2:8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1:I44"/>
  <sheetViews>
    <sheetView workbookViewId="0"/>
  </sheetViews>
  <sheetFormatPr defaultRowHeight="12.75"/>
  <cols>
    <col min="2" max="2" width="3.140625" customWidth="1"/>
    <col min="3" max="3" width="28.42578125" bestFit="1" customWidth="1"/>
    <col min="4" max="4" width="18.140625" customWidth="1"/>
    <col min="5" max="5" width="3.140625" customWidth="1"/>
    <col min="8" max="8" width="3.140625" customWidth="1"/>
  </cols>
  <sheetData>
    <row r="1" spans="2:9" ht="18.75" customHeight="1">
      <c r="C1" s="1" t="s">
        <v>436</v>
      </c>
    </row>
    <row r="2" spans="2:9" ht="15.75" customHeight="1">
      <c r="C2" s="3" t="s">
        <v>196</v>
      </c>
    </row>
    <row r="3" spans="2:9" ht="15.75" customHeight="1"/>
    <row r="4" spans="2:9" ht="15.75" customHeight="1">
      <c r="C4" s="2" t="s">
        <v>1</v>
      </c>
    </row>
    <row r="5" spans="2:9" ht="15.75" customHeight="1" thickBot="1"/>
    <row r="6" spans="2:9" ht="15.75" customHeight="1">
      <c r="B6" s="5"/>
      <c r="C6" s="6"/>
      <c r="D6" s="6"/>
      <c r="E6" s="7"/>
    </row>
    <row r="7" spans="2:9" ht="15.75" customHeight="1">
      <c r="B7" s="8"/>
      <c r="C7" s="13" t="s">
        <v>83</v>
      </c>
      <c r="D7" s="85">
        <v>375000</v>
      </c>
      <c r="E7" s="9"/>
    </row>
    <row r="8" spans="2:9" ht="15.75" customHeight="1">
      <c r="B8" s="8"/>
      <c r="C8" s="13" t="s">
        <v>33</v>
      </c>
      <c r="D8" s="85">
        <v>40000</v>
      </c>
      <c r="E8" s="9"/>
    </row>
    <row r="9" spans="2:9" ht="15.75" customHeight="1">
      <c r="B9" s="8"/>
      <c r="C9" s="13" t="s">
        <v>30</v>
      </c>
      <c r="D9" s="85">
        <v>105000</v>
      </c>
      <c r="E9" s="9"/>
    </row>
    <row r="10" spans="2:9" ht="15.75" customHeight="1">
      <c r="B10" s="8"/>
      <c r="C10" s="13" t="s">
        <v>72</v>
      </c>
      <c r="D10" s="85">
        <v>28000</v>
      </c>
      <c r="E10" s="9"/>
      <c r="G10" s="57"/>
    </row>
    <row r="11" spans="2:9" ht="15.75" customHeight="1">
      <c r="B11" s="8"/>
      <c r="C11" s="13" t="s">
        <v>6</v>
      </c>
      <c r="D11" s="84">
        <v>0.34</v>
      </c>
      <c r="E11" s="9"/>
    </row>
    <row r="12" spans="2:9" ht="15.75" customHeight="1">
      <c r="B12" s="8"/>
      <c r="C12" s="13" t="s">
        <v>32</v>
      </c>
      <c r="D12" s="84">
        <v>0.1</v>
      </c>
      <c r="E12" s="9"/>
      <c r="I12" s="58"/>
    </row>
    <row r="13" spans="2:9" ht="15.75" customHeight="1">
      <c r="B13" s="8"/>
      <c r="C13" s="13" t="s">
        <v>34</v>
      </c>
      <c r="D13" s="96"/>
      <c r="E13" s="9"/>
    </row>
    <row r="14" spans="2:9" ht="15.75" customHeight="1">
      <c r="B14" s="8"/>
      <c r="C14" s="13" t="s">
        <v>36</v>
      </c>
      <c r="D14" s="96">
        <v>5</v>
      </c>
      <c r="E14" s="9"/>
    </row>
    <row r="15" spans="2:9" ht="15.75" customHeight="1">
      <c r="B15" s="8"/>
      <c r="C15" s="13"/>
      <c r="D15" s="29"/>
      <c r="E15" s="9"/>
    </row>
    <row r="16" spans="2:9" ht="15.75" customHeight="1" thickBot="1">
      <c r="B16" s="10"/>
      <c r="C16" s="11"/>
      <c r="D16" s="11"/>
      <c r="E16" s="12"/>
    </row>
    <row r="17" spans="2:8" ht="15.75" customHeight="1"/>
    <row r="18" spans="2:8" ht="15.75" customHeight="1">
      <c r="C18" s="2" t="s">
        <v>2</v>
      </c>
    </row>
    <row r="19" spans="2:8" ht="15.75" customHeight="1" thickBot="1"/>
    <row r="20" spans="2:8" ht="15.75" customHeight="1">
      <c r="B20" s="15"/>
      <c r="C20" s="16"/>
      <c r="D20" s="16"/>
      <c r="E20" s="17"/>
      <c r="F20" s="30"/>
      <c r="G20" s="30"/>
      <c r="H20" s="30"/>
    </row>
    <row r="21" spans="2:8" ht="15.75" customHeight="1">
      <c r="B21" s="18"/>
      <c r="C21" s="19" t="s">
        <v>37</v>
      </c>
      <c r="D21" s="80">
        <f>D7/D14</f>
        <v>75000</v>
      </c>
      <c r="E21" s="21"/>
      <c r="F21" s="30"/>
      <c r="G21" s="30"/>
      <c r="H21" s="30"/>
    </row>
    <row r="22" spans="2:8" ht="15.75" customHeight="1">
      <c r="B22" s="18"/>
      <c r="C22" s="19" t="s">
        <v>28</v>
      </c>
      <c r="D22" s="80">
        <f>D8*(1-D11)</f>
        <v>26399.999999999996</v>
      </c>
      <c r="E22" s="22"/>
      <c r="F22" s="30"/>
      <c r="G22" s="30"/>
      <c r="H22" s="31"/>
    </row>
    <row r="23" spans="2:8" ht="15.75" customHeight="1">
      <c r="B23" s="18"/>
      <c r="C23" s="19" t="s">
        <v>11</v>
      </c>
      <c r="D23" s="80">
        <f>D9*(1-D11)+D11*D21</f>
        <v>94799.999999999985</v>
      </c>
      <c r="E23" s="21"/>
      <c r="F23" s="30"/>
      <c r="G23" s="30"/>
      <c r="H23" s="30"/>
    </row>
    <row r="24" spans="2:8" ht="15.75" customHeight="1">
      <c r="B24" s="18"/>
      <c r="C24" s="19"/>
      <c r="D24" s="79"/>
      <c r="E24" s="21"/>
      <c r="F24" s="30"/>
      <c r="G24" s="30"/>
      <c r="H24" s="30"/>
    </row>
    <row r="25" spans="2:8" ht="15.75" customHeight="1">
      <c r="B25" s="18"/>
      <c r="C25" s="19" t="s">
        <v>21</v>
      </c>
      <c r="D25" s="172">
        <f>((-D7)-D10)+PV(D12,D14,-D23,0,0)+((D22+D10)/(POWER(1+D12,D14)))</f>
        <v>-9855.2942856609516</v>
      </c>
      <c r="E25" s="21"/>
      <c r="F25" s="30"/>
      <c r="G25" s="30"/>
      <c r="H25" s="30"/>
    </row>
    <row r="26" spans="2:8" ht="15.75" customHeight="1" thickBot="1">
      <c r="B26" s="23"/>
      <c r="C26" s="53"/>
      <c r="D26" s="53"/>
      <c r="E26" s="25"/>
      <c r="F26" s="30"/>
      <c r="G26" s="30"/>
      <c r="H26" s="30"/>
    </row>
    <row r="27" spans="2:8" ht="15.75" customHeight="1">
      <c r="B27" s="14"/>
      <c r="C27" s="14"/>
      <c r="D27" s="14"/>
      <c r="E27" s="14"/>
      <c r="F27" s="14"/>
      <c r="G27" s="14"/>
      <c r="H27" s="14"/>
    </row>
    <row r="28" spans="2:8" ht="15.75" customHeight="1"/>
    <row r="29" spans="2:8" ht="15.75" customHeight="1">
      <c r="D29" s="26"/>
    </row>
    <row r="30" spans="2:8" ht="15.75" customHeight="1"/>
    <row r="31" spans="2:8" ht="15.75" customHeight="1"/>
    <row r="32" spans="2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1:H45"/>
  <sheetViews>
    <sheetView workbookViewId="0"/>
  </sheetViews>
  <sheetFormatPr defaultRowHeight="12.75"/>
  <cols>
    <col min="2" max="2" width="3.140625" customWidth="1"/>
    <col min="3" max="3" width="26.28515625" bestFit="1" customWidth="1"/>
    <col min="4" max="4" width="18.140625" customWidth="1"/>
    <col min="5" max="5" width="3.140625" customWidth="1"/>
    <col min="6" max="6" width="17.85546875" bestFit="1" customWidth="1"/>
    <col min="7" max="7" width="19.85546875" bestFit="1" customWidth="1"/>
    <col min="8" max="8" width="3.140625" customWidth="1"/>
  </cols>
  <sheetData>
    <row r="1" spans="2:5" ht="19.5" customHeight="1">
      <c r="C1" s="1" t="s">
        <v>436</v>
      </c>
    </row>
    <row r="2" spans="2:5" ht="15.75" customHeight="1">
      <c r="C2" s="3" t="s">
        <v>191</v>
      </c>
    </row>
    <row r="3" spans="2:5" ht="15.75" customHeight="1"/>
    <row r="4" spans="2:5" ht="15.75" customHeight="1">
      <c r="C4" s="2" t="s">
        <v>1</v>
      </c>
    </row>
    <row r="5" spans="2:5" ht="15.75" customHeight="1" thickBot="1"/>
    <row r="6" spans="2:5" ht="15.75" customHeight="1">
      <c r="B6" s="5"/>
      <c r="C6" s="6"/>
      <c r="D6" s="6"/>
      <c r="E6" s="7"/>
    </row>
    <row r="7" spans="2:5" ht="15.75" customHeight="1">
      <c r="B7" s="8"/>
      <c r="C7" s="13" t="s">
        <v>192</v>
      </c>
      <c r="D7" s="85">
        <v>7100000</v>
      </c>
      <c r="E7" s="9"/>
    </row>
    <row r="8" spans="2:5" ht="15.75" customHeight="1">
      <c r="B8" s="8"/>
      <c r="C8" s="13" t="s">
        <v>33</v>
      </c>
      <c r="D8" s="85">
        <v>1400000</v>
      </c>
      <c r="E8" s="9"/>
    </row>
    <row r="9" spans="2:5" ht="15.75" customHeight="1">
      <c r="B9" s="8"/>
      <c r="C9" s="13" t="s">
        <v>6</v>
      </c>
      <c r="D9" s="84">
        <v>0.35</v>
      </c>
      <c r="E9" s="9"/>
    </row>
    <row r="10" spans="2:5" ht="15.75" customHeight="1">
      <c r="B10" s="8"/>
      <c r="C10" s="13" t="s">
        <v>193</v>
      </c>
      <c r="D10" s="236">
        <v>0.2</v>
      </c>
      <c r="E10" s="9"/>
    </row>
    <row r="11" spans="2:5" ht="15.75" customHeight="1">
      <c r="B11" s="8"/>
      <c r="C11" s="13"/>
      <c r="D11" s="236">
        <v>0.32</v>
      </c>
      <c r="E11" s="9"/>
    </row>
    <row r="12" spans="2:5" ht="15.75" customHeight="1">
      <c r="B12" s="8"/>
      <c r="C12" s="13"/>
      <c r="D12" s="236">
        <v>0.192</v>
      </c>
      <c r="E12" s="9"/>
    </row>
    <row r="13" spans="2:5" ht="15.75" customHeight="1">
      <c r="B13" s="8"/>
      <c r="C13" s="13"/>
      <c r="D13" s="236">
        <v>0.1152</v>
      </c>
      <c r="E13" s="9"/>
    </row>
    <row r="14" spans="2:5" ht="15.75" customHeight="1" thickBot="1">
      <c r="B14" s="10"/>
      <c r="C14" s="11"/>
      <c r="D14" s="11"/>
      <c r="E14" s="12"/>
    </row>
    <row r="15" spans="2:5" ht="15.75" customHeight="1"/>
    <row r="16" spans="2:5" ht="15.75" customHeight="1">
      <c r="C16" s="2" t="s">
        <v>2</v>
      </c>
    </row>
    <row r="17" spans="2:8" ht="15.75" customHeight="1" thickBot="1"/>
    <row r="18" spans="2:8" ht="15.75" customHeight="1">
      <c r="B18" s="15"/>
      <c r="C18" s="16"/>
      <c r="D18" s="16"/>
      <c r="E18" s="17"/>
      <c r="F18" s="30"/>
      <c r="G18" s="30"/>
      <c r="H18" s="30"/>
    </row>
    <row r="19" spans="2:8" ht="15.75" customHeight="1">
      <c r="B19" s="18"/>
      <c r="C19" s="19" t="s">
        <v>194</v>
      </c>
      <c r="D19" s="80">
        <f>D7-(D10+D11+D12+D13)*D7</f>
        <v>1226880</v>
      </c>
      <c r="E19" s="21"/>
      <c r="F19" s="31"/>
      <c r="G19" s="31"/>
      <c r="H19" s="30"/>
    </row>
    <row r="20" spans="2:8" ht="15.75" customHeight="1">
      <c r="B20" s="18"/>
      <c r="C20" s="34"/>
      <c r="D20" s="237"/>
      <c r="E20" s="21"/>
      <c r="F20" s="35"/>
      <c r="G20" s="35"/>
      <c r="H20" s="30"/>
    </row>
    <row r="21" spans="2:8" ht="15.75" customHeight="1">
      <c r="B21" s="18"/>
      <c r="C21" s="34" t="s">
        <v>195</v>
      </c>
      <c r="D21" s="82">
        <f>D8+(-D8+D19)*D9</f>
        <v>1339408</v>
      </c>
      <c r="E21" s="21"/>
      <c r="F21" s="35"/>
      <c r="G21" s="35"/>
      <c r="H21" s="30"/>
    </row>
    <row r="22" spans="2:8" ht="15.75" customHeight="1" thickBot="1">
      <c r="B22" s="23"/>
      <c r="C22" s="39"/>
      <c r="D22" s="238"/>
      <c r="E22" s="239"/>
      <c r="F22" s="35"/>
      <c r="G22" s="35"/>
      <c r="H22" s="30"/>
    </row>
    <row r="23" spans="2:8" ht="15.75" customHeight="1">
      <c r="B23" s="30"/>
      <c r="C23" s="36"/>
      <c r="D23" s="37"/>
      <c r="E23" s="38"/>
      <c r="F23" s="35"/>
      <c r="G23" s="35"/>
      <c r="H23" s="30"/>
    </row>
    <row r="24" spans="2:8" ht="15.75" customHeight="1">
      <c r="B24" s="30"/>
      <c r="C24" s="36"/>
      <c r="D24" s="37"/>
      <c r="E24" s="38"/>
      <c r="F24" s="35"/>
      <c r="G24" s="35"/>
      <c r="H24" s="30"/>
    </row>
    <row r="25" spans="2:8" ht="15.75" customHeight="1">
      <c r="B25" s="30"/>
      <c r="C25" s="36"/>
      <c r="D25" s="37"/>
      <c r="E25" s="38"/>
      <c r="F25" s="35"/>
      <c r="G25" s="35"/>
      <c r="H25" s="30"/>
    </row>
    <row r="26" spans="2:8" ht="15.75" customHeight="1">
      <c r="B26" s="30"/>
      <c r="C26" s="30"/>
      <c r="D26" s="30"/>
      <c r="E26" s="30"/>
      <c r="F26" s="30"/>
      <c r="G26" s="30"/>
      <c r="H26" s="30"/>
    </row>
    <row r="27" spans="2:8" ht="15.75" customHeight="1">
      <c r="B27" s="14"/>
      <c r="C27" s="14"/>
      <c r="D27" s="14"/>
      <c r="E27" s="14"/>
      <c r="F27" s="14"/>
      <c r="G27" s="14"/>
      <c r="H27" s="14"/>
    </row>
    <row r="28" spans="2:8" ht="15.75" customHeight="1"/>
    <row r="29" spans="2:8" ht="15.75" customHeight="1">
      <c r="D29" s="26"/>
    </row>
    <row r="30" spans="2:8" ht="15.75" customHeight="1"/>
    <row r="31" spans="2:8" ht="15.75" customHeight="1"/>
    <row r="32" spans="2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Chapter 6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  <vt:lpstr>#29</vt:lpstr>
      <vt:lpstr>#30</vt:lpstr>
      <vt:lpstr>#31</vt:lpstr>
      <vt:lpstr>#32</vt:lpstr>
      <vt:lpstr>#33</vt:lpstr>
      <vt:lpstr>#34</vt:lpstr>
      <vt:lpstr>#35</vt:lpstr>
      <vt:lpstr>#36</vt:lpstr>
      <vt:lpstr>#37</vt:lpstr>
      <vt:lpstr>#38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2011-05-26T20:21:41Z</cp:lastPrinted>
  <dcterms:created xsi:type="dcterms:W3CDTF">2002-05-08T06:11:51Z</dcterms:created>
  <dcterms:modified xsi:type="dcterms:W3CDTF">2012-11-06T10:01:20Z</dcterms:modified>
</cp:coreProperties>
</file>