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295" windowHeight="7260"/>
  </bookViews>
  <sheets>
    <sheet name="Chapter 27" sheetId="16" r:id="rId1"/>
    <sheet name="#1" sheetId="1" r:id="rId2"/>
    <sheet name="#2" sheetId="17" r:id="rId3"/>
    <sheet name="#3" sheetId="5" r:id="rId4"/>
    <sheet name="#4" sheetId="6" r:id="rId5"/>
    <sheet name="#5" sheetId="7" r:id="rId6"/>
    <sheet name="#6" sheetId="8" r:id="rId7"/>
    <sheet name="#7" sheetId="9" r:id="rId8"/>
    <sheet name="#8" sheetId="10" r:id="rId9"/>
    <sheet name="#9" sheetId="11" r:id="rId10"/>
    <sheet name="#10" sheetId="12" r:id="rId11"/>
    <sheet name="#11" sheetId="13" r:id="rId12"/>
    <sheet name="#12" sheetId="14" r:id="rId13"/>
    <sheet name="App #1" sheetId="18" r:id="rId14"/>
    <sheet name="App #2" sheetId="19" r:id="rId15"/>
    <sheet name="App #3" sheetId="20" r:id="rId16"/>
    <sheet name="App #4" sheetId="28" r:id="rId17"/>
    <sheet name="App #5" sheetId="29" r:id="rId18"/>
    <sheet name="App #6" sheetId="23" r:id="rId19"/>
    <sheet name="App #7" sheetId="32" r:id="rId20"/>
    <sheet name="App #8" sheetId="31" r:id="rId21"/>
    <sheet name="App #9" sheetId="30" r:id="rId22"/>
    <sheet name="App #10" sheetId="27" r:id="rId23"/>
  </sheets>
  <calcPr calcId="145621"/>
</workbook>
</file>

<file path=xl/calcChain.xml><?xml version="1.0" encoding="utf-8"?>
<calcChain xmlns="http://schemas.openxmlformats.org/spreadsheetml/2006/main">
  <c r="D26" i="8"/>
  <c r="D11" i="12"/>
  <c r="D20" i="10"/>
  <c r="D24"/>
  <c r="D23"/>
  <c r="D20" i="6"/>
  <c r="D16" i="29"/>
  <c r="D17"/>
  <c r="C24"/>
  <c r="F20" i="23"/>
  <c r="C19"/>
  <c r="H16"/>
  <c r="D16" i="32"/>
  <c r="D18"/>
  <c r="C22"/>
  <c r="D16" i="30"/>
  <c r="D18"/>
  <c r="D19"/>
  <c r="D15" i="27"/>
  <c r="D18" i="29"/>
  <c r="D21"/>
  <c r="C20"/>
  <c r="D23" i="28"/>
  <c r="D17"/>
  <c r="D16"/>
  <c r="D21"/>
  <c r="D20"/>
  <c r="D19" i="20"/>
  <c r="D21"/>
  <c r="D23"/>
  <c r="D16"/>
  <c r="D17"/>
  <c r="D18"/>
  <c r="D15" i="19"/>
  <c r="C20"/>
  <c r="C18"/>
  <c r="D19" i="14"/>
  <c r="D20"/>
  <c r="D20" i="13"/>
  <c r="D19"/>
  <c r="D21"/>
  <c r="D19" i="12"/>
  <c r="C20"/>
  <c r="D16" i="11"/>
  <c r="D22" i="8"/>
  <c r="D23"/>
  <c r="D31"/>
  <c r="D33"/>
  <c r="D34"/>
  <c r="D24" i="7"/>
  <c r="D17"/>
  <c r="D18"/>
  <c r="D19"/>
  <c r="D16" i="5"/>
  <c r="C19"/>
  <c r="D17" i="17"/>
  <c r="D18"/>
  <c r="D21"/>
  <c r="D22"/>
  <c r="D16" i="1"/>
  <c r="D22" i="12"/>
  <c r="D19" i="6"/>
  <c r="D17"/>
  <c r="D18"/>
  <c r="D36" i="8"/>
  <c r="D27"/>
  <c r="D28"/>
  <c r="D22" i="9"/>
  <c r="D17"/>
  <c r="D21"/>
  <c r="D18" i="10"/>
  <c r="D21"/>
  <c r="C31" i="32"/>
  <c r="C23"/>
  <c r="D19"/>
  <c r="C28"/>
  <c r="D26" i="10"/>
  <c r="D29"/>
  <c r="D23" i="17"/>
  <c r="D19"/>
  <c r="D19" i="28"/>
  <c r="C19" i="29"/>
  <c r="D24" i="13"/>
  <c r="C25"/>
  <c r="C22"/>
  <c r="D19" i="9"/>
  <c r="D23" i="7"/>
  <c r="D25"/>
  <c r="D20"/>
  <c r="C21"/>
  <c r="D22" i="5"/>
</calcChain>
</file>

<file path=xl/sharedStrings.xml><?xml version="1.0" encoding="utf-8"?>
<sst xmlns="http://schemas.openxmlformats.org/spreadsheetml/2006/main" count="352" uniqueCount="205">
  <si>
    <t>Question 1</t>
  </si>
  <si>
    <t>Input Area:</t>
  </si>
  <si>
    <t>Output:</t>
  </si>
  <si>
    <t>Checks received</t>
  </si>
  <si>
    <t>Value of checks</t>
  </si>
  <si>
    <t>Average daily float</t>
  </si>
  <si>
    <t>Days per month</t>
  </si>
  <si>
    <t>Question 2</t>
  </si>
  <si>
    <t>Clearing time</t>
  </si>
  <si>
    <t>Received payment</t>
  </si>
  <si>
    <t>Disbursement float</t>
  </si>
  <si>
    <t>Collection float</t>
  </si>
  <si>
    <t>Net float</t>
  </si>
  <si>
    <t>Question 3</t>
  </si>
  <si>
    <t>Value of checks per day</t>
  </si>
  <si>
    <t>Interest rate</t>
  </si>
  <si>
    <t>Maximum daily charge</t>
  </si>
  <si>
    <t>Question 4</t>
  </si>
  <si>
    <t>Check #1 value</t>
  </si>
  <si>
    <t>Check #2 value</t>
  </si>
  <si>
    <t>Clearing time #1</t>
  </si>
  <si>
    <t>Clearing time #2</t>
  </si>
  <si>
    <t>Total float</t>
  </si>
  <si>
    <t>Average daily receipts</t>
  </si>
  <si>
    <t>Weighted average delay</t>
  </si>
  <si>
    <t># of days per month</t>
  </si>
  <si>
    <t>Question 5</t>
  </si>
  <si>
    <t>Average receipt</t>
  </si>
  <si>
    <t>Decreased collection time</t>
  </si>
  <si>
    <t># Checks per day</t>
  </si>
  <si>
    <t>Bank fee per day</t>
  </si>
  <si>
    <t>Average daily collections</t>
  </si>
  <si>
    <t>PV</t>
  </si>
  <si>
    <t>Cost</t>
  </si>
  <si>
    <t>NPV</t>
  </si>
  <si>
    <t>Annual savings</t>
  </si>
  <si>
    <t>Annual cost</t>
  </si>
  <si>
    <t>Annual net savings</t>
  </si>
  <si>
    <t># of days per year</t>
  </si>
  <si>
    <t>Weighted average float</t>
  </si>
  <si>
    <t>Value of check #1</t>
  </si>
  <si>
    <t>% of check #1</t>
  </si>
  <si>
    <t>Value of check #2</t>
  </si>
  <si>
    <t>% of check #2</t>
  </si>
  <si>
    <t>Average delay check #1</t>
  </si>
  <si>
    <t>Average delay check #2</t>
  </si>
  <si>
    <t>Total collections</t>
  </si>
  <si>
    <t>Daily cost of float</t>
  </si>
  <si>
    <t>Question 6</t>
  </si>
  <si>
    <t>Question 7</t>
  </si>
  <si>
    <t>Average # of payments per day</t>
  </si>
  <si>
    <t>Average value of payment</t>
  </si>
  <si>
    <t>Variable lockbox fee</t>
  </si>
  <si>
    <t>Daily interest rate on MM securities</t>
  </si>
  <si>
    <t>Net cash flow per day</t>
  </si>
  <si>
    <t>Net cash flow per check</t>
  </si>
  <si>
    <t>Question 8</t>
  </si>
  <si>
    <t># days to receive checks</t>
  </si>
  <si>
    <t>Required return</t>
  </si>
  <si>
    <t>Reduction in outstanding cash</t>
  </si>
  <si>
    <t>Dollar return</t>
  </si>
  <si>
    <t>Monthly rate</t>
  </si>
  <si>
    <t>Monthly price</t>
  </si>
  <si>
    <t>Question 9</t>
  </si>
  <si>
    <t># days to clear checks</t>
  </si>
  <si>
    <t>Interest-bearing account</t>
  </si>
  <si>
    <t># weeks for checks to disburse</t>
  </si>
  <si>
    <t>Annual interest earned</t>
  </si>
  <si>
    <t># weeks per year</t>
  </si>
  <si>
    <t>Question 10</t>
  </si>
  <si>
    <t>Compensating balance</t>
  </si>
  <si>
    <t>T-bill rate</t>
  </si>
  <si>
    <t>Bank A and Bank B:</t>
  </si>
  <si>
    <t>Collections per day</t>
  </si>
  <si>
    <t>Collections accelerated</t>
  </si>
  <si>
    <t>Net savings</t>
  </si>
  <si>
    <t>Question 11</t>
  </si>
  <si>
    <t xml:space="preserve">Variable lockbox fee </t>
  </si>
  <si>
    <t>Fixed charges per year</t>
  </si>
  <si>
    <t>Daily interest rate</t>
  </si>
  <si>
    <t>NPV (With the fixed charge)</t>
  </si>
  <si>
    <t>Question 12</t>
  </si>
  <si>
    <t>Annual fee</t>
  </si>
  <si>
    <t>Variable costs per transaction</t>
  </si>
  <si>
    <t>Reduction in collection</t>
  </si>
  <si>
    <t>Average customer payment</t>
  </si>
  <si>
    <t>N</t>
  </si>
  <si>
    <t>Input boxes in tan</t>
  </si>
  <si>
    <t>Output boxes in yellow</t>
  </si>
  <si>
    <t>Given data in blue</t>
  </si>
  <si>
    <t>Calculations in red</t>
  </si>
  <si>
    <t>Answers in green</t>
  </si>
  <si>
    <t>Days delayed</t>
  </si>
  <si>
    <t>New clearing time</t>
  </si>
  <si>
    <t>a.</t>
  </si>
  <si>
    <t>b.</t>
  </si>
  <si>
    <t>c.</t>
  </si>
  <si>
    <t>the float.</t>
  </si>
  <si>
    <t>to eliminate</t>
  </si>
  <si>
    <t>that is uncollected and not available to the firm.</t>
  </si>
  <si>
    <t xml:space="preserve">On average, there is </t>
  </si>
  <si>
    <t>The most the firm should pay is the total amount</t>
  </si>
  <si>
    <t xml:space="preserve">of the average float or </t>
  </si>
  <si>
    <t>d.</t>
  </si>
  <si>
    <t>e.</t>
  </si>
  <si>
    <t>Price to reduce float</t>
  </si>
  <si>
    <t xml:space="preserve">Average daily rate </t>
  </si>
  <si>
    <t>Reduction in collection time</t>
  </si>
  <si>
    <t>Annual interest rate on MM securities</t>
  </si>
  <si>
    <t>Customers per day</t>
  </si>
  <si>
    <t>Increase</t>
  </si>
  <si>
    <t>I</t>
  </si>
  <si>
    <t>Decrease</t>
  </si>
  <si>
    <t>D</t>
  </si>
  <si>
    <t>No change</t>
  </si>
  <si>
    <t>Output Area:</t>
  </si>
  <si>
    <t>f.</t>
  </si>
  <si>
    <t>D: this will lower the trading costs, which will cause a decrease in the target cash balance.</t>
  </si>
  <si>
    <t>I: this will increase the amount of cash that the firm has to hold in non-interest bearing</t>
  </si>
  <si>
    <t>accounts, so they will have to raise the target cash balance to meet this requirement.</t>
  </si>
  <si>
    <t>D: this will increase the holding costs, which will cause a decrease in the target cash balance.</t>
  </si>
  <si>
    <t xml:space="preserve">D: if the credit rating improves, then the firm can borrow easier, allowing it to lower the target </t>
  </si>
  <si>
    <t>cash balance and borrow if a cash shortfall occurs.</t>
  </si>
  <si>
    <t>I: if the cost of borrowing increases, the firm will need to hold more cash to protect against</t>
  </si>
  <si>
    <t>cash shortfalls as the borrowing costs become more prohibitive.</t>
  </si>
  <si>
    <t>compensating balance may be lowered, thus lowering the target cash balance. If, on the other</t>
  </si>
  <si>
    <t>cash balance so they are not transferring money into the account as often.</t>
  </si>
  <si>
    <t>hand, fees are charged to the number of transactions, then the firm may wish to hold a higher</t>
  </si>
  <si>
    <t xml:space="preserve">D: this depends somewhat on what the fees apply to, but of direct fees are established, then the </t>
  </si>
  <si>
    <t>Annual interest rate</t>
  </si>
  <si>
    <t>Fixed order cost</t>
  </si>
  <si>
    <t>Total cash needed</t>
  </si>
  <si>
    <t>C*</t>
  </si>
  <si>
    <t>The initial balance should be</t>
  </si>
  <si>
    <t xml:space="preserve">, and whenever the </t>
  </si>
  <si>
    <t>balance drops to $0, another</t>
  </si>
  <si>
    <t xml:space="preserve">should be </t>
  </si>
  <si>
    <t>transferred in.</t>
  </si>
  <si>
    <t>Avg. daily cash balance</t>
  </si>
  <si>
    <t>Replenishing cost</t>
  </si>
  <si>
    <t>Holding cost</t>
  </si>
  <si>
    <t>Trading cost</t>
  </si>
  <si>
    <t>Total cost</t>
  </si>
  <si>
    <t>cash balance to</t>
  </si>
  <si>
    <t>, which would minimize their costs. The</t>
  </si>
  <si>
    <t>new total costs are</t>
  </si>
  <si>
    <t>Transfer amount</t>
  </si>
  <si>
    <t>Opportunity cost</t>
  </si>
  <si>
    <t>The firm keeps</t>
  </si>
  <si>
    <t xml:space="preserve">in cash because the </t>
  </si>
  <si>
    <t xml:space="preserve">are higher than the </t>
  </si>
  <si>
    <t>Cash holding</t>
  </si>
  <si>
    <t>Cash needed per month</t>
  </si>
  <si>
    <t>Broker fee</t>
  </si>
  <si>
    <t>Total cash</t>
  </si>
  <si>
    <t>The company should</t>
  </si>
  <si>
    <t xml:space="preserve">of its current </t>
  </si>
  <si>
    <t>to bring the cash balance</t>
  </si>
  <si>
    <t>the optimal level.</t>
  </si>
  <si>
    <t>Over the rest of the year, sell securities</t>
  </si>
  <si>
    <t>times.</t>
  </si>
  <si>
    <t>Target cash balance</t>
  </si>
  <si>
    <t>Toal cash for year</t>
  </si>
  <si>
    <t>Order cost</t>
  </si>
  <si>
    <t>Lower limit</t>
  </si>
  <si>
    <t>Order fixed cost</t>
  </si>
  <si>
    <t>U*</t>
  </si>
  <si>
    <t>unchanged. The lower limit does not change because it is an exogenous variable set by</t>
  </si>
  <si>
    <t xml:space="preserve">management. As the variance increase, however, the amount of uncertainty increases. When this </t>
  </si>
  <si>
    <t xml:space="preserve">If the variance drops to zero, then the lower limit, the target balance, and the upper limit will al be </t>
  </si>
  <si>
    <t>the same.</t>
  </si>
  <si>
    <t>As the variance increases, the upper limit and the spread will increase, while the lower limit remains</t>
  </si>
  <si>
    <t>happens, the target cash balance, and therefore the upper limit and the spread, will need to be higher.</t>
  </si>
  <si>
    <t>Standard deviation of CF</t>
  </si>
  <si>
    <t>Variance of cash flows</t>
  </si>
  <si>
    <t>When the balance in the cash accounts drops to</t>
  </si>
  <si>
    <t>, the firm sells</t>
  </si>
  <si>
    <t>of the</t>
  </si>
  <si>
    <t>marketable securities. The proceeds from the</t>
  </si>
  <si>
    <t>sale are used to replenish the account back to</t>
  </si>
  <si>
    <t xml:space="preserve">the optimal level of C*. Conversely, when the </t>
  </si>
  <si>
    <t>upper limit is reached, the firm buys</t>
  </si>
  <si>
    <t>of marketable</t>
  </si>
  <si>
    <t xml:space="preserve">securities. This expenditure lowers the cash </t>
  </si>
  <si>
    <t>level back down to the optimal level of</t>
  </si>
  <si>
    <t>Upper limit</t>
  </si>
  <si>
    <t>Target balance</t>
  </si>
  <si>
    <t xml:space="preserve">The lower limit is the minimum balance allowed in the account, and the upper limit is the maximum </t>
  </si>
  <si>
    <t xml:space="preserve">balance allowed in the account. When the account balance drops to the lower limit, </t>
  </si>
  <si>
    <t>account balance back to the target cash level. When the account balance rises to the upper limit, then</t>
  </si>
  <si>
    <t>of marketable securities will be purchased. This expenditure brings the cash level</t>
  </si>
  <si>
    <t>back down to the target balance of</t>
  </si>
  <si>
    <t xml:space="preserve">in marketable securities will be sold, and the proceeds deposited in the account. This moves the </t>
  </si>
  <si>
    <t xml:space="preserve">The firm should pay no more than </t>
  </si>
  <si>
    <t>PV of increased collections</t>
  </si>
  <si>
    <t>Assuming end of month payments:</t>
  </si>
  <si>
    <t>Assuming payments at the beginning of the month</t>
  </si>
  <si>
    <t>Problems 1-12, Appendix 1-10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</si>
  <si>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</si>
  <si>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</si>
  <si>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</si>
  <si>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</si>
  <si>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They should change their average daily</t>
  </si>
  <si>
    <t>Chapter 27</t>
  </si>
  <si>
    <t>Chapter 27 - Appendix</t>
  </si>
</sst>
</file>

<file path=xl/styles.xml><?xml version="1.0" encoding="utf-8"?>
<styleSheet xmlns="http://schemas.openxmlformats.org/spreadsheetml/2006/main">
  <numFmts count="14"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%"/>
    <numFmt numFmtId="167" formatCode="0.000%"/>
    <numFmt numFmtId="168" formatCode="0.0000%"/>
    <numFmt numFmtId="169" formatCode="0.00000%"/>
    <numFmt numFmtId="170" formatCode="_(* #,##0.00_);_(* \(#,##0.00\);_(* &quot;-&quot;_);_(@_)"/>
    <numFmt numFmtId="171" formatCode="&quot;$&quot;#,##0"/>
  </numFmts>
  <fonts count="22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4"/>
      <name val="Arial"/>
      <family val="2"/>
    </font>
    <font>
      <i/>
      <sz val="12"/>
      <color indexed="8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165" fontId="5" fillId="3" borderId="0" xfId="2" applyNumberFormat="1" applyFont="1" applyFill="1" applyBorder="1"/>
    <xf numFmtId="165" fontId="4" fillId="3" borderId="0" xfId="2" applyNumberFormat="1" applyFont="1" applyFill="1" applyBorder="1"/>
    <xf numFmtId="165" fontId="5" fillId="3" borderId="9" xfId="2" applyNumberFormat="1" applyFont="1" applyFill="1" applyBorder="1"/>
    <xf numFmtId="44" fontId="5" fillId="3" borderId="9" xfId="2" applyNumberFormat="1" applyFont="1" applyFill="1" applyBorder="1"/>
    <xf numFmtId="44" fontId="5" fillId="3" borderId="9" xfId="2" applyFont="1" applyFill="1" applyBorder="1"/>
    <xf numFmtId="43" fontId="5" fillId="3" borderId="9" xfId="1" applyNumberFormat="1" applyFont="1" applyFill="1" applyBorder="1"/>
    <xf numFmtId="44" fontId="5" fillId="3" borderId="0" xfId="2" applyNumberFormat="1" applyFont="1" applyFill="1" applyBorder="1"/>
    <xf numFmtId="0" fontId="4" fillId="3" borderId="0" xfId="0" applyFont="1" applyFill="1" applyBorder="1"/>
    <xf numFmtId="0" fontId="4" fillId="3" borderId="7" xfId="0" applyFont="1" applyFill="1" applyBorder="1"/>
    <xf numFmtId="165" fontId="4" fillId="3" borderId="0" xfId="0" applyNumberFormat="1" applyFont="1" applyFill="1" applyBorder="1"/>
    <xf numFmtId="8" fontId="4" fillId="3" borderId="0" xfId="2" applyNumberFormat="1" applyFont="1" applyFill="1" applyBorder="1"/>
    <xf numFmtId="44" fontId="5" fillId="3" borderId="0" xfId="2" applyFont="1" applyFill="1" applyBorder="1"/>
    <xf numFmtId="0" fontId="3" fillId="2" borderId="0" xfId="0" applyFont="1" applyFill="1" applyBorder="1"/>
    <xf numFmtId="0" fontId="6" fillId="4" borderId="0" xfId="0" applyFont="1" applyFill="1" applyBorder="1"/>
    <xf numFmtId="0" fontId="6" fillId="4" borderId="0" xfId="0" applyFont="1" applyFill="1"/>
    <xf numFmtId="0" fontId="0" fillId="4" borderId="0" xfId="0" applyFill="1"/>
    <xf numFmtId="2" fontId="7" fillId="4" borderId="0" xfId="0" applyNumberFormat="1" applyFont="1" applyFill="1" applyBorder="1" applyAlignment="1"/>
    <xf numFmtId="0" fontId="8" fillId="4" borderId="0" xfId="0" applyFont="1" applyFill="1" applyBorder="1"/>
    <xf numFmtId="0" fontId="9" fillId="4" borderId="0" xfId="0" applyFont="1" applyFill="1" applyBorder="1" applyAlignment="1">
      <alignment horizontal="center"/>
    </xf>
    <xf numFmtId="0" fontId="10" fillId="4" borderId="0" xfId="0" applyFont="1" applyFill="1" applyBorder="1"/>
    <xf numFmtId="0" fontId="11" fillId="4" borderId="0" xfId="0" applyFont="1" applyFill="1" applyBorder="1"/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5" fillId="4" borderId="0" xfId="0" applyFont="1" applyFill="1" applyBorder="1"/>
    <xf numFmtId="0" fontId="0" fillId="4" borderId="0" xfId="0" applyFill="1" applyBorder="1"/>
    <xf numFmtId="165" fontId="16" fillId="2" borderId="0" xfId="2" applyNumberFormat="1" applyFont="1" applyFill="1" applyBorder="1"/>
    <xf numFmtId="41" fontId="16" fillId="2" borderId="0" xfId="0" applyNumberFormat="1" applyFont="1" applyFill="1" applyBorder="1"/>
    <xf numFmtId="0" fontId="3" fillId="3" borderId="4" xfId="0" applyFont="1" applyFill="1" applyBorder="1"/>
    <xf numFmtId="165" fontId="5" fillId="3" borderId="10" xfId="2" applyNumberFormat="1" applyFont="1" applyFill="1" applyBorder="1"/>
    <xf numFmtId="42" fontId="5" fillId="3" borderId="9" xfId="2" applyNumberFormat="1" applyFont="1" applyFill="1" applyBorder="1"/>
    <xf numFmtId="0" fontId="3" fillId="2" borderId="4" xfId="0" applyFont="1" applyFill="1" applyBorder="1"/>
    <xf numFmtId="167" fontId="16" fillId="2" borderId="0" xfId="3" applyNumberFormat="1" applyFont="1" applyFill="1" applyBorder="1"/>
    <xf numFmtId="165" fontId="2" fillId="3" borderId="0" xfId="0" applyNumberFormat="1" applyFont="1" applyFill="1" applyBorder="1"/>
    <xf numFmtId="165" fontId="17" fillId="3" borderId="0" xfId="0" applyNumberFormat="1" applyFont="1" applyFill="1" applyBorder="1"/>
    <xf numFmtId="165" fontId="2" fillId="3" borderId="0" xfId="2" applyNumberFormat="1" applyFont="1" applyFill="1" applyBorder="1"/>
    <xf numFmtId="164" fontId="16" fillId="2" borderId="0" xfId="1" applyNumberFormat="1" applyFont="1" applyFill="1" applyBorder="1"/>
    <xf numFmtId="41" fontId="16" fillId="2" borderId="0" xfId="1" applyNumberFormat="1" applyFont="1" applyFill="1" applyBorder="1"/>
    <xf numFmtId="0" fontId="18" fillId="0" borderId="0" xfId="0" applyFont="1"/>
    <xf numFmtId="165" fontId="17" fillId="3" borderId="0" xfId="2" applyNumberFormat="1" applyFont="1" applyFill="1" applyBorder="1"/>
    <xf numFmtId="0" fontId="17" fillId="3" borderId="0" xfId="0" applyFont="1" applyFill="1" applyBorder="1"/>
    <xf numFmtId="165" fontId="5" fillId="3" borderId="9" xfId="0" applyNumberFormat="1" applyFont="1" applyFill="1" applyBorder="1"/>
    <xf numFmtId="44" fontId="17" fillId="3" borderId="0" xfId="2" applyFont="1" applyFill="1" applyBorder="1"/>
    <xf numFmtId="9" fontId="16" fillId="2" borderId="0" xfId="3" applyFont="1" applyFill="1" applyBorder="1"/>
    <xf numFmtId="9" fontId="16" fillId="2" borderId="0" xfId="3" applyNumberFormat="1" applyFont="1" applyFill="1" applyBorder="1"/>
    <xf numFmtId="43" fontId="16" fillId="2" borderId="0" xfId="1" applyFont="1" applyFill="1" applyBorder="1"/>
    <xf numFmtId="43" fontId="5" fillId="3" borderId="9" xfId="2" applyNumberFormat="1" applyFont="1" applyFill="1" applyBorder="1"/>
    <xf numFmtId="169" fontId="17" fillId="3" borderId="0" xfId="3" applyNumberFormat="1" applyFont="1" applyFill="1" applyBorder="1"/>
    <xf numFmtId="44" fontId="16" fillId="2" borderId="0" xfId="2" applyNumberFormat="1" applyFont="1" applyFill="1" applyBorder="1"/>
    <xf numFmtId="10" fontId="16" fillId="2" borderId="0" xfId="3" applyNumberFormat="1" applyFont="1" applyFill="1" applyBorder="1"/>
    <xf numFmtId="168" fontId="17" fillId="3" borderId="0" xfId="3" applyNumberFormat="1" applyFont="1" applyFill="1" applyBorder="1"/>
    <xf numFmtId="167" fontId="17" fillId="3" borderId="0" xfId="3" applyNumberFormat="1" applyFont="1" applyFill="1" applyBorder="1"/>
    <xf numFmtId="44" fontId="16" fillId="2" borderId="0" xfId="2" applyFont="1" applyFill="1" applyBorder="1"/>
    <xf numFmtId="0" fontId="10" fillId="2" borderId="0" xfId="0" applyFont="1" applyFill="1" applyBorder="1"/>
    <xf numFmtId="0" fontId="16" fillId="2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0" fillId="3" borderId="3" xfId="0" applyFill="1" applyBorder="1"/>
    <xf numFmtId="0" fontId="0" fillId="3" borderId="5" xfId="0" applyFill="1" applyBorder="1"/>
    <xf numFmtId="0" fontId="0" fillId="3" borderId="8" xfId="0" applyFill="1" applyBorder="1"/>
    <xf numFmtId="9" fontId="16" fillId="2" borderId="0" xfId="3" applyFont="1" applyFill="1" applyBorder="1" applyAlignment="1">
      <alignment horizontal="right"/>
    </xf>
    <xf numFmtId="165" fontId="16" fillId="2" borderId="0" xfId="2" applyNumberFormat="1" applyFont="1" applyFill="1" applyBorder="1" applyAlignment="1">
      <alignment horizontal="right"/>
    </xf>
    <xf numFmtId="44" fontId="5" fillId="3" borderId="9" xfId="2" applyFont="1" applyFill="1" applyBorder="1" applyAlignment="1">
      <alignment horizontal="center"/>
    </xf>
    <xf numFmtId="44" fontId="17" fillId="3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right"/>
    </xf>
    <xf numFmtId="44" fontId="17" fillId="3" borderId="0" xfId="2" applyFont="1" applyFill="1" applyBorder="1" applyAlignment="1">
      <alignment horizontal="right"/>
    </xf>
    <xf numFmtId="44" fontId="17" fillId="3" borderId="0" xfId="0" applyNumberFormat="1" applyFont="1" applyFill="1" applyBorder="1" applyAlignment="1">
      <alignment horizontal="right"/>
    </xf>
    <xf numFmtId="44" fontId="5" fillId="3" borderId="0" xfId="2" applyFont="1" applyFill="1" applyBorder="1" applyAlignment="1">
      <alignment horizontal="right"/>
    </xf>
    <xf numFmtId="44" fontId="5" fillId="3" borderId="9" xfId="2" applyFont="1" applyFill="1" applyBorder="1" applyAlignment="1">
      <alignment horizontal="right"/>
    </xf>
    <xf numFmtId="44" fontId="17" fillId="3" borderId="0" xfId="2" applyFont="1" applyFill="1" applyBorder="1" applyAlignment="1">
      <alignment horizontal="left"/>
    </xf>
    <xf numFmtId="166" fontId="16" fillId="2" borderId="0" xfId="3" applyNumberFormat="1" applyFont="1" applyFill="1" applyBorder="1" applyAlignment="1">
      <alignment horizontal="right"/>
    </xf>
    <xf numFmtId="165" fontId="17" fillId="3" borderId="0" xfId="2" applyNumberFormat="1" applyFont="1" applyFill="1" applyBorder="1" applyAlignment="1">
      <alignment horizontal="right"/>
    </xf>
    <xf numFmtId="44" fontId="2" fillId="3" borderId="0" xfId="0" applyNumberFormat="1" applyFont="1" applyFill="1" applyBorder="1" applyAlignment="1">
      <alignment horizontal="left"/>
    </xf>
    <xf numFmtId="0" fontId="17" fillId="3" borderId="0" xfId="0" applyFont="1" applyFill="1" applyBorder="1" applyAlignment="1">
      <alignment horizontal="left"/>
    </xf>
    <xf numFmtId="10" fontId="5" fillId="3" borderId="9" xfId="3" applyNumberFormat="1" applyFont="1" applyFill="1" applyBorder="1" applyAlignment="1">
      <alignment horizontal="right"/>
    </xf>
    <xf numFmtId="168" fontId="17" fillId="3" borderId="0" xfId="3" applyNumberFormat="1" applyFont="1" applyFill="1" applyBorder="1" applyAlignment="1">
      <alignment horizontal="right"/>
    </xf>
    <xf numFmtId="167" fontId="16" fillId="2" borderId="0" xfId="3" applyNumberFormat="1" applyFont="1" applyFill="1" applyBorder="1" applyAlignment="1">
      <alignment horizontal="right"/>
    </xf>
    <xf numFmtId="41" fontId="17" fillId="3" borderId="0" xfId="2" applyNumberFormat="1" applyFont="1" applyFill="1" applyBorder="1" applyAlignment="1">
      <alignment horizontal="right"/>
    </xf>
    <xf numFmtId="171" fontId="17" fillId="3" borderId="0" xfId="0" applyNumberFormat="1" applyFont="1" applyFill="1" applyBorder="1" applyAlignment="1">
      <alignment horizontal="center"/>
    </xf>
    <xf numFmtId="44" fontId="2" fillId="3" borderId="0" xfId="2" applyFont="1" applyFill="1" applyBorder="1" applyAlignment="1">
      <alignment horizontal="left"/>
    </xf>
    <xf numFmtId="7" fontId="17" fillId="3" borderId="0" xfId="0" applyNumberFormat="1" applyFont="1" applyFill="1" applyBorder="1" applyAlignment="1">
      <alignment horizontal="center"/>
    </xf>
    <xf numFmtId="44" fontId="5" fillId="3" borderId="0" xfId="2" applyFont="1" applyFill="1" applyBorder="1" applyAlignment="1">
      <alignment horizontal="left"/>
    </xf>
    <xf numFmtId="44" fontId="5" fillId="3" borderId="9" xfId="0" applyNumberFormat="1" applyFont="1" applyFill="1" applyBorder="1" applyAlignment="1">
      <alignment horizontal="right"/>
    </xf>
    <xf numFmtId="2" fontId="5" fillId="3" borderId="9" xfId="0" applyNumberFormat="1" applyFont="1" applyFill="1" applyBorder="1" applyAlignment="1">
      <alignment horizontal="center"/>
    </xf>
    <xf numFmtId="44" fontId="17" fillId="3" borderId="0" xfId="3" applyNumberFormat="1" applyFont="1" applyFill="1" applyBorder="1"/>
    <xf numFmtId="170" fontId="5" fillId="3" borderId="9" xfId="2" applyNumberFormat="1" applyFont="1" applyFill="1" applyBorder="1"/>
    <xf numFmtId="0" fontId="20" fillId="4" borderId="0" xfId="0" applyFont="1" applyFill="1" applyBorder="1"/>
    <xf numFmtId="44" fontId="5" fillId="3" borderId="9" xfId="0" applyNumberFormat="1" applyFont="1" applyFill="1" applyBorder="1"/>
    <xf numFmtId="165" fontId="21" fillId="2" borderId="0" xfId="2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37"/>
    <col min="4" max="4" width="42.5703125" style="37" customWidth="1"/>
    <col min="5" max="16384" width="9.140625" style="37"/>
  </cols>
  <sheetData>
    <row r="1" spans="1:29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</row>
    <row r="2" spans="1:29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</row>
    <row r="3" spans="1:29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</row>
    <row r="4" spans="1:29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29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spans="1:29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spans="1:29" ht="59.25">
      <c r="A12" s="35"/>
      <c r="B12" s="35"/>
      <c r="C12" s="35"/>
      <c r="D12" s="38" t="s">
        <v>203</v>
      </c>
      <c r="E12" s="35"/>
      <c r="F12" s="39"/>
      <c r="G12" s="35"/>
      <c r="H12" s="35"/>
      <c r="I12" s="35"/>
      <c r="J12" s="35"/>
      <c r="K12" s="35"/>
      <c r="L12" s="35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spans="1:29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  <row r="14" spans="1:29" ht="23.25">
      <c r="A14" s="35"/>
      <c r="B14" s="35"/>
      <c r="C14" s="35"/>
      <c r="D14" s="40" t="s">
        <v>197</v>
      </c>
      <c r="E14" s="35"/>
      <c r="F14" s="35"/>
      <c r="G14" s="35"/>
      <c r="H14" s="35"/>
      <c r="I14" s="35"/>
      <c r="J14" s="35"/>
      <c r="K14" s="35"/>
      <c r="L14" s="35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</row>
    <row r="15" spans="1:29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</row>
    <row r="16" spans="1:29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spans="1:29" ht="15">
      <c r="A17" s="35"/>
      <c r="B17" s="35"/>
      <c r="C17" s="35"/>
      <c r="D17" s="41"/>
      <c r="E17" s="35"/>
      <c r="F17" s="35"/>
      <c r="G17" s="35"/>
      <c r="H17" s="35"/>
      <c r="I17" s="35"/>
      <c r="J17" s="35"/>
      <c r="K17" s="35"/>
      <c r="L17" s="35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</row>
    <row r="18" spans="1:29" ht="15.75">
      <c r="A18" s="35"/>
      <c r="B18" s="35"/>
      <c r="C18" s="35"/>
      <c r="D18" s="42" t="s">
        <v>87</v>
      </c>
      <c r="E18" s="35"/>
      <c r="F18" s="35"/>
      <c r="G18" s="35"/>
      <c r="H18" s="35"/>
      <c r="I18" s="35"/>
      <c r="J18" s="35"/>
      <c r="K18" s="35"/>
      <c r="L18" s="35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</row>
    <row r="19" spans="1:29" ht="15.75">
      <c r="A19" s="35"/>
      <c r="B19" s="35"/>
      <c r="C19" s="35"/>
      <c r="D19" s="43" t="s">
        <v>88</v>
      </c>
      <c r="E19" s="35"/>
      <c r="F19" s="35"/>
      <c r="G19" s="35"/>
      <c r="H19" s="35"/>
      <c r="I19" s="35"/>
      <c r="J19" s="35"/>
      <c r="K19" s="35"/>
      <c r="L19" s="35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</row>
    <row r="20" spans="1:29" ht="15.75">
      <c r="A20" s="35"/>
      <c r="B20" s="35"/>
      <c r="C20" s="35"/>
      <c r="D20" s="44" t="s">
        <v>89</v>
      </c>
      <c r="E20" s="35"/>
      <c r="F20" s="35"/>
      <c r="G20" s="35"/>
      <c r="H20" s="35"/>
      <c r="I20" s="35"/>
      <c r="J20" s="35"/>
      <c r="K20" s="35"/>
      <c r="L20" s="35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</row>
    <row r="21" spans="1:29" ht="15.75">
      <c r="A21" s="35"/>
      <c r="B21" s="35"/>
      <c r="C21" s="35"/>
      <c r="D21" s="45" t="s">
        <v>90</v>
      </c>
      <c r="E21" s="35"/>
      <c r="F21" s="35"/>
      <c r="G21" s="35"/>
      <c r="H21" s="35"/>
      <c r="I21" s="35"/>
      <c r="J21" s="35"/>
      <c r="K21" s="35"/>
      <c r="L21" s="35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</row>
    <row r="22" spans="1:29" ht="15.75">
      <c r="A22" s="35"/>
      <c r="B22" s="35"/>
      <c r="C22" s="35"/>
      <c r="D22" s="46" t="s">
        <v>91</v>
      </c>
      <c r="E22" s="35"/>
      <c r="F22" s="35"/>
      <c r="G22" s="35"/>
      <c r="H22" s="35"/>
      <c r="I22" s="35"/>
      <c r="J22" s="35"/>
      <c r="K22" s="35"/>
      <c r="L22" s="35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</row>
    <row r="23" spans="1:29" ht="15">
      <c r="A23" s="35"/>
      <c r="B23" s="35"/>
      <c r="C23" s="35"/>
      <c r="D23" s="41"/>
      <c r="E23" s="35"/>
      <c r="F23" s="35"/>
      <c r="G23" s="35"/>
      <c r="H23" s="35"/>
      <c r="I23" s="35"/>
      <c r="J23" s="35"/>
      <c r="K23" s="35"/>
      <c r="L23" s="35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</row>
    <row r="24" spans="1:29">
      <c r="A24" s="35"/>
      <c r="B24" s="35"/>
      <c r="C24" s="35"/>
      <c r="D24" s="111" t="s">
        <v>198</v>
      </c>
      <c r="E24" s="35"/>
      <c r="F24" s="35"/>
      <c r="G24" s="35"/>
      <c r="H24" s="35"/>
      <c r="I24" s="35"/>
      <c r="J24" s="35"/>
      <c r="K24" s="35"/>
      <c r="L24" s="35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</row>
    <row r="25" spans="1:29">
      <c r="A25" s="35"/>
      <c r="B25" s="35"/>
      <c r="C25" s="35"/>
      <c r="D25" s="111" t="s">
        <v>199</v>
      </c>
      <c r="E25" s="35"/>
      <c r="F25" s="35"/>
      <c r="G25" s="35"/>
      <c r="H25" s="35"/>
      <c r="I25" s="35"/>
      <c r="J25" s="35"/>
      <c r="K25" s="35"/>
      <c r="L25" s="35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</row>
    <row r="26" spans="1:29">
      <c r="A26" s="35"/>
      <c r="B26" s="35"/>
      <c r="C26" s="35"/>
      <c r="D26" s="111" t="s">
        <v>200</v>
      </c>
      <c r="E26" s="35"/>
      <c r="F26" s="35"/>
      <c r="G26" s="35"/>
      <c r="H26" s="35"/>
      <c r="I26" s="35"/>
      <c r="J26" s="35"/>
      <c r="K26" s="35"/>
      <c r="L26" s="35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</row>
    <row r="27" spans="1:29">
      <c r="A27" s="35"/>
      <c r="B27" s="35"/>
      <c r="C27" s="35"/>
      <c r="D27" s="111" t="s">
        <v>201</v>
      </c>
      <c r="E27" s="35"/>
      <c r="F27" s="35"/>
      <c r="G27" s="35"/>
      <c r="H27" s="35"/>
      <c r="I27" s="35"/>
      <c r="J27" s="35"/>
      <c r="K27" s="35"/>
      <c r="L27" s="35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spans="1:29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</row>
    <row r="29" spans="1:29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</row>
    <row r="30" spans="1:29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</row>
    <row r="31" spans="1:29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</row>
    <row r="32" spans="1:29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</row>
    <row r="33" spans="1:29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</row>
    <row r="34" spans="1:29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</row>
    <row r="35" spans="1:29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</row>
    <row r="36" spans="1:29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</row>
    <row r="37" spans="1:29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</row>
    <row r="38" spans="1:29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</row>
    <row r="39" spans="1:29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</row>
    <row r="40" spans="1:29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</row>
    <row r="42" spans="1:29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</row>
    <row r="43" spans="1:29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</row>
    <row r="44" spans="1:29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</row>
    <row r="45" spans="1:29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</row>
    <row r="46" spans="1:29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</row>
    <row r="47" spans="1:29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</row>
    <row r="48" spans="1:29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</row>
    <row r="49" spans="1:1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</row>
    <row r="50" spans="1:1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</row>
    <row r="51" spans="1:1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</row>
    <row r="52" spans="1:1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1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</row>
    <row r="54" spans="1:1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</row>
    <row r="55" spans="1:1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</row>
    <row r="56" spans="1:1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</row>
    <row r="57" spans="1:1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</row>
    <row r="58" spans="1:1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</row>
    <row r="59" spans="1:1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</row>
    <row r="60" spans="1:1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</row>
    <row r="61" spans="1:1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</row>
    <row r="62" spans="1:1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</row>
    <row r="63" spans="1:1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</row>
    <row r="64" spans="1:1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</row>
    <row r="65" spans="1:1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</row>
    <row r="66" spans="1:1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</row>
    <row r="67" spans="1:1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</row>
    <row r="68" spans="1:1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</row>
    <row r="69" spans="1:1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</row>
    <row r="70" spans="1:1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</row>
    <row r="71" spans="1:1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</row>
    <row r="72" spans="1:1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</row>
    <row r="73" spans="1:1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</row>
    <row r="74" spans="1:1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</row>
    <row r="75" spans="1:1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</row>
    <row r="76" spans="1:1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</row>
    <row r="77" spans="1:12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</row>
    <row r="78" spans="1:1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</row>
    <row r="79" spans="1:1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</row>
    <row r="80" spans="1:12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</row>
    <row r="81" spans="1:1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</row>
    <row r="82" spans="1:12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</row>
    <row r="83" spans="1:12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</row>
    <row r="84" spans="1:12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</row>
    <row r="85" spans="1:12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</row>
    <row r="86" spans="1:12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</row>
    <row r="87" spans="1:12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</row>
    <row r="88" spans="1:12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</row>
    <row r="89" spans="1:12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</row>
    <row r="90" spans="1:12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</row>
    <row r="91" spans="1:12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</row>
    <row r="92" spans="1:12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</row>
    <row r="93" spans="1:12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</row>
    <row r="94" spans="1:12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</row>
    <row r="95" spans="1:12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</row>
    <row r="96" spans="1:12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</row>
    <row r="97" spans="1:12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</row>
    <row r="98" spans="1:12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</row>
    <row r="99" spans="1:12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</row>
    <row r="100" spans="1:12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</row>
    <row r="101" spans="1:12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</row>
    <row r="102" spans="1:12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</row>
    <row r="103" spans="1:12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</row>
    <row r="104" spans="1:12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1:12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1:12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75"/>
  <sheetViews>
    <sheetView workbookViewId="0"/>
  </sheetViews>
  <sheetFormatPr defaultRowHeight="12.75"/>
  <cols>
    <col min="2" max="2" width="3.140625" customWidth="1"/>
    <col min="3" max="3" width="31.85546875" bestFit="1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63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64</v>
      </c>
      <c r="D7" s="58">
        <v>7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31</v>
      </c>
      <c r="D8" s="48">
        <v>58000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65</v>
      </c>
      <c r="D9" s="54">
        <v>1.4999999999999999E-4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66</v>
      </c>
      <c r="D10" s="59">
        <v>2</v>
      </c>
      <c r="E10" s="9"/>
      <c r="F10" s="1"/>
      <c r="G10" s="1"/>
      <c r="H10" s="1"/>
      <c r="I10" s="1"/>
    </row>
    <row r="11" spans="1:9" ht="15.75" customHeight="1" thickBot="1">
      <c r="A11" s="1"/>
      <c r="B11" s="10"/>
      <c r="C11" s="11"/>
      <c r="D11" s="11"/>
      <c r="E11" s="12"/>
      <c r="F11" s="1"/>
      <c r="G11" s="1"/>
      <c r="H11" s="1"/>
      <c r="I11" s="1"/>
    </row>
    <row r="12" spans="1:9" ht="15.75" customHeight="1">
      <c r="A12" s="1"/>
      <c r="B12" s="1"/>
      <c r="C12" s="1"/>
      <c r="D12" s="1"/>
      <c r="E12" s="1"/>
      <c r="F12" s="1"/>
      <c r="G12" s="1"/>
      <c r="H12" s="1"/>
      <c r="I12" s="1"/>
    </row>
    <row r="13" spans="1:9" ht="15.75" customHeight="1">
      <c r="A13" s="1"/>
      <c r="B13" s="1"/>
      <c r="C13" s="2" t="s">
        <v>2</v>
      </c>
      <c r="D13" s="1"/>
      <c r="E13" s="1"/>
      <c r="F13" s="1"/>
      <c r="G13" s="1"/>
      <c r="H13" s="1"/>
      <c r="I13" s="1"/>
    </row>
    <row r="14" spans="1:9" ht="15.75" customHeight="1" thickBot="1">
      <c r="A14" s="1"/>
      <c r="B14" s="1"/>
      <c r="C14" s="1"/>
      <c r="D14" s="1"/>
      <c r="E14" s="1"/>
      <c r="F14" s="1"/>
      <c r="G14" s="1"/>
      <c r="H14" s="1"/>
      <c r="I14" s="1"/>
    </row>
    <row r="15" spans="1:9" ht="15.75" customHeight="1">
      <c r="A15" s="1"/>
      <c r="B15" s="13"/>
      <c r="C15" s="14"/>
      <c r="D15" s="14"/>
      <c r="E15" s="15"/>
      <c r="F15" s="1"/>
      <c r="G15" s="1"/>
      <c r="H15" s="1"/>
      <c r="I15" s="1"/>
    </row>
    <row r="16" spans="1:9" ht="15.75" customHeight="1">
      <c r="A16" s="1"/>
      <c r="B16" s="16"/>
      <c r="C16" s="17" t="s">
        <v>67</v>
      </c>
      <c r="D16" s="25">
        <f>D8*D7*(52/D10)*D9</f>
        <v>1583.3999999999999</v>
      </c>
      <c r="E16" s="18"/>
      <c r="F16" s="1"/>
      <c r="G16" s="1"/>
      <c r="H16" s="1"/>
      <c r="I16" s="1"/>
    </row>
    <row r="17" spans="1:9" ht="15.75" customHeight="1" thickBot="1">
      <c r="A17" s="1"/>
      <c r="B17" s="19"/>
      <c r="C17" s="20"/>
      <c r="D17" s="30"/>
      <c r="E17" s="21"/>
      <c r="F17" s="1"/>
      <c r="G17" s="1"/>
      <c r="H17" s="1"/>
      <c r="I17" s="1"/>
    </row>
    <row r="18" spans="1:9" ht="15.75" customHeight="1">
      <c r="A18" s="1"/>
      <c r="B18" s="1"/>
      <c r="C18" s="1"/>
      <c r="D18" s="1"/>
      <c r="E18" s="1"/>
      <c r="F18" s="1"/>
      <c r="G18" s="1"/>
      <c r="H18" s="1"/>
      <c r="I18" s="1"/>
    </row>
    <row r="19" spans="1:9" ht="15.75" customHeight="1">
      <c r="A19" s="1"/>
      <c r="B19" s="1"/>
      <c r="C19" s="1"/>
      <c r="D19" s="1"/>
      <c r="E19" s="1"/>
      <c r="F19" s="1"/>
      <c r="G19" s="1"/>
      <c r="H19" s="1"/>
      <c r="I19" s="1"/>
    </row>
    <row r="20" spans="1:9" ht="15.75" customHeight="1">
      <c r="A20" s="1"/>
      <c r="B20" s="1"/>
      <c r="C20" s="1"/>
      <c r="D20" s="1"/>
      <c r="E20" s="1"/>
      <c r="F20" s="1"/>
      <c r="G20" s="1"/>
      <c r="H20" s="1"/>
      <c r="I20" s="1"/>
    </row>
    <row r="21" spans="1:9" ht="15.75" customHeight="1">
      <c r="A21" s="1"/>
      <c r="B21" s="1"/>
      <c r="C21" s="1"/>
      <c r="D21" s="1"/>
      <c r="E21" s="1"/>
      <c r="F21" s="1"/>
      <c r="G21" s="1"/>
      <c r="H21" s="1"/>
      <c r="I21" s="1"/>
    </row>
    <row r="22" spans="1:9" ht="15.75" customHeight="1">
      <c r="A22" s="1"/>
      <c r="B22" s="1"/>
      <c r="C22" s="1"/>
      <c r="D22" s="1"/>
      <c r="E22" s="1"/>
      <c r="F22" s="1"/>
      <c r="G22" s="1"/>
      <c r="H22" s="1"/>
      <c r="I22" s="1"/>
    </row>
    <row r="23" spans="1:9" ht="15.75" customHeight="1">
      <c r="A23" s="1"/>
      <c r="B23" s="1"/>
      <c r="C23" s="1"/>
      <c r="D23" s="1"/>
      <c r="E23" s="1"/>
      <c r="F23" s="1"/>
      <c r="G23" s="1"/>
      <c r="H23" s="1"/>
      <c r="I23" s="1"/>
    </row>
    <row r="24" spans="1:9" ht="15.75" customHeight="1">
      <c r="A24" s="1"/>
      <c r="B24" s="1"/>
      <c r="C24" s="1"/>
      <c r="D24" s="1"/>
      <c r="E24" s="1"/>
      <c r="F24" s="1"/>
      <c r="G24" s="1"/>
      <c r="H24" s="1"/>
      <c r="I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.7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15.75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15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5.75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15.7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15.75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15.75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15.7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15.75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15.75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15.75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15.75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15.75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15.75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15.75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15.75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15.75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15.75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15.75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15.75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15.75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</sheetData>
  <phoneticPr fontId="1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81"/>
  <sheetViews>
    <sheetView workbookViewId="0"/>
  </sheetViews>
  <sheetFormatPr defaultRowHeight="12.75"/>
  <cols>
    <col min="2" max="2" width="3.140625" customWidth="1"/>
    <col min="3" max="3" width="25.140625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69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31</v>
      </c>
      <c r="D7" s="48">
        <v>3200000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70</v>
      </c>
      <c r="D8" s="48">
        <v>350000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71</v>
      </c>
      <c r="D9" s="65">
        <v>0.05</v>
      </c>
      <c r="E9" s="9"/>
      <c r="F9" s="1"/>
      <c r="G9" s="1"/>
      <c r="H9" s="1"/>
      <c r="I9" s="1"/>
    </row>
    <row r="10" spans="1:9" ht="15.75" customHeight="1">
      <c r="A10" s="1"/>
      <c r="B10" s="7"/>
      <c r="C10" s="34" t="s">
        <v>72</v>
      </c>
      <c r="D10" s="65"/>
      <c r="E10" s="9"/>
      <c r="F10" s="1"/>
      <c r="G10" s="1"/>
      <c r="H10" s="1"/>
      <c r="I10" s="1"/>
    </row>
    <row r="11" spans="1:9" ht="15.75" customHeight="1">
      <c r="A11" s="1"/>
      <c r="B11" s="7"/>
      <c r="C11" s="8" t="s">
        <v>73</v>
      </c>
      <c r="D11" s="113">
        <f>D7/2</f>
        <v>1600000</v>
      </c>
      <c r="E11" s="9"/>
      <c r="F11" s="1"/>
      <c r="G11" s="1"/>
      <c r="H11" s="1"/>
      <c r="I11" s="1"/>
    </row>
    <row r="12" spans="1:9" ht="15.75" customHeight="1">
      <c r="A12" s="1"/>
      <c r="B12" s="7"/>
      <c r="C12" s="8" t="s">
        <v>70</v>
      </c>
      <c r="D12" s="48">
        <v>190000</v>
      </c>
      <c r="E12" s="9"/>
      <c r="F12" s="1"/>
      <c r="G12" s="1"/>
      <c r="H12" s="1"/>
      <c r="I12" s="1"/>
    </row>
    <row r="13" spans="1:9" ht="15.75" customHeight="1">
      <c r="A13" s="1"/>
      <c r="B13" s="7"/>
      <c r="C13" s="8" t="s">
        <v>74</v>
      </c>
      <c r="D13" s="58">
        <v>1</v>
      </c>
      <c r="E13" s="9"/>
      <c r="F13" s="1"/>
      <c r="G13" s="1"/>
      <c r="H13" s="1"/>
      <c r="I13" s="1"/>
    </row>
    <row r="14" spans="1:9" ht="15.75" customHeight="1" thickBot="1">
      <c r="A14" s="1"/>
      <c r="B14" s="10"/>
      <c r="C14" s="11"/>
      <c r="D14" s="11"/>
      <c r="E14" s="12"/>
      <c r="F14" s="1"/>
      <c r="G14" s="1"/>
      <c r="H14" s="1"/>
      <c r="I14" s="1"/>
    </row>
    <row r="15" spans="1:9" ht="15.75" customHeigh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"/>
      <c r="C16" s="2" t="s">
        <v>2</v>
      </c>
      <c r="D16" s="1"/>
      <c r="E16" s="1"/>
      <c r="F16" s="1"/>
      <c r="G16" s="1"/>
      <c r="H16" s="1"/>
      <c r="I16" s="1"/>
    </row>
    <row r="17" spans="1:9" ht="15.75" customHeight="1" thickBot="1">
      <c r="A17" s="1"/>
      <c r="B17" s="1"/>
      <c r="C17" s="1"/>
      <c r="D17" s="1"/>
      <c r="E17" s="1"/>
      <c r="F17" s="1"/>
      <c r="G17" s="1"/>
      <c r="H17" s="1"/>
      <c r="I17" s="1"/>
    </row>
    <row r="18" spans="1:9" ht="15.75" customHeight="1">
      <c r="A18" s="1"/>
      <c r="B18" s="13"/>
      <c r="C18" s="14"/>
      <c r="D18" s="14"/>
      <c r="E18" s="15"/>
      <c r="F18" s="1"/>
      <c r="G18" s="1"/>
      <c r="H18" s="1"/>
      <c r="I18" s="1"/>
    </row>
    <row r="19" spans="1:9" ht="15.75" customHeight="1">
      <c r="A19" s="1"/>
      <c r="B19" s="16"/>
      <c r="C19" s="17" t="s">
        <v>34</v>
      </c>
      <c r="D19" s="24">
        <f>D7-((D12*2)-D8)</f>
        <v>3170000</v>
      </c>
      <c r="E19" s="18"/>
      <c r="F19" s="1"/>
      <c r="G19" s="1"/>
      <c r="H19" s="1"/>
      <c r="I19" s="1"/>
    </row>
    <row r="20" spans="1:9" ht="15.75" customHeight="1">
      <c r="A20" s="1"/>
      <c r="B20" s="16"/>
      <c r="C20" s="62" t="str">
        <f>IF(D19&gt;0,"Proceed with the new system.","Do not proceed with the new system.")</f>
        <v>Proceed with the new system.</v>
      </c>
      <c r="D20" s="22"/>
      <c r="E20" s="18"/>
      <c r="F20" s="1"/>
      <c r="G20" s="1"/>
      <c r="H20" s="1"/>
      <c r="I20" s="1"/>
    </row>
    <row r="21" spans="1:9" ht="15.75" customHeight="1">
      <c r="A21" s="1"/>
      <c r="B21" s="16"/>
      <c r="C21" s="17"/>
      <c r="D21" s="22"/>
      <c r="E21" s="18"/>
      <c r="F21" s="1"/>
      <c r="G21" s="1"/>
      <c r="H21" s="1"/>
      <c r="I21" s="1"/>
    </row>
    <row r="22" spans="1:9" ht="15.75" customHeight="1">
      <c r="A22" s="1"/>
      <c r="B22" s="16"/>
      <c r="C22" s="17" t="s">
        <v>75</v>
      </c>
      <c r="D22" s="24">
        <f>D9*D19</f>
        <v>158500</v>
      </c>
      <c r="E22" s="18"/>
      <c r="F22" s="1"/>
      <c r="G22" s="1"/>
      <c r="H22" s="1"/>
      <c r="I22" s="1"/>
    </row>
    <row r="23" spans="1:9" ht="15.75" customHeight="1" thickBot="1">
      <c r="A23" s="1"/>
      <c r="B23" s="19"/>
      <c r="C23" s="20"/>
      <c r="D23" s="30"/>
      <c r="E23" s="21"/>
      <c r="F23" s="1"/>
      <c r="G23" s="1"/>
      <c r="H23" s="1"/>
      <c r="I23" s="1"/>
    </row>
    <row r="24" spans="1:9" ht="15.75" customHeight="1">
      <c r="A24" s="1"/>
      <c r="B24" s="1"/>
      <c r="C24" s="1"/>
      <c r="D24" s="1"/>
      <c r="E24" s="1"/>
      <c r="F24" s="1"/>
      <c r="G24" s="1"/>
      <c r="H24" s="1"/>
      <c r="I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.7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15.75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15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5.75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15.7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15.75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15.75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15.7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15.75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15.75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15.75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15.75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15.75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15.75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15.75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</sheetData>
  <phoneticPr fontId="1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84"/>
  <sheetViews>
    <sheetView workbookViewId="0"/>
  </sheetViews>
  <sheetFormatPr defaultRowHeight="12.75"/>
  <cols>
    <col min="2" max="2" width="3.140625" customWidth="1"/>
    <col min="3" max="3" width="37.42578125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76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50</v>
      </c>
      <c r="D7" s="58">
        <v>850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51</v>
      </c>
      <c r="D8" s="48">
        <v>630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77</v>
      </c>
      <c r="D9" s="74">
        <v>0.22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108</v>
      </c>
      <c r="D10" s="71">
        <v>7.0000000000000007E-2</v>
      </c>
      <c r="E10" s="9"/>
      <c r="F10" s="1"/>
      <c r="G10" s="1"/>
      <c r="H10" s="1"/>
      <c r="I10" s="1"/>
    </row>
    <row r="11" spans="1:9" ht="15.75" customHeight="1">
      <c r="A11" s="1"/>
      <c r="B11" s="7"/>
      <c r="C11" s="8" t="s">
        <v>78</v>
      </c>
      <c r="D11" s="48">
        <v>5000</v>
      </c>
      <c r="E11" s="9"/>
      <c r="F11" s="1"/>
      <c r="G11" s="1"/>
      <c r="H11" s="1"/>
      <c r="I11" s="1"/>
    </row>
    <row r="12" spans="1:9" ht="15.75" customHeight="1">
      <c r="A12" s="1"/>
      <c r="B12" s="7"/>
      <c r="C12" s="8" t="s">
        <v>107</v>
      </c>
      <c r="D12" s="49">
        <v>2</v>
      </c>
      <c r="E12" s="9"/>
      <c r="F12" s="1"/>
      <c r="G12" s="1"/>
      <c r="H12" s="1"/>
      <c r="I12" s="1"/>
    </row>
    <row r="13" spans="1:9" ht="15.75" customHeight="1">
      <c r="A13" s="1"/>
      <c r="B13" s="7"/>
      <c r="C13" s="8" t="s">
        <v>38</v>
      </c>
      <c r="D13" s="49">
        <v>365</v>
      </c>
      <c r="E13" s="9"/>
      <c r="F13" s="1"/>
      <c r="G13" s="1"/>
      <c r="H13" s="1"/>
      <c r="I13" s="1"/>
    </row>
    <row r="14" spans="1:9" ht="15.75" customHeight="1" thickBot="1">
      <c r="A14" s="1"/>
      <c r="B14" s="10"/>
      <c r="C14" s="11"/>
      <c r="D14" s="11"/>
      <c r="E14" s="12"/>
      <c r="F14" s="1"/>
      <c r="G14" s="1"/>
      <c r="H14" s="1"/>
      <c r="I14" s="1"/>
    </row>
    <row r="15" spans="1:9" ht="15.75" customHeigh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"/>
      <c r="C16" s="2" t="s">
        <v>2</v>
      </c>
      <c r="D16" s="1"/>
      <c r="E16" s="1"/>
      <c r="F16" s="1"/>
      <c r="G16" s="1"/>
      <c r="H16" s="1"/>
      <c r="I16" s="1"/>
    </row>
    <row r="17" spans="1:9" ht="15.75" customHeight="1" thickBot="1">
      <c r="A17" s="1"/>
      <c r="B17" s="1"/>
      <c r="C17" s="1"/>
      <c r="D17" s="1"/>
      <c r="E17" s="1"/>
      <c r="F17" s="1"/>
      <c r="G17" s="1"/>
      <c r="H17" s="1"/>
      <c r="I17" s="1"/>
    </row>
    <row r="18" spans="1:9" ht="15.75" customHeight="1">
      <c r="A18" s="1"/>
      <c r="B18" s="13"/>
      <c r="C18" s="14"/>
      <c r="D18" s="14"/>
      <c r="E18" s="15"/>
      <c r="F18" s="1"/>
      <c r="G18" s="1"/>
      <c r="H18" s="1"/>
      <c r="I18" s="1"/>
    </row>
    <row r="19" spans="1:9" ht="15.75" customHeight="1">
      <c r="A19" s="1"/>
      <c r="B19" s="16"/>
      <c r="C19" s="17" t="s">
        <v>32</v>
      </c>
      <c r="D19" s="61">
        <f>D12*D7*D8</f>
        <v>1071000</v>
      </c>
      <c r="E19" s="18"/>
      <c r="F19" s="1"/>
      <c r="G19" s="1"/>
      <c r="H19" s="1"/>
      <c r="I19" s="1"/>
    </row>
    <row r="20" spans="1:9" ht="15.75" customHeight="1">
      <c r="A20" s="1"/>
      <c r="B20" s="16"/>
      <c r="C20" s="17" t="s">
        <v>79</v>
      </c>
      <c r="D20" s="73">
        <f>((1+D10)^(1/365))-1</f>
        <v>1.8538334157058856E-4</v>
      </c>
      <c r="E20" s="18"/>
      <c r="F20" s="1"/>
      <c r="G20" s="1"/>
      <c r="H20" s="1"/>
      <c r="I20" s="1"/>
    </row>
    <row r="21" spans="1:9" ht="15.75" customHeight="1">
      <c r="A21" s="1"/>
      <c r="B21" s="16"/>
      <c r="C21" s="17" t="s">
        <v>34</v>
      </c>
      <c r="D21" s="25">
        <f>D19-((D9*D7)/(D20))</f>
        <v>62279.375936829369</v>
      </c>
      <c r="E21" s="18"/>
      <c r="F21" s="1"/>
      <c r="G21" s="1"/>
      <c r="H21" s="1"/>
      <c r="I21" s="1"/>
    </row>
    <row r="22" spans="1:9" ht="15.75" customHeight="1">
      <c r="A22" s="1"/>
      <c r="B22" s="16"/>
      <c r="C22" s="62" t="str">
        <f>IF(D21&gt;0,"The lockbox system should be accepted.","The lockbox system should not be accepted.")</f>
        <v>The lockbox system should be accepted.</v>
      </c>
      <c r="D22" s="22"/>
      <c r="E22" s="18"/>
      <c r="F22" s="1"/>
      <c r="G22" s="1"/>
      <c r="H22" s="1"/>
      <c r="I22" s="1"/>
    </row>
    <row r="23" spans="1:9" ht="15.75" customHeight="1">
      <c r="A23" s="1"/>
      <c r="B23" s="16"/>
      <c r="C23" s="17"/>
      <c r="D23" s="22"/>
      <c r="E23" s="18"/>
      <c r="F23" s="1"/>
      <c r="G23" s="1"/>
      <c r="H23" s="1"/>
      <c r="I23" s="1"/>
    </row>
    <row r="24" spans="1:9" ht="15.75" customHeight="1">
      <c r="A24" s="1"/>
      <c r="B24" s="16"/>
      <c r="C24" s="17" t="s">
        <v>80</v>
      </c>
      <c r="D24" s="25">
        <f>D21-(D11/D10)</f>
        <v>-9149.1954917420517</v>
      </c>
      <c r="E24" s="18"/>
      <c r="F24" s="1"/>
      <c r="G24" s="1"/>
      <c r="H24" s="1"/>
      <c r="I24" s="1"/>
    </row>
    <row r="25" spans="1:9" ht="15.75" customHeight="1">
      <c r="A25" s="1"/>
      <c r="B25" s="16"/>
      <c r="C25" s="62" t="str">
        <f>IF(D24&gt;0,"The lockbox system should still be accepted.","The lockbox system should not be accepted.")</f>
        <v>The lockbox system should not be accepted.</v>
      </c>
      <c r="D25" s="22"/>
      <c r="E25" s="18"/>
      <c r="F25" s="1"/>
      <c r="G25" s="1"/>
      <c r="H25" s="1"/>
      <c r="I25" s="1"/>
    </row>
    <row r="26" spans="1:9" ht="15.75" customHeight="1" thickBot="1">
      <c r="A26" s="1"/>
      <c r="B26" s="19"/>
      <c r="C26" s="20"/>
      <c r="D26" s="30"/>
      <c r="E26" s="2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.7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15.75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15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  <row r="84" spans="1:9" ht="15">
      <c r="A84" s="1"/>
      <c r="B84" s="1"/>
      <c r="C84" s="1"/>
      <c r="D84" s="1"/>
      <c r="E84" s="1"/>
      <c r="F84" s="1"/>
      <c r="G84" s="1"/>
      <c r="H84" s="1"/>
      <c r="I84" s="1"/>
    </row>
  </sheetData>
  <phoneticPr fontId="1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79"/>
  <sheetViews>
    <sheetView workbookViewId="0"/>
  </sheetViews>
  <sheetFormatPr defaultRowHeight="12.75"/>
  <cols>
    <col min="2" max="2" width="3.140625" customWidth="1"/>
    <col min="3" max="3" width="37.42578125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81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82</v>
      </c>
      <c r="D7" s="48">
        <v>15000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83</v>
      </c>
      <c r="D8" s="70">
        <v>0.1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84</v>
      </c>
      <c r="D9" s="58">
        <v>1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85</v>
      </c>
      <c r="D10" s="48">
        <v>4800</v>
      </c>
      <c r="E10" s="9"/>
      <c r="F10" s="1"/>
      <c r="G10" s="1"/>
      <c r="H10" s="1"/>
      <c r="I10" s="1"/>
    </row>
    <row r="11" spans="1:9" ht="15.75" customHeight="1">
      <c r="A11" s="1"/>
      <c r="B11" s="7"/>
      <c r="C11" s="8" t="s">
        <v>71</v>
      </c>
      <c r="D11" s="65">
        <v>0.05</v>
      </c>
      <c r="E11" s="9"/>
      <c r="F11" s="1"/>
      <c r="G11" s="1"/>
      <c r="H11" s="1"/>
      <c r="I11" s="1"/>
    </row>
    <row r="12" spans="1:9" ht="15.75" customHeight="1">
      <c r="A12" s="1"/>
      <c r="B12" s="7"/>
      <c r="C12" s="8" t="s">
        <v>38</v>
      </c>
      <c r="D12" s="49">
        <v>365</v>
      </c>
      <c r="E12" s="9"/>
      <c r="F12" s="1"/>
      <c r="G12" s="1"/>
      <c r="H12" s="1"/>
      <c r="I12" s="1"/>
    </row>
    <row r="13" spans="1:9" ht="15.75" customHeight="1">
      <c r="A13" s="1"/>
      <c r="B13" s="7"/>
      <c r="C13" s="8" t="s">
        <v>68</v>
      </c>
      <c r="D13" s="49">
        <v>52</v>
      </c>
      <c r="E13" s="9"/>
      <c r="F13" s="1"/>
      <c r="G13" s="1"/>
      <c r="H13" s="1"/>
      <c r="I13" s="1"/>
    </row>
    <row r="14" spans="1:9" ht="15.75" customHeight="1" thickBot="1">
      <c r="A14" s="1"/>
      <c r="B14" s="10"/>
      <c r="C14" s="11"/>
      <c r="D14" s="11"/>
      <c r="E14" s="12"/>
      <c r="F14" s="1"/>
      <c r="G14" s="1"/>
      <c r="H14" s="1"/>
      <c r="I14" s="1"/>
    </row>
    <row r="15" spans="1:9" ht="15.75" customHeigh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"/>
      <c r="C16" s="2" t="s">
        <v>2</v>
      </c>
      <c r="D16" s="1"/>
      <c r="E16" s="1"/>
      <c r="F16" s="1"/>
      <c r="G16" s="1"/>
      <c r="H16" s="1"/>
      <c r="I16" s="1"/>
    </row>
    <row r="17" spans="1:9" ht="15.75" customHeight="1" thickBot="1">
      <c r="A17" s="1"/>
      <c r="B17" s="1"/>
      <c r="C17" s="1"/>
      <c r="D17" s="1"/>
      <c r="E17" s="1"/>
      <c r="F17" s="1"/>
      <c r="G17" s="1"/>
      <c r="H17" s="1"/>
      <c r="I17" s="1"/>
    </row>
    <row r="18" spans="1:9" ht="15.75" customHeight="1">
      <c r="A18" s="1"/>
      <c r="B18" s="13"/>
      <c r="C18" s="14"/>
      <c r="D18" s="14"/>
      <c r="E18" s="15"/>
      <c r="F18" s="1"/>
      <c r="G18" s="1"/>
      <c r="H18" s="1"/>
      <c r="I18" s="1"/>
    </row>
    <row r="19" spans="1:9" ht="15.75" customHeight="1">
      <c r="A19" s="1"/>
      <c r="B19" s="16"/>
      <c r="C19" s="17" t="s">
        <v>79</v>
      </c>
      <c r="D19" s="72">
        <f>((1+D11)^(1/365))-1</f>
        <v>1.3368061711349633E-4</v>
      </c>
      <c r="E19" s="18"/>
      <c r="F19" s="1"/>
      <c r="G19" s="1"/>
      <c r="H19" s="1"/>
      <c r="I19" s="1"/>
    </row>
    <row r="20" spans="1:9" ht="15.75" customHeight="1">
      <c r="A20" s="1"/>
      <c r="B20" s="16"/>
      <c r="C20" s="17" t="s">
        <v>109</v>
      </c>
      <c r="D20" s="110">
        <f>(D7/D11)/((D10*D9)-(D8/D19))</f>
        <v>74.038455244256582</v>
      </c>
      <c r="E20" s="18"/>
      <c r="F20" s="1"/>
      <c r="G20" s="1"/>
      <c r="H20" s="1"/>
      <c r="I20" s="1"/>
    </row>
    <row r="21" spans="1:9" ht="15.75" customHeight="1" thickBot="1">
      <c r="A21" s="1"/>
      <c r="B21" s="19"/>
      <c r="C21" s="20"/>
      <c r="D21" s="30"/>
      <c r="E21" s="21"/>
      <c r="F21" s="1"/>
      <c r="G21" s="1"/>
      <c r="H21" s="1"/>
      <c r="I21" s="1"/>
    </row>
    <row r="22" spans="1:9" ht="15.75" customHeight="1">
      <c r="A22" s="1"/>
      <c r="B22" s="1"/>
      <c r="C22" s="1"/>
      <c r="D22" s="1"/>
      <c r="E22" s="1"/>
      <c r="F22" s="1"/>
      <c r="G22" s="1"/>
      <c r="H22" s="1"/>
      <c r="I22" s="1"/>
    </row>
    <row r="23" spans="1:9" ht="15.75" customHeight="1">
      <c r="A23" s="1"/>
      <c r="B23" s="1"/>
      <c r="C23" s="1"/>
      <c r="D23" s="1"/>
      <c r="E23" s="1"/>
      <c r="F23" s="1"/>
      <c r="G23" s="1"/>
      <c r="H23" s="1"/>
      <c r="I23" s="1"/>
    </row>
    <row r="24" spans="1:9" ht="15.75" customHeight="1">
      <c r="A24" s="1"/>
      <c r="B24" s="1"/>
      <c r="C24" s="1"/>
      <c r="D24" s="1"/>
      <c r="E24" s="1"/>
      <c r="F24" s="1"/>
      <c r="G24" s="1"/>
      <c r="H24" s="1"/>
      <c r="I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.7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15.75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15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5.75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15.7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15.75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15.75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15.7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15.75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15.75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15.75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15.75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15.75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15.75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15.75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15.75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</sheetData>
  <phoneticPr fontId="1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52"/>
  <sheetViews>
    <sheetView workbookViewId="0"/>
  </sheetViews>
  <sheetFormatPr defaultRowHeight="12.75"/>
  <cols>
    <col min="2" max="2" width="3.140625" customWidth="1"/>
    <col min="3" max="3" width="16.7109375" customWidth="1"/>
    <col min="4" max="4" width="18.140625" customWidth="1"/>
    <col min="5" max="5" width="3.140625" customWidth="1"/>
    <col min="6" max="7" width="20.7109375" customWidth="1"/>
    <col min="8" max="8" width="16.140625" customWidth="1"/>
    <col min="9" max="9" width="4.42578125" customWidth="1"/>
  </cols>
  <sheetData>
    <row r="1" spans="1:9" ht="18">
      <c r="A1" s="1"/>
      <c r="B1" s="1"/>
      <c r="C1" s="60" t="s">
        <v>204</v>
      </c>
      <c r="D1" s="1"/>
      <c r="E1" s="1"/>
      <c r="F1" s="1"/>
      <c r="G1" s="1"/>
      <c r="H1" s="1"/>
    </row>
    <row r="2" spans="1:9" ht="15.75" customHeight="1">
      <c r="A2" s="1"/>
      <c r="B2" s="1"/>
      <c r="C2" s="1" t="s">
        <v>0</v>
      </c>
      <c r="D2" s="1"/>
      <c r="E2" s="1"/>
      <c r="F2" s="1"/>
      <c r="G2" s="1"/>
      <c r="H2" s="1"/>
    </row>
    <row r="3" spans="1:9" ht="15.75" customHeight="1">
      <c r="A3" s="1"/>
      <c r="B3" s="1"/>
      <c r="C3" s="1"/>
      <c r="D3" s="1"/>
      <c r="E3" s="1"/>
      <c r="F3" s="1"/>
      <c r="G3" s="1"/>
      <c r="H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</row>
    <row r="6" spans="1:9" ht="15.75" customHeight="1">
      <c r="A6" s="1"/>
      <c r="B6" s="4"/>
      <c r="C6" s="5"/>
      <c r="D6" s="5"/>
      <c r="E6" s="6"/>
      <c r="F6" s="1"/>
      <c r="G6" s="1"/>
      <c r="H6" s="1"/>
    </row>
    <row r="7" spans="1:9" ht="15.75" customHeight="1">
      <c r="A7" s="1"/>
      <c r="B7" s="7"/>
      <c r="C7" s="75" t="s">
        <v>110</v>
      </c>
      <c r="D7" s="76" t="s">
        <v>111</v>
      </c>
      <c r="E7" s="9"/>
      <c r="F7" s="1"/>
      <c r="G7" s="1"/>
      <c r="H7" s="1"/>
    </row>
    <row r="8" spans="1:9" ht="15.75" customHeight="1">
      <c r="A8" s="1"/>
      <c r="B8" s="7"/>
      <c r="C8" s="75" t="s">
        <v>112</v>
      </c>
      <c r="D8" s="76" t="s">
        <v>113</v>
      </c>
      <c r="E8" s="9"/>
      <c r="F8" s="1"/>
      <c r="G8" s="1"/>
      <c r="H8" s="1"/>
    </row>
    <row r="9" spans="1:9" ht="15.75" customHeight="1">
      <c r="A9" s="1"/>
      <c r="B9" s="7"/>
      <c r="C9" s="75" t="s">
        <v>114</v>
      </c>
      <c r="D9" s="76" t="s">
        <v>86</v>
      </c>
      <c r="E9" s="9"/>
      <c r="F9" s="1"/>
      <c r="G9" s="1"/>
      <c r="H9" s="1"/>
    </row>
    <row r="10" spans="1:9" ht="15.75" customHeight="1" thickBot="1">
      <c r="A10" s="1"/>
      <c r="B10" s="10"/>
      <c r="C10" s="11"/>
      <c r="D10" s="11"/>
      <c r="E10" s="12"/>
      <c r="F10" s="1"/>
      <c r="G10" s="1"/>
      <c r="H10" s="1"/>
    </row>
    <row r="11" spans="1:9" ht="15.75" customHeight="1">
      <c r="A11" s="1"/>
      <c r="B11" s="1"/>
      <c r="C11" s="1"/>
      <c r="D11" s="1"/>
      <c r="E11" s="1"/>
      <c r="F11" s="1"/>
      <c r="G11" s="1"/>
      <c r="H11" s="1"/>
    </row>
    <row r="12" spans="1:9" ht="15.75" customHeight="1">
      <c r="A12" s="1"/>
      <c r="B12" s="1"/>
      <c r="C12" s="2" t="s">
        <v>115</v>
      </c>
      <c r="D12" s="1"/>
      <c r="E12" s="1"/>
      <c r="F12" s="1"/>
      <c r="G12" s="1"/>
      <c r="H12" s="1"/>
    </row>
    <row r="13" spans="1:9" ht="15.75" customHeight="1" thickBot="1">
      <c r="A13" s="1"/>
      <c r="B13" s="1"/>
      <c r="C13" s="1"/>
      <c r="D13" s="1"/>
      <c r="E13" s="1"/>
      <c r="F13" s="1"/>
      <c r="G13" s="1"/>
      <c r="H13" s="1"/>
    </row>
    <row r="14" spans="1:9" ht="15.75" customHeight="1">
      <c r="A14" s="1"/>
      <c r="B14" s="13"/>
      <c r="C14" s="14"/>
      <c r="D14" s="14"/>
      <c r="E14" s="14"/>
      <c r="F14" s="14"/>
      <c r="G14" s="14"/>
      <c r="H14" s="14"/>
      <c r="I14" s="81"/>
    </row>
    <row r="15" spans="1:9" ht="15.75" customHeight="1">
      <c r="A15" s="1"/>
      <c r="B15" s="78" t="s">
        <v>94</v>
      </c>
      <c r="C15" s="79" t="s">
        <v>117</v>
      </c>
      <c r="D15" s="80"/>
      <c r="E15" s="17"/>
      <c r="F15" s="17"/>
      <c r="G15" s="17"/>
      <c r="H15" s="17"/>
      <c r="I15" s="82"/>
    </row>
    <row r="16" spans="1:9" ht="15.75" customHeight="1">
      <c r="A16" s="1"/>
      <c r="B16" s="78" t="s">
        <v>95</v>
      </c>
      <c r="C16" s="79" t="s">
        <v>120</v>
      </c>
      <c r="D16" s="80"/>
      <c r="E16" s="17"/>
      <c r="F16" s="17"/>
      <c r="G16" s="17"/>
      <c r="H16" s="17"/>
      <c r="I16" s="82"/>
    </row>
    <row r="17" spans="1:9" ht="15.75" customHeight="1">
      <c r="A17" s="1"/>
      <c r="B17" s="78" t="s">
        <v>96</v>
      </c>
      <c r="C17" s="79" t="s">
        <v>118</v>
      </c>
      <c r="D17" s="80"/>
      <c r="E17" s="17"/>
      <c r="F17" s="17"/>
      <c r="G17" s="17"/>
      <c r="H17" s="17"/>
      <c r="I17" s="82"/>
    </row>
    <row r="18" spans="1:9" ht="15.75" customHeight="1">
      <c r="A18" s="1"/>
      <c r="B18" s="78"/>
      <c r="C18" s="79" t="s">
        <v>119</v>
      </c>
      <c r="D18" s="80"/>
      <c r="E18" s="17"/>
      <c r="F18" s="17"/>
      <c r="G18" s="17"/>
      <c r="H18" s="17"/>
      <c r="I18" s="82"/>
    </row>
    <row r="19" spans="1:9" ht="15.75" customHeight="1">
      <c r="A19" s="1"/>
      <c r="B19" s="78" t="s">
        <v>103</v>
      </c>
      <c r="C19" s="79" t="s">
        <v>121</v>
      </c>
      <c r="D19" s="80"/>
      <c r="E19" s="17"/>
      <c r="F19" s="17"/>
      <c r="G19" s="17"/>
      <c r="H19" s="17"/>
      <c r="I19" s="82"/>
    </row>
    <row r="20" spans="1:9" ht="15.75" customHeight="1">
      <c r="A20" s="1"/>
      <c r="B20" s="78"/>
      <c r="C20" s="79" t="s">
        <v>122</v>
      </c>
      <c r="D20" s="80"/>
      <c r="E20" s="17"/>
      <c r="F20" s="17"/>
      <c r="G20" s="17"/>
      <c r="H20" s="17"/>
      <c r="I20" s="82"/>
    </row>
    <row r="21" spans="1:9" ht="15.75" customHeight="1">
      <c r="A21" s="1"/>
      <c r="B21" s="78" t="s">
        <v>104</v>
      </c>
      <c r="C21" s="79" t="s">
        <v>123</v>
      </c>
      <c r="D21" s="80"/>
      <c r="E21" s="17"/>
      <c r="F21" s="17"/>
      <c r="G21" s="17"/>
      <c r="H21" s="17"/>
      <c r="I21" s="82"/>
    </row>
    <row r="22" spans="1:9" ht="15.75" customHeight="1">
      <c r="A22" s="1"/>
      <c r="B22" s="78"/>
      <c r="C22" s="79" t="s">
        <v>124</v>
      </c>
      <c r="D22" s="80"/>
      <c r="E22" s="17"/>
      <c r="F22" s="17"/>
      <c r="G22" s="17"/>
      <c r="H22" s="17"/>
      <c r="I22" s="82"/>
    </row>
    <row r="23" spans="1:9" ht="15.75" customHeight="1">
      <c r="A23" s="1"/>
      <c r="B23" s="78" t="s">
        <v>116</v>
      </c>
      <c r="C23" s="79" t="s">
        <v>128</v>
      </c>
      <c r="D23" s="80"/>
      <c r="E23" s="17"/>
      <c r="F23" s="17"/>
      <c r="G23" s="17"/>
      <c r="H23" s="17"/>
      <c r="I23" s="82"/>
    </row>
    <row r="24" spans="1:9" ht="15.75" customHeight="1">
      <c r="A24" s="1"/>
      <c r="B24" s="78"/>
      <c r="C24" s="79" t="s">
        <v>125</v>
      </c>
      <c r="D24" s="80"/>
      <c r="E24" s="17"/>
      <c r="F24" s="17"/>
      <c r="G24" s="17"/>
      <c r="H24" s="17"/>
      <c r="I24" s="82"/>
    </row>
    <row r="25" spans="1:9" ht="15.75" customHeight="1">
      <c r="A25" s="1"/>
      <c r="B25" s="78"/>
      <c r="C25" s="79" t="s">
        <v>127</v>
      </c>
      <c r="D25" s="80"/>
      <c r="E25" s="17"/>
      <c r="F25" s="17"/>
      <c r="G25" s="17"/>
      <c r="H25" s="17"/>
      <c r="I25" s="82"/>
    </row>
    <row r="26" spans="1:9" ht="15.75" customHeight="1">
      <c r="A26" s="1"/>
      <c r="B26" s="78"/>
      <c r="C26" s="79" t="s">
        <v>126</v>
      </c>
      <c r="D26" s="80"/>
      <c r="E26" s="17"/>
      <c r="F26" s="17"/>
      <c r="G26" s="17"/>
      <c r="H26" s="17"/>
      <c r="I26" s="82"/>
    </row>
    <row r="27" spans="1:9" ht="15.75" customHeight="1" thickBot="1">
      <c r="A27" s="1"/>
      <c r="B27" s="19"/>
      <c r="C27" s="20"/>
      <c r="D27" s="20"/>
      <c r="E27" s="20"/>
      <c r="F27" s="20"/>
      <c r="G27" s="20"/>
      <c r="H27" s="20"/>
      <c r="I27" s="83"/>
    </row>
    <row r="28" spans="1:9" ht="15.75" customHeight="1">
      <c r="A28" s="1"/>
      <c r="B28" s="1"/>
      <c r="C28" s="1"/>
      <c r="D28" s="1"/>
      <c r="E28" s="1"/>
      <c r="F28" s="1"/>
      <c r="G28" s="1"/>
      <c r="H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50"/>
  <sheetViews>
    <sheetView workbookViewId="0"/>
  </sheetViews>
  <sheetFormatPr defaultRowHeight="12.75"/>
  <cols>
    <col min="2" max="2" width="3.140625" customWidth="1"/>
    <col min="3" max="3" width="20.5703125" bestFit="1" customWidth="1"/>
    <col min="4" max="4" width="18.140625" customWidth="1"/>
    <col min="5" max="5" width="3.140625" customWidth="1"/>
  </cols>
  <sheetData>
    <row r="1" spans="1:8" ht="18">
      <c r="A1" s="1"/>
      <c r="B1" s="1"/>
      <c r="C1" s="60" t="s">
        <v>204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7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4"/>
      <c r="C6" s="5"/>
      <c r="D6" s="5"/>
      <c r="E6" s="6"/>
      <c r="F6" s="1"/>
      <c r="G6" s="1"/>
      <c r="H6" s="1"/>
    </row>
    <row r="7" spans="1:8" ht="15.75" customHeight="1">
      <c r="A7" s="1"/>
      <c r="B7" s="7"/>
      <c r="C7" s="75" t="s">
        <v>129</v>
      </c>
      <c r="D7" s="84">
        <v>0.06</v>
      </c>
      <c r="E7" s="9"/>
      <c r="F7" s="1"/>
      <c r="G7" s="1"/>
      <c r="H7" s="1"/>
    </row>
    <row r="8" spans="1:8" ht="15.75" customHeight="1">
      <c r="A8" s="1"/>
      <c r="B8" s="7"/>
      <c r="C8" s="75" t="s">
        <v>130</v>
      </c>
      <c r="D8" s="85">
        <v>25</v>
      </c>
      <c r="E8" s="9"/>
      <c r="F8" s="1"/>
      <c r="G8" s="1"/>
      <c r="H8" s="1"/>
    </row>
    <row r="9" spans="1:8" ht="15.75" customHeight="1">
      <c r="A9" s="1"/>
      <c r="B9" s="7"/>
      <c r="C9" s="75" t="s">
        <v>131</v>
      </c>
      <c r="D9" s="85">
        <v>8500</v>
      </c>
      <c r="E9" s="9"/>
      <c r="F9" s="1"/>
      <c r="G9" s="1"/>
      <c r="H9" s="1"/>
    </row>
    <row r="10" spans="1:8" ht="15.75" customHeight="1" thickBot="1">
      <c r="A10" s="1"/>
      <c r="B10" s="10"/>
      <c r="C10" s="11"/>
      <c r="D10" s="11"/>
      <c r="E10" s="12"/>
      <c r="F10" s="1"/>
      <c r="G10" s="1"/>
      <c r="H10" s="1"/>
    </row>
    <row r="11" spans="1:8" ht="15.75" customHeight="1">
      <c r="A11" s="1"/>
      <c r="B11" s="1"/>
      <c r="C11" s="1"/>
      <c r="D11" s="1"/>
      <c r="E11" s="1"/>
      <c r="F11" s="1"/>
      <c r="G11" s="1"/>
      <c r="H11" s="1"/>
    </row>
    <row r="12" spans="1:8" ht="15.75" customHeight="1">
      <c r="A12" s="1"/>
      <c r="B12" s="1"/>
      <c r="C12" s="2" t="s">
        <v>115</v>
      </c>
      <c r="D12" s="1"/>
      <c r="E12" s="1"/>
      <c r="F12" s="1"/>
      <c r="G12" s="1"/>
      <c r="H12" s="1"/>
    </row>
    <row r="13" spans="1:8" ht="15.75" customHeight="1" thickBot="1">
      <c r="A13" s="1"/>
      <c r="B13" s="1"/>
      <c r="C13" s="1"/>
      <c r="D13" s="1"/>
      <c r="E13" s="1"/>
      <c r="F13" s="1"/>
      <c r="G13" s="1"/>
      <c r="H13" s="1"/>
    </row>
    <row r="14" spans="1:8" ht="15.75" customHeight="1">
      <c r="A14" s="1"/>
      <c r="B14" s="13"/>
      <c r="C14" s="14"/>
      <c r="D14" s="14"/>
      <c r="E14" s="15"/>
      <c r="F14" s="1"/>
      <c r="G14" s="1"/>
      <c r="H14" s="1"/>
    </row>
    <row r="15" spans="1:8" ht="15.75" customHeight="1">
      <c r="A15" s="1"/>
      <c r="B15" s="16"/>
      <c r="C15" s="79" t="s">
        <v>132</v>
      </c>
      <c r="D15" s="86">
        <f>SQRT(2*D9*D8/D7)</f>
        <v>2661.4532371118853</v>
      </c>
      <c r="E15" s="18"/>
      <c r="F15" s="1"/>
      <c r="G15" s="1"/>
      <c r="H15" s="1"/>
    </row>
    <row r="16" spans="1:8" ht="15.75" customHeight="1">
      <c r="A16" s="1"/>
      <c r="B16" s="16"/>
      <c r="C16" s="79"/>
      <c r="D16" s="77"/>
      <c r="E16" s="18"/>
      <c r="F16" s="1"/>
      <c r="G16" s="1"/>
      <c r="H16" s="1"/>
    </row>
    <row r="17" spans="1:8" ht="15.75" customHeight="1">
      <c r="A17" s="1"/>
      <c r="B17" s="16"/>
      <c r="C17" s="79" t="s">
        <v>133</v>
      </c>
      <c r="D17" s="77"/>
      <c r="E17" s="18"/>
      <c r="F17" s="1"/>
      <c r="G17" s="1"/>
      <c r="H17" s="1"/>
    </row>
    <row r="18" spans="1:8" ht="15.75" customHeight="1">
      <c r="A18" s="1"/>
      <c r="B18" s="16"/>
      <c r="C18" s="87">
        <f>D15</f>
        <v>2661.4532371118853</v>
      </c>
      <c r="D18" s="80" t="s">
        <v>134</v>
      </c>
      <c r="E18" s="18"/>
      <c r="F18" s="1"/>
      <c r="G18" s="1"/>
      <c r="H18" s="1"/>
    </row>
    <row r="19" spans="1:8" ht="15.75" customHeight="1">
      <c r="A19" s="1"/>
      <c r="B19" s="16"/>
      <c r="C19" s="79" t="s">
        <v>135</v>
      </c>
      <c r="D19" s="80"/>
      <c r="E19" s="18"/>
      <c r="F19" s="1"/>
      <c r="G19" s="1"/>
      <c r="H19" s="1"/>
    </row>
    <row r="20" spans="1:8" ht="15.75" customHeight="1">
      <c r="A20" s="1"/>
      <c r="B20" s="16"/>
      <c r="C20" s="87">
        <f>D15</f>
        <v>2661.4532371118853</v>
      </c>
      <c r="D20" s="88" t="s">
        <v>136</v>
      </c>
      <c r="E20" s="18"/>
      <c r="F20" s="1"/>
      <c r="G20" s="1"/>
      <c r="H20" s="1"/>
    </row>
    <row r="21" spans="1:8" ht="15.75" customHeight="1">
      <c r="A21" s="1"/>
      <c r="B21" s="16"/>
      <c r="C21" s="79" t="s">
        <v>137</v>
      </c>
      <c r="D21" s="77"/>
      <c r="E21" s="18"/>
      <c r="F21" s="1"/>
      <c r="G21" s="1"/>
      <c r="H21" s="1"/>
    </row>
    <row r="22" spans="1:8" ht="15.75" customHeight="1" thickBot="1">
      <c r="A22" s="1"/>
      <c r="B22" s="19"/>
      <c r="C22" s="20"/>
      <c r="D22" s="20"/>
      <c r="E22" s="2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50"/>
  <sheetViews>
    <sheetView workbookViewId="0"/>
  </sheetViews>
  <sheetFormatPr defaultRowHeight="12.75"/>
  <cols>
    <col min="2" max="2" width="3.140625" customWidth="1"/>
    <col min="3" max="3" width="25" bestFit="1" customWidth="1"/>
    <col min="4" max="4" width="18.140625" customWidth="1"/>
    <col min="5" max="5" width="3.140625" customWidth="1"/>
  </cols>
  <sheetData>
    <row r="1" spans="1:8" ht="18">
      <c r="A1" s="1"/>
      <c r="B1" s="1"/>
      <c r="C1" s="60" t="s">
        <v>204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13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4"/>
      <c r="C6" s="5"/>
      <c r="D6" s="5"/>
      <c r="E6" s="6"/>
      <c r="F6" s="1"/>
      <c r="G6" s="1"/>
      <c r="H6" s="1"/>
    </row>
    <row r="7" spans="1:8" ht="15.75" customHeight="1">
      <c r="A7" s="1"/>
      <c r="B7" s="7"/>
      <c r="C7" s="75" t="s">
        <v>138</v>
      </c>
      <c r="D7" s="85">
        <v>1300</v>
      </c>
      <c r="E7" s="9"/>
      <c r="F7" s="1"/>
      <c r="G7" s="1"/>
      <c r="H7" s="1"/>
    </row>
    <row r="8" spans="1:8" ht="15.75" customHeight="1">
      <c r="A8" s="1"/>
      <c r="B8" s="7"/>
      <c r="C8" s="75" t="s">
        <v>131</v>
      </c>
      <c r="D8" s="85">
        <v>43000</v>
      </c>
      <c r="E8" s="9"/>
      <c r="F8" s="1"/>
      <c r="G8" s="1"/>
      <c r="H8" s="1"/>
    </row>
    <row r="9" spans="1:8" ht="15.75" customHeight="1">
      <c r="A9" s="1"/>
      <c r="B9" s="7"/>
      <c r="C9" s="75" t="s">
        <v>15</v>
      </c>
      <c r="D9" s="84">
        <v>0.05</v>
      </c>
      <c r="E9" s="9"/>
      <c r="F9" s="1"/>
      <c r="G9" s="1"/>
      <c r="H9" s="1"/>
    </row>
    <row r="10" spans="1:8" ht="15.75" customHeight="1">
      <c r="A10" s="1"/>
      <c r="B10" s="7"/>
      <c r="C10" s="75" t="s">
        <v>139</v>
      </c>
      <c r="D10" s="85">
        <v>8</v>
      </c>
      <c r="E10" s="9"/>
      <c r="F10" s="1"/>
      <c r="G10" s="1"/>
      <c r="H10" s="1"/>
    </row>
    <row r="11" spans="1:8" ht="15.75" customHeight="1" thickBot="1">
      <c r="A11" s="1"/>
      <c r="B11" s="10"/>
      <c r="C11" s="11"/>
      <c r="D11" s="11"/>
      <c r="E11" s="12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2" t="s">
        <v>115</v>
      </c>
      <c r="D13" s="1"/>
      <c r="E13" s="1"/>
      <c r="F13" s="1"/>
      <c r="G13" s="1"/>
      <c r="H13" s="1"/>
    </row>
    <row r="14" spans="1:8" ht="15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3"/>
      <c r="C15" s="14"/>
      <c r="D15" s="14"/>
      <c r="E15" s="15"/>
      <c r="F15" s="1"/>
      <c r="G15" s="1"/>
      <c r="H15" s="1"/>
    </row>
    <row r="16" spans="1:8" ht="15.75" customHeight="1">
      <c r="A16" s="1"/>
      <c r="B16" s="16"/>
      <c r="C16" s="79" t="s">
        <v>140</v>
      </c>
      <c r="D16" s="93">
        <f>D7*D9</f>
        <v>65</v>
      </c>
      <c r="E16" s="18"/>
      <c r="F16" s="1"/>
      <c r="G16" s="1"/>
      <c r="H16" s="1"/>
    </row>
    <row r="17" spans="1:8" ht="15.75" customHeight="1">
      <c r="A17" s="1"/>
      <c r="B17" s="16"/>
      <c r="C17" s="79" t="s">
        <v>141</v>
      </c>
      <c r="D17" s="93">
        <f>(D8*D10)/(D7*2)</f>
        <v>132.30769230769232</v>
      </c>
      <c r="E17" s="18"/>
      <c r="F17" s="1"/>
      <c r="G17" s="1"/>
      <c r="H17" s="1"/>
    </row>
    <row r="18" spans="1:8" ht="15.75" customHeight="1">
      <c r="A18" s="1"/>
      <c r="B18" s="16"/>
      <c r="C18" s="79" t="s">
        <v>142</v>
      </c>
      <c r="D18" s="107">
        <f>D16+D17</f>
        <v>197.30769230769232</v>
      </c>
      <c r="E18" s="18"/>
      <c r="F18" s="1"/>
      <c r="G18" s="1"/>
      <c r="H18" s="1"/>
    </row>
    <row r="19" spans="1:8" ht="15.75" customHeight="1">
      <c r="A19" s="1"/>
      <c r="B19" s="16"/>
      <c r="C19" s="79" t="s">
        <v>132</v>
      </c>
      <c r="D19" s="93">
        <f>SQRT(2*D8*D10/D9)</f>
        <v>3709.4473981982815</v>
      </c>
      <c r="E19" s="18"/>
      <c r="F19" s="1"/>
      <c r="G19" s="1"/>
      <c r="H19" s="1"/>
    </row>
    <row r="20" spans="1:8" ht="15.75" customHeight="1">
      <c r="A20" s="1"/>
      <c r="B20" s="16"/>
      <c r="C20" s="79" t="s">
        <v>202</v>
      </c>
      <c r="D20" s="89"/>
      <c r="E20" s="18"/>
      <c r="F20" s="1"/>
      <c r="G20" s="1"/>
      <c r="H20" s="1"/>
    </row>
    <row r="21" spans="1:8" ht="15.75" customHeight="1">
      <c r="A21" s="1"/>
      <c r="B21" s="16"/>
      <c r="C21" s="79" t="s">
        <v>143</v>
      </c>
      <c r="D21" s="91">
        <f>D19/2</f>
        <v>1854.7236990991407</v>
      </c>
      <c r="E21" s="18"/>
      <c r="F21" s="1"/>
      <c r="G21" s="1"/>
      <c r="H21" s="1"/>
    </row>
    <row r="22" spans="1:8" ht="15.75" customHeight="1">
      <c r="A22" s="1"/>
      <c r="B22" s="16"/>
      <c r="C22" s="79" t="s">
        <v>144</v>
      </c>
      <c r="D22" s="89"/>
      <c r="E22" s="18"/>
      <c r="F22" s="1"/>
      <c r="G22" s="1"/>
      <c r="H22" s="1"/>
    </row>
    <row r="23" spans="1:8" ht="15.75" customHeight="1">
      <c r="A23" s="1"/>
      <c r="B23" s="16"/>
      <c r="C23" s="79" t="s">
        <v>145</v>
      </c>
      <c r="D23" s="91">
        <f>(D21*D9)+((D8*D10)/(2*D21))</f>
        <v>185.47236990991408</v>
      </c>
      <c r="E23" s="18"/>
      <c r="F23" s="1"/>
      <c r="G23" s="1"/>
      <c r="H23" s="1"/>
    </row>
    <row r="24" spans="1:8" ht="15.75" customHeight="1" thickBot="1">
      <c r="A24" s="1"/>
      <c r="B24" s="19"/>
      <c r="C24" s="20"/>
      <c r="D24" s="20"/>
      <c r="E24" s="2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50"/>
  <sheetViews>
    <sheetView workbookViewId="0"/>
  </sheetViews>
  <sheetFormatPr defaultRowHeight="12.75"/>
  <cols>
    <col min="2" max="2" width="3.140625" customWidth="1"/>
    <col min="3" max="3" width="23.42578125" customWidth="1"/>
    <col min="4" max="4" width="18.85546875" customWidth="1"/>
    <col min="5" max="5" width="3.140625" customWidth="1"/>
  </cols>
  <sheetData>
    <row r="1" spans="1:8" ht="18">
      <c r="A1" s="1"/>
      <c r="B1" s="1"/>
      <c r="C1" s="60" t="s">
        <v>204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17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4"/>
      <c r="C6" s="5"/>
      <c r="D6" s="5"/>
      <c r="E6" s="6"/>
      <c r="F6" s="1"/>
      <c r="G6" s="1"/>
      <c r="H6" s="1"/>
    </row>
    <row r="7" spans="1:8" ht="15.75" customHeight="1">
      <c r="A7" s="1"/>
      <c r="B7" s="7"/>
      <c r="C7" s="75" t="s">
        <v>131</v>
      </c>
      <c r="D7" s="85">
        <v>16000</v>
      </c>
      <c r="E7" s="9"/>
      <c r="F7" s="1"/>
      <c r="G7" s="1"/>
      <c r="H7" s="1"/>
    </row>
    <row r="8" spans="1:8" ht="15.75" customHeight="1">
      <c r="A8" s="1"/>
      <c r="B8" s="7"/>
      <c r="C8" s="75" t="s">
        <v>146</v>
      </c>
      <c r="D8" s="85">
        <v>1500</v>
      </c>
      <c r="E8" s="9"/>
      <c r="F8" s="1"/>
      <c r="G8" s="1"/>
      <c r="H8" s="1"/>
    </row>
    <row r="9" spans="1:8" ht="15.75" customHeight="1">
      <c r="A9" s="1"/>
      <c r="B9" s="7"/>
      <c r="C9" s="75" t="s">
        <v>15</v>
      </c>
      <c r="D9" s="84">
        <v>0.05</v>
      </c>
      <c r="E9" s="9"/>
      <c r="F9" s="1"/>
      <c r="G9" s="1"/>
      <c r="H9" s="1"/>
    </row>
    <row r="10" spans="1:8" ht="15.75" customHeight="1">
      <c r="A10" s="1"/>
      <c r="B10" s="7"/>
      <c r="C10" s="75" t="s">
        <v>139</v>
      </c>
      <c r="D10" s="85">
        <v>25</v>
      </c>
      <c r="E10" s="9"/>
      <c r="F10" s="1"/>
      <c r="G10" s="1"/>
      <c r="H10" s="1"/>
    </row>
    <row r="11" spans="1:8" ht="15.75" customHeight="1" thickBot="1">
      <c r="A11" s="1"/>
      <c r="B11" s="10"/>
      <c r="C11" s="11"/>
      <c r="D11" s="11"/>
      <c r="E11" s="12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2" t="s">
        <v>115</v>
      </c>
      <c r="D13" s="1"/>
      <c r="E13" s="1"/>
      <c r="F13" s="1"/>
      <c r="G13" s="1"/>
      <c r="H13" s="1"/>
    </row>
    <row r="14" spans="1:8" ht="15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3"/>
      <c r="C15" s="14"/>
      <c r="D15" s="14"/>
      <c r="E15" s="15"/>
      <c r="F15" s="1"/>
      <c r="G15" s="1"/>
      <c r="H15" s="1"/>
    </row>
    <row r="16" spans="1:8" ht="15.75" customHeight="1">
      <c r="A16" s="1"/>
      <c r="B16" s="16"/>
      <c r="C16" s="79" t="s">
        <v>147</v>
      </c>
      <c r="D16" s="93">
        <f>D8*D9/2</f>
        <v>37.5</v>
      </c>
      <c r="E16" s="18"/>
      <c r="F16" s="1"/>
      <c r="G16" s="1"/>
      <c r="H16" s="1"/>
    </row>
    <row r="17" spans="1:8" ht="15.75" customHeight="1">
      <c r="A17" s="1"/>
      <c r="B17" s="16"/>
      <c r="C17" s="79" t="s">
        <v>141</v>
      </c>
      <c r="D17" s="93">
        <f>(D7*D10)/D8</f>
        <v>266.66666666666669</v>
      </c>
      <c r="E17" s="18"/>
      <c r="F17" s="1"/>
      <c r="G17" s="1"/>
      <c r="H17" s="1"/>
    </row>
    <row r="18" spans="1:8" ht="15.75" customHeight="1">
      <c r="A18" s="1"/>
      <c r="B18" s="16"/>
      <c r="C18" s="79"/>
      <c r="D18" s="90"/>
      <c r="E18" s="18"/>
      <c r="F18" s="1"/>
      <c r="G18" s="1"/>
      <c r="H18" s="1"/>
    </row>
    <row r="19" spans="1:8" ht="15.75" customHeight="1">
      <c r="A19" s="1"/>
      <c r="B19" s="16"/>
      <c r="C19" s="79" t="s">
        <v>148</v>
      </c>
      <c r="D19" s="94" t="str">
        <f>IF(D17&gt;D16,"too little","too much")</f>
        <v>too little</v>
      </c>
      <c r="E19" s="18"/>
      <c r="F19" s="1"/>
      <c r="G19" s="1"/>
      <c r="H19" s="1"/>
    </row>
    <row r="20" spans="1:8" ht="15.75" customHeight="1">
      <c r="A20" s="1"/>
      <c r="B20" s="16"/>
      <c r="C20" s="79" t="s">
        <v>149</v>
      </c>
      <c r="D20" s="94" t="str">
        <f>IF(D17&gt;D16,"trading costs","opportunity costs")</f>
        <v>trading costs</v>
      </c>
      <c r="E20" s="18"/>
      <c r="F20" s="1"/>
      <c r="G20" s="1"/>
      <c r="H20" s="1"/>
    </row>
    <row r="21" spans="1:8" ht="15.75" customHeight="1">
      <c r="A21" s="1"/>
      <c r="B21" s="16"/>
      <c r="C21" s="79" t="s">
        <v>150</v>
      </c>
      <c r="D21" s="94" t="str">
        <f>IF(D17&gt;D16,"opportunity costs.","trading costs.")</f>
        <v>opportunity costs.</v>
      </c>
      <c r="E21" s="18"/>
      <c r="F21" s="1"/>
      <c r="G21" s="1"/>
      <c r="H21" s="1"/>
    </row>
    <row r="22" spans="1:8" ht="15.75" customHeight="1">
      <c r="A22" s="1"/>
      <c r="B22" s="16"/>
      <c r="C22" s="79"/>
      <c r="D22" s="91"/>
      <c r="E22" s="18"/>
      <c r="F22" s="1"/>
      <c r="G22" s="1"/>
      <c r="H22" s="1"/>
    </row>
    <row r="23" spans="1:8" ht="15.75" customHeight="1">
      <c r="A23" s="1"/>
      <c r="B23" s="16"/>
      <c r="C23" s="79" t="s">
        <v>132</v>
      </c>
      <c r="D23" s="93">
        <f>SQRT(2*D7*D10/D9)</f>
        <v>4000</v>
      </c>
      <c r="E23" s="18"/>
      <c r="F23" s="1"/>
      <c r="G23" s="1"/>
      <c r="H23" s="1"/>
    </row>
    <row r="24" spans="1:8" ht="15.75" customHeight="1" thickBot="1">
      <c r="A24" s="1"/>
      <c r="B24" s="19"/>
      <c r="C24" s="20"/>
      <c r="D24" s="20"/>
      <c r="E24" s="2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1"/>
  <sheetViews>
    <sheetView workbookViewId="0"/>
  </sheetViews>
  <sheetFormatPr defaultRowHeight="12.75"/>
  <cols>
    <col min="2" max="2" width="3.140625" customWidth="1"/>
    <col min="3" max="3" width="25.42578125" customWidth="1"/>
    <col min="4" max="4" width="18.140625" customWidth="1"/>
    <col min="5" max="5" width="3.140625" customWidth="1"/>
  </cols>
  <sheetData>
    <row r="1" spans="1:8" ht="18">
      <c r="A1" s="1"/>
      <c r="B1" s="1"/>
      <c r="C1" s="60" t="s">
        <v>204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26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4"/>
      <c r="C6" s="5"/>
      <c r="D6" s="5"/>
      <c r="E6" s="6"/>
      <c r="F6" s="1"/>
      <c r="G6" s="1"/>
      <c r="H6" s="1"/>
    </row>
    <row r="7" spans="1:8" ht="15.75" customHeight="1">
      <c r="A7" s="1"/>
      <c r="B7" s="7"/>
      <c r="C7" s="75" t="s">
        <v>151</v>
      </c>
      <c r="D7" s="85">
        <v>690000</v>
      </c>
      <c r="E7" s="9"/>
      <c r="F7" s="1"/>
      <c r="G7" s="1"/>
      <c r="H7" s="1"/>
    </row>
    <row r="8" spans="1:8" ht="15.75" customHeight="1">
      <c r="A8" s="1"/>
      <c r="B8" s="7"/>
      <c r="C8" s="75" t="s">
        <v>152</v>
      </c>
      <c r="D8" s="85">
        <v>140000</v>
      </c>
      <c r="E8" s="9"/>
      <c r="F8" s="1"/>
      <c r="G8" s="1"/>
      <c r="H8" s="1"/>
    </row>
    <row r="9" spans="1:8" ht="15.75" customHeight="1">
      <c r="A9" s="1"/>
      <c r="B9" s="7"/>
      <c r="C9" s="75" t="s">
        <v>153</v>
      </c>
      <c r="D9" s="85">
        <v>500</v>
      </c>
      <c r="E9" s="9"/>
      <c r="F9" s="1"/>
      <c r="G9" s="1"/>
      <c r="H9" s="1"/>
    </row>
    <row r="10" spans="1:8" ht="15.75" customHeight="1">
      <c r="A10" s="1"/>
      <c r="B10" s="7"/>
      <c r="C10" s="75" t="s">
        <v>15</v>
      </c>
      <c r="D10" s="95">
        <v>5.7000000000000002E-2</v>
      </c>
      <c r="E10" s="9"/>
      <c r="F10" s="1"/>
      <c r="G10" s="1"/>
      <c r="H10" s="1"/>
    </row>
    <row r="11" spans="1:8" ht="15.75" customHeight="1" thickBot="1">
      <c r="A11" s="1"/>
      <c r="B11" s="10"/>
      <c r="C11" s="11"/>
      <c r="D11" s="11"/>
      <c r="E11" s="12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2" t="s">
        <v>115</v>
      </c>
      <c r="D13" s="1"/>
      <c r="E13" s="1"/>
      <c r="F13" s="1"/>
      <c r="G13" s="1"/>
      <c r="H13" s="1"/>
    </row>
    <row r="14" spans="1:8" ht="15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3"/>
      <c r="C15" s="14"/>
      <c r="D15" s="14"/>
      <c r="E15" s="15"/>
      <c r="F15" s="1"/>
      <c r="G15" s="1"/>
      <c r="H15" s="1"/>
    </row>
    <row r="16" spans="1:8" ht="15.75" customHeight="1">
      <c r="A16" s="1"/>
      <c r="B16" s="16"/>
      <c r="C16" s="79" t="s">
        <v>154</v>
      </c>
      <c r="D16" s="96">
        <f>12*D8</f>
        <v>1680000</v>
      </c>
      <c r="E16" s="18"/>
      <c r="F16" s="1"/>
      <c r="G16" s="1"/>
      <c r="H16" s="1"/>
    </row>
    <row r="17" spans="1:8" ht="15.75" customHeight="1">
      <c r="A17" s="1"/>
      <c r="B17" s="16"/>
      <c r="C17" s="79" t="s">
        <v>132</v>
      </c>
      <c r="D17" s="90">
        <f>SQRT(2*D16*D9/D10)</f>
        <v>171679.01505579043</v>
      </c>
      <c r="E17" s="18"/>
      <c r="F17" s="1"/>
      <c r="G17" s="1"/>
      <c r="H17" s="1"/>
    </row>
    <row r="18" spans="1:8" ht="15.75" customHeight="1">
      <c r="A18" s="1"/>
      <c r="B18" s="16"/>
      <c r="C18" s="79" t="s">
        <v>155</v>
      </c>
      <c r="D18" s="98" t="str">
        <f>IF(D17&gt;D7,"sell","invest")</f>
        <v>invest</v>
      </c>
      <c r="E18" s="18"/>
      <c r="F18" s="1"/>
      <c r="G18" s="1"/>
      <c r="H18" s="1"/>
    </row>
    <row r="19" spans="1:8" ht="15.75" customHeight="1">
      <c r="A19" s="1"/>
      <c r="B19" s="16"/>
      <c r="C19" s="94">
        <f>ABS(D7-D17)</f>
        <v>518320.98494420957</v>
      </c>
      <c r="D19" s="97" t="s">
        <v>156</v>
      </c>
      <c r="E19" s="18"/>
      <c r="F19" s="1"/>
      <c r="G19" s="1"/>
      <c r="H19" s="1"/>
    </row>
    <row r="20" spans="1:8" ht="15.75" customHeight="1">
      <c r="A20" s="1"/>
      <c r="B20" s="16"/>
      <c r="C20" s="98" t="str">
        <f>IF(D18="invest","cash holdings in marketable securities","marketable securities")</f>
        <v>cash holdings in marketable securities</v>
      </c>
      <c r="D20" s="89"/>
      <c r="E20" s="18"/>
      <c r="F20" s="1"/>
      <c r="G20" s="1"/>
      <c r="H20" s="1"/>
    </row>
    <row r="21" spans="1:8" ht="15.75" customHeight="1">
      <c r="A21" s="1"/>
      <c r="B21" s="16"/>
      <c r="C21" s="79" t="s">
        <v>157</v>
      </c>
      <c r="D21" s="87" t="str">
        <f>IF(D18="invest","down to","up to")</f>
        <v>down to</v>
      </c>
      <c r="E21" s="18"/>
      <c r="F21" s="1"/>
      <c r="G21" s="1"/>
      <c r="H21" s="1"/>
    </row>
    <row r="22" spans="1:8" ht="15.75" customHeight="1">
      <c r="A22" s="1"/>
      <c r="B22" s="16"/>
      <c r="C22" s="79" t="s">
        <v>158</v>
      </c>
      <c r="D22" s="87"/>
      <c r="E22" s="18"/>
      <c r="F22" s="1"/>
      <c r="G22" s="1"/>
      <c r="H22" s="1"/>
    </row>
    <row r="23" spans="1:8" ht="15.75" customHeight="1">
      <c r="A23" s="1"/>
      <c r="B23" s="16"/>
      <c r="C23" s="79" t="s">
        <v>159</v>
      </c>
      <c r="D23" s="87"/>
      <c r="E23" s="18"/>
      <c r="F23" s="1"/>
      <c r="G23" s="1"/>
      <c r="H23" s="1"/>
    </row>
    <row r="24" spans="1:8" ht="15.75" customHeight="1">
      <c r="A24" s="1"/>
      <c r="B24" s="16"/>
      <c r="C24" s="108">
        <f>D16/D17</f>
        <v>9.7857038581800548</v>
      </c>
      <c r="D24" s="97" t="s">
        <v>160</v>
      </c>
      <c r="E24" s="18"/>
      <c r="F24" s="1"/>
      <c r="G24" s="1"/>
      <c r="H24" s="1"/>
    </row>
    <row r="25" spans="1:8" ht="15.75" customHeight="1" thickBot="1">
      <c r="A25" s="1"/>
      <c r="B25" s="19"/>
      <c r="C25" s="20"/>
      <c r="D25" s="20"/>
      <c r="E25" s="2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57"/>
  <sheetViews>
    <sheetView workbookViewId="0"/>
  </sheetViews>
  <sheetFormatPr defaultRowHeight="12.75"/>
  <cols>
    <col min="2" max="2" width="3.140625" customWidth="1"/>
    <col min="3" max="4" width="18.140625" customWidth="1"/>
    <col min="5" max="5" width="3.140625" customWidth="1"/>
    <col min="6" max="6" width="20.7109375" customWidth="1"/>
    <col min="7" max="7" width="21.28515625" customWidth="1"/>
    <col min="8" max="8" width="20.7109375" customWidth="1"/>
    <col min="9" max="9" width="4.140625" customWidth="1"/>
  </cols>
  <sheetData>
    <row r="1" spans="1:9" ht="18">
      <c r="A1" s="1"/>
      <c r="B1" s="1"/>
      <c r="C1" s="60" t="s">
        <v>204</v>
      </c>
      <c r="D1" s="1"/>
      <c r="E1" s="1"/>
      <c r="F1" s="1"/>
      <c r="G1" s="1"/>
      <c r="H1" s="1"/>
    </row>
    <row r="2" spans="1:9" ht="15.75" customHeight="1">
      <c r="A2" s="1"/>
      <c r="B2" s="1"/>
      <c r="C2" s="1" t="s">
        <v>48</v>
      </c>
      <c r="D2" s="1"/>
      <c r="E2" s="1"/>
      <c r="F2" s="1"/>
      <c r="G2" s="1"/>
      <c r="H2" s="1"/>
    </row>
    <row r="3" spans="1:9" ht="15.75" customHeight="1">
      <c r="A3" s="1"/>
      <c r="B3" s="1"/>
      <c r="C3" s="1"/>
      <c r="D3" s="1"/>
      <c r="E3" s="1"/>
      <c r="F3" s="1"/>
      <c r="G3" s="1"/>
      <c r="H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</row>
    <row r="6" spans="1:9" ht="15.75" customHeight="1">
      <c r="A6" s="1"/>
      <c r="B6" s="4"/>
      <c r="C6" s="5"/>
      <c r="D6" s="5"/>
      <c r="E6" s="6"/>
      <c r="F6" s="1"/>
      <c r="G6" s="1"/>
      <c r="H6" s="1"/>
    </row>
    <row r="7" spans="1:9" ht="15.75" customHeight="1">
      <c r="A7" s="1"/>
      <c r="B7" s="7"/>
      <c r="C7" s="75" t="s">
        <v>164</v>
      </c>
      <c r="D7" s="85">
        <v>43000</v>
      </c>
      <c r="E7" s="9"/>
      <c r="F7" s="1"/>
      <c r="G7" s="1"/>
      <c r="H7" s="1"/>
    </row>
    <row r="8" spans="1:9" ht="15.75" customHeight="1">
      <c r="A8" s="1"/>
      <c r="B8" s="7"/>
      <c r="C8" s="75" t="s">
        <v>185</v>
      </c>
      <c r="D8" s="85">
        <v>125000</v>
      </c>
      <c r="E8" s="9"/>
      <c r="F8" s="1"/>
      <c r="G8" s="1"/>
      <c r="H8" s="1"/>
    </row>
    <row r="9" spans="1:9" ht="15.75" customHeight="1">
      <c r="A9" s="1"/>
      <c r="B9" s="7"/>
      <c r="C9" s="75" t="s">
        <v>186</v>
      </c>
      <c r="D9" s="85">
        <v>80000</v>
      </c>
      <c r="E9" s="9"/>
      <c r="F9" s="1"/>
      <c r="G9" s="1"/>
      <c r="H9" s="1"/>
    </row>
    <row r="10" spans="1:9" ht="15.75" customHeight="1" thickBot="1">
      <c r="A10" s="1"/>
      <c r="B10" s="10"/>
      <c r="C10" s="11"/>
      <c r="D10" s="11"/>
      <c r="E10" s="12"/>
      <c r="F10" s="1"/>
      <c r="G10" s="1"/>
      <c r="H10" s="1"/>
    </row>
    <row r="11" spans="1:9" ht="15.75" customHeight="1">
      <c r="A11" s="1"/>
      <c r="B11" s="1"/>
      <c r="C11" s="1"/>
      <c r="D11" s="1"/>
      <c r="E11" s="1"/>
      <c r="F11" s="1"/>
      <c r="G11" s="1"/>
      <c r="H11" s="1"/>
    </row>
    <row r="12" spans="1:9" ht="15.75" customHeight="1">
      <c r="A12" s="1"/>
      <c r="B12" s="1"/>
      <c r="C12" s="2" t="s">
        <v>115</v>
      </c>
      <c r="D12" s="1"/>
      <c r="E12" s="1"/>
      <c r="F12" s="1"/>
      <c r="G12" s="1"/>
      <c r="H12" s="1"/>
    </row>
    <row r="13" spans="1:9" ht="15.75" customHeight="1" thickBot="1">
      <c r="A13" s="1"/>
      <c r="B13" s="1"/>
      <c r="C13" s="1"/>
      <c r="D13" s="1"/>
      <c r="E13" s="1"/>
      <c r="F13" s="1"/>
      <c r="G13" s="1"/>
      <c r="H13" s="1"/>
    </row>
    <row r="14" spans="1:9" ht="15.75" customHeight="1">
      <c r="A14" s="1"/>
      <c r="B14" s="13"/>
      <c r="C14" s="14"/>
      <c r="D14" s="14"/>
      <c r="E14" s="14"/>
      <c r="F14" s="14"/>
      <c r="G14" s="14"/>
      <c r="H14" s="14"/>
      <c r="I14" s="81"/>
    </row>
    <row r="15" spans="1:9" ht="15.75" customHeight="1">
      <c r="A15" s="1"/>
      <c r="B15" s="16"/>
      <c r="C15" s="79" t="s">
        <v>187</v>
      </c>
      <c r="D15" s="88"/>
      <c r="E15" s="17"/>
      <c r="F15" s="17"/>
      <c r="G15" s="17"/>
      <c r="H15" s="17"/>
      <c r="I15" s="82"/>
    </row>
    <row r="16" spans="1:9" ht="15.75" customHeight="1">
      <c r="A16" s="1"/>
      <c r="B16" s="16"/>
      <c r="C16" s="79" t="s">
        <v>188</v>
      </c>
      <c r="D16" s="88"/>
      <c r="E16" s="17"/>
      <c r="F16" s="17"/>
      <c r="G16" s="17"/>
      <c r="H16" s="103">
        <f>D9-D7</f>
        <v>37000</v>
      </c>
      <c r="I16" s="82"/>
    </row>
    <row r="17" spans="1:9" ht="15.75" customHeight="1">
      <c r="A17" s="1"/>
      <c r="B17" s="16"/>
      <c r="C17" s="79" t="s">
        <v>192</v>
      </c>
      <c r="D17" s="88"/>
      <c r="E17" s="17"/>
      <c r="F17" s="17"/>
      <c r="G17" s="17"/>
      <c r="H17" s="17"/>
      <c r="I17" s="82"/>
    </row>
    <row r="18" spans="1:9" ht="15.75" customHeight="1">
      <c r="A18" s="1"/>
      <c r="B18" s="16"/>
      <c r="C18" s="79" t="s">
        <v>189</v>
      </c>
      <c r="D18" s="88"/>
      <c r="E18" s="17"/>
      <c r="F18" s="17"/>
      <c r="G18" s="17"/>
      <c r="H18" s="17"/>
      <c r="I18" s="82"/>
    </row>
    <row r="19" spans="1:9" ht="15.75" customHeight="1">
      <c r="A19" s="1"/>
      <c r="B19" s="16"/>
      <c r="C19" s="103">
        <f>D8-D9</f>
        <v>45000</v>
      </c>
      <c r="D19" s="88" t="s">
        <v>190</v>
      </c>
      <c r="E19" s="17"/>
      <c r="F19" s="17"/>
      <c r="G19" s="17"/>
      <c r="H19" s="17"/>
      <c r="I19" s="82"/>
    </row>
    <row r="20" spans="1:9" ht="15.75" customHeight="1">
      <c r="A20" s="1"/>
      <c r="B20" s="16"/>
      <c r="C20" s="79" t="s">
        <v>191</v>
      </c>
      <c r="D20" s="88"/>
      <c r="E20" s="17"/>
      <c r="F20" s="103">
        <f>D9</f>
        <v>80000</v>
      </c>
      <c r="G20" s="17"/>
      <c r="H20" s="17"/>
      <c r="I20" s="82"/>
    </row>
    <row r="21" spans="1:9" ht="15.75" customHeight="1" thickBot="1">
      <c r="A21" s="1"/>
      <c r="B21" s="19"/>
      <c r="C21" s="20"/>
      <c r="D21" s="20"/>
      <c r="E21" s="20"/>
      <c r="F21" s="20"/>
      <c r="G21" s="20"/>
      <c r="H21" s="20"/>
      <c r="I21" s="83"/>
    </row>
    <row r="22" spans="1:9" ht="15.75" customHeight="1">
      <c r="A22" s="1"/>
      <c r="B22" s="1"/>
      <c r="C22" s="1"/>
      <c r="D22" s="1"/>
      <c r="E22" s="1"/>
      <c r="F22" s="1"/>
      <c r="G22" s="1"/>
      <c r="H22" s="1"/>
    </row>
    <row r="23" spans="1:9" ht="15.75" customHeight="1">
      <c r="A23" s="1"/>
      <c r="B23" s="1"/>
      <c r="C23" s="1"/>
      <c r="D23" s="1"/>
      <c r="E23" s="1"/>
      <c r="F23" s="1"/>
      <c r="G23" s="1"/>
      <c r="H23" s="1"/>
    </row>
    <row r="24" spans="1:9" ht="15.75" customHeight="1">
      <c r="A24" s="1"/>
      <c r="B24" s="1"/>
      <c r="C24" s="1"/>
      <c r="D24" s="1"/>
      <c r="E24" s="1"/>
      <c r="F24" s="1"/>
      <c r="G24" s="1"/>
      <c r="H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</row>
    <row r="27" spans="1:9" ht="15.75" customHeight="1"/>
    <row r="28" spans="1:9" ht="15.75" customHeight="1"/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5"/>
  <sheetViews>
    <sheetView workbookViewId="0"/>
  </sheetViews>
  <sheetFormatPr defaultRowHeight="12.75"/>
  <cols>
    <col min="2" max="2" width="3.140625" customWidth="1"/>
    <col min="3" max="3" width="19.7109375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0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3</v>
      </c>
      <c r="D7" s="49">
        <v>140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4</v>
      </c>
      <c r="D8" s="48">
        <v>124000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92</v>
      </c>
      <c r="D9" s="49">
        <v>4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6</v>
      </c>
      <c r="D10" s="49">
        <v>30</v>
      </c>
      <c r="E10" s="9"/>
      <c r="F10" s="1"/>
      <c r="G10" s="1"/>
      <c r="H10" s="1"/>
      <c r="I10" s="1"/>
    </row>
    <row r="11" spans="1:9" ht="15.75" customHeight="1" thickBot="1">
      <c r="A11" s="1"/>
      <c r="B11" s="10"/>
      <c r="C11" s="11"/>
      <c r="D11" s="11"/>
      <c r="E11" s="12"/>
      <c r="F11" s="1"/>
      <c r="G11" s="1"/>
      <c r="H11" s="1"/>
      <c r="I11" s="1"/>
    </row>
    <row r="12" spans="1:9" ht="15.75" customHeight="1">
      <c r="A12" s="1"/>
      <c r="B12" s="1"/>
      <c r="C12" s="1"/>
      <c r="D12" s="1"/>
      <c r="E12" s="1"/>
      <c r="F12" s="1"/>
      <c r="G12" s="1"/>
      <c r="H12" s="1"/>
      <c r="I12" s="1"/>
    </row>
    <row r="13" spans="1:9" ht="15.75" customHeight="1">
      <c r="A13" s="1"/>
      <c r="B13" s="1"/>
      <c r="C13" s="2" t="s">
        <v>2</v>
      </c>
      <c r="D13" s="1"/>
      <c r="E13" s="1"/>
      <c r="F13" s="1"/>
      <c r="G13" s="1"/>
      <c r="H13" s="1"/>
      <c r="I13" s="1"/>
    </row>
    <row r="14" spans="1:9" ht="15.75" customHeight="1" thickBot="1">
      <c r="A14" s="1"/>
      <c r="B14" s="1"/>
      <c r="C14" s="1"/>
      <c r="D14" s="1"/>
      <c r="E14" s="1"/>
      <c r="F14" s="1"/>
      <c r="G14" s="1"/>
      <c r="H14" s="1"/>
      <c r="I14" s="1"/>
    </row>
    <row r="15" spans="1:9" ht="15.75" customHeight="1">
      <c r="A15" s="1"/>
      <c r="B15" s="13"/>
      <c r="C15" s="14"/>
      <c r="D15" s="14"/>
      <c r="E15" s="15"/>
      <c r="F15" s="1"/>
      <c r="G15" s="1"/>
      <c r="H15" s="1"/>
      <c r="I15" s="1"/>
    </row>
    <row r="16" spans="1:9" ht="15.75" customHeight="1">
      <c r="A16" s="1"/>
      <c r="B16" s="16"/>
      <c r="C16" s="17" t="s">
        <v>5</v>
      </c>
      <c r="D16" s="25">
        <f>D9*(D8/D10)</f>
        <v>16533.333333333332</v>
      </c>
      <c r="E16" s="18"/>
      <c r="F16" s="1"/>
      <c r="G16" s="1"/>
      <c r="H16" s="1"/>
      <c r="I16" s="1"/>
    </row>
    <row r="17" spans="1:9" ht="15.75" customHeight="1" thickBot="1">
      <c r="A17" s="1"/>
      <c r="B17" s="19"/>
      <c r="C17" s="20"/>
      <c r="D17" s="20"/>
      <c r="E17" s="21"/>
      <c r="F17" s="1"/>
      <c r="G17" s="1"/>
      <c r="H17" s="1"/>
      <c r="I17" s="1"/>
    </row>
    <row r="18" spans="1:9" ht="15.75" customHeight="1">
      <c r="A18" s="1"/>
      <c r="B18" s="1"/>
      <c r="C18" s="1"/>
      <c r="D18" s="1"/>
      <c r="E18" s="1"/>
      <c r="F18" s="1"/>
      <c r="G18" s="1"/>
      <c r="H18" s="1"/>
      <c r="I18" s="1"/>
    </row>
    <row r="19" spans="1:9" ht="15.75" customHeight="1">
      <c r="A19" s="1"/>
      <c r="B19" s="1"/>
      <c r="C19" s="1"/>
      <c r="D19" s="1"/>
      <c r="E19" s="1"/>
      <c r="F19" s="1"/>
      <c r="G19" s="1"/>
      <c r="H19" s="1"/>
      <c r="I19" s="1"/>
    </row>
    <row r="20" spans="1:9" ht="15.75" customHeight="1">
      <c r="A20" s="1"/>
      <c r="B20" s="1"/>
      <c r="C20" s="1"/>
      <c r="D20" s="1"/>
      <c r="E20" s="1"/>
      <c r="F20" s="1"/>
      <c r="G20" s="1"/>
      <c r="H20" s="1"/>
      <c r="I20" s="1"/>
    </row>
    <row r="21" spans="1:9" ht="15.75" customHeight="1">
      <c r="A21" s="1"/>
      <c r="B21" s="1"/>
      <c r="C21" s="1"/>
      <c r="D21" s="1"/>
      <c r="E21" s="1"/>
      <c r="F21" s="1"/>
      <c r="G21" s="1"/>
      <c r="H21" s="1"/>
      <c r="I21" s="1"/>
    </row>
    <row r="22" spans="1:9" ht="15.75" customHeight="1">
      <c r="A22" s="1"/>
      <c r="B22" s="1"/>
      <c r="C22" s="1"/>
      <c r="D22" s="1"/>
      <c r="E22" s="1"/>
      <c r="F22" s="1"/>
      <c r="G22" s="1"/>
      <c r="H22" s="1"/>
      <c r="I22" s="1"/>
    </row>
    <row r="23" spans="1:9" ht="15.75" customHeight="1">
      <c r="A23" s="1"/>
      <c r="B23" s="1"/>
      <c r="C23" s="1"/>
      <c r="D23" s="1"/>
      <c r="E23" s="1"/>
      <c r="F23" s="1"/>
      <c r="G23" s="1"/>
      <c r="H23" s="1"/>
      <c r="I23" s="1"/>
    </row>
    <row r="24" spans="1:9" ht="15.75" customHeight="1">
      <c r="A24" s="1"/>
      <c r="B24" s="1"/>
      <c r="C24" s="1"/>
      <c r="D24" s="1"/>
      <c r="E24" s="1"/>
      <c r="F24" s="1"/>
      <c r="G24" s="1"/>
      <c r="H24" s="1"/>
      <c r="I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</sheetData>
  <phoneticPr fontId="1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73"/>
  <sheetViews>
    <sheetView workbookViewId="0"/>
  </sheetViews>
  <sheetFormatPr defaultRowHeight="12.75"/>
  <cols>
    <col min="2" max="2" width="3.140625" customWidth="1"/>
    <col min="3" max="3" width="29.140625" customWidth="1"/>
    <col min="4" max="4" width="18.140625" customWidth="1"/>
    <col min="5" max="5" width="3.140625" customWidth="1"/>
  </cols>
  <sheetData>
    <row r="1" spans="1:8" ht="18">
      <c r="A1" s="1"/>
      <c r="B1" s="1"/>
      <c r="C1" s="60" t="s">
        <v>204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49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4"/>
      <c r="C6" s="5"/>
      <c r="D6" s="5"/>
      <c r="E6" s="6"/>
      <c r="F6" s="1"/>
      <c r="G6" s="1"/>
      <c r="H6" s="1"/>
    </row>
    <row r="7" spans="1:8" ht="15.75" customHeight="1">
      <c r="A7" s="1"/>
      <c r="B7" s="7"/>
      <c r="C7" s="75" t="s">
        <v>165</v>
      </c>
      <c r="D7" s="85">
        <v>40</v>
      </c>
      <c r="E7" s="9"/>
      <c r="F7" s="1"/>
      <c r="G7" s="1"/>
      <c r="H7" s="1"/>
    </row>
    <row r="8" spans="1:8" ht="15.75" customHeight="1">
      <c r="A8" s="1"/>
      <c r="B8" s="7"/>
      <c r="C8" s="75" t="s">
        <v>147</v>
      </c>
      <c r="D8" s="101">
        <v>2.1000000000000001E-4</v>
      </c>
      <c r="E8" s="9"/>
      <c r="F8" s="1"/>
      <c r="G8" s="1"/>
      <c r="H8" s="1"/>
    </row>
    <row r="9" spans="1:8" ht="15.75" customHeight="1">
      <c r="A9" s="1"/>
      <c r="B9" s="7"/>
      <c r="C9" s="75" t="s">
        <v>173</v>
      </c>
      <c r="D9" s="85">
        <v>70</v>
      </c>
      <c r="E9" s="9"/>
      <c r="F9" s="1"/>
      <c r="G9" s="1"/>
      <c r="H9" s="1"/>
    </row>
    <row r="10" spans="1:8" ht="15.75" customHeight="1">
      <c r="A10" s="1"/>
      <c r="B10" s="7"/>
      <c r="C10" s="75" t="s">
        <v>164</v>
      </c>
      <c r="D10" s="85">
        <v>1500</v>
      </c>
      <c r="E10" s="9"/>
      <c r="F10" s="1"/>
      <c r="G10" s="1"/>
      <c r="H10" s="1"/>
    </row>
    <row r="11" spans="1:8" ht="15.75" customHeight="1" thickBot="1">
      <c r="A11" s="1"/>
      <c r="B11" s="10"/>
      <c r="C11" s="11"/>
      <c r="D11" s="11"/>
      <c r="E11" s="12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2" t="s">
        <v>115</v>
      </c>
      <c r="D13" s="1"/>
      <c r="E13" s="1"/>
      <c r="F13" s="1"/>
      <c r="G13" s="1"/>
      <c r="H13" s="1"/>
    </row>
    <row r="14" spans="1:8" ht="15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3"/>
      <c r="C15" s="14"/>
      <c r="D15" s="14"/>
      <c r="E15" s="15"/>
      <c r="F15" s="1"/>
      <c r="G15" s="1"/>
      <c r="H15" s="1"/>
    </row>
    <row r="16" spans="1:8" ht="15.75" customHeight="1">
      <c r="A16" s="1"/>
      <c r="B16" s="16"/>
      <c r="C16" s="79" t="s">
        <v>174</v>
      </c>
      <c r="D16" s="102">
        <f>D9*D9</f>
        <v>4900</v>
      </c>
      <c r="E16" s="18"/>
      <c r="F16" s="1"/>
      <c r="G16" s="1"/>
      <c r="H16" s="1"/>
    </row>
    <row r="17" spans="1:8" ht="15.75" customHeight="1">
      <c r="A17" s="1"/>
      <c r="B17" s="16"/>
      <c r="C17" s="79"/>
      <c r="D17" s="100"/>
      <c r="E17" s="18"/>
      <c r="F17" s="1"/>
      <c r="G17" s="1"/>
      <c r="H17" s="1"/>
    </row>
    <row r="18" spans="1:8" ht="15.75" customHeight="1">
      <c r="A18" s="1"/>
      <c r="B18" s="16"/>
      <c r="C18" s="79" t="s">
        <v>132</v>
      </c>
      <c r="D18" s="93">
        <f>D10+((0.75*D16*D7/D8)^(1/3))</f>
        <v>2387.9040017426005</v>
      </c>
      <c r="E18" s="18"/>
      <c r="F18" s="1"/>
      <c r="G18" s="1"/>
      <c r="H18" s="1"/>
    </row>
    <row r="19" spans="1:8" ht="15.75" customHeight="1">
      <c r="A19" s="1"/>
      <c r="B19" s="16"/>
      <c r="C19" s="79" t="s">
        <v>166</v>
      </c>
      <c r="D19" s="93">
        <f>(3*D18)-(2*D10)</f>
        <v>4163.7120052278015</v>
      </c>
      <c r="E19" s="18"/>
      <c r="F19" s="1"/>
      <c r="G19" s="1"/>
      <c r="H19" s="1"/>
    </row>
    <row r="20" spans="1:8" ht="15.75" customHeight="1">
      <c r="A20" s="1"/>
      <c r="B20" s="16"/>
      <c r="C20" s="79"/>
      <c r="D20" s="92"/>
      <c r="E20" s="18"/>
      <c r="F20" s="1"/>
      <c r="G20" s="1"/>
      <c r="H20" s="1"/>
    </row>
    <row r="21" spans="1:8" ht="15.75" customHeight="1">
      <c r="A21" s="1"/>
      <c r="B21" s="16"/>
      <c r="C21" s="79" t="s">
        <v>175</v>
      </c>
      <c r="D21" s="92"/>
      <c r="E21" s="18"/>
      <c r="F21" s="1"/>
      <c r="G21" s="1"/>
      <c r="H21" s="1"/>
    </row>
    <row r="22" spans="1:8" ht="15.75" customHeight="1">
      <c r="A22" s="1"/>
      <c r="B22" s="16"/>
      <c r="C22" s="103">
        <f>D10</f>
        <v>1500</v>
      </c>
      <c r="D22" s="104" t="s">
        <v>176</v>
      </c>
      <c r="E22" s="18"/>
      <c r="F22" s="1"/>
      <c r="G22" s="1"/>
      <c r="H22" s="1"/>
    </row>
    <row r="23" spans="1:8" ht="15.75" customHeight="1">
      <c r="A23" s="1"/>
      <c r="B23" s="16"/>
      <c r="C23" s="105">
        <f>D18-C22</f>
        <v>887.90400174260049</v>
      </c>
      <c r="D23" s="104" t="s">
        <v>177</v>
      </c>
      <c r="E23" s="18"/>
      <c r="F23" s="1"/>
      <c r="G23" s="1"/>
      <c r="H23" s="1"/>
    </row>
    <row r="24" spans="1:8" ht="15.75" customHeight="1">
      <c r="A24" s="1"/>
      <c r="B24" s="16"/>
      <c r="C24" s="79" t="s">
        <v>178</v>
      </c>
      <c r="D24" s="92"/>
      <c r="E24" s="18"/>
      <c r="F24" s="1"/>
      <c r="G24" s="1"/>
      <c r="H24" s="1"/>
    </row>
    <row r="25" spans="1:8" ht="15.75" customHeight="1">
      <c r="A25" s="1"/>
      <c r="B25" s="16"/>
      <c r="C25" s="79" t="s">
        <v>179</v>
      </c>
      <c r="D25" s="106"/>
      <c r="E25" s="18"/>
      <c r="F25" s="1"/>
      <c r="G25" s="1"/>
      <c r="H25" s="1"/>
    </row>
    <row r="26" spans="1:8" ht="15.75" customHeight="1">
      <c r="A26" s="1"/>
      <c r="B26" s="16"/>
      <c r="C26" s="79" t="s">
        <v>180</v>
      </c>
      <c r="D26" s="106"/>
      <c r="E26" s="18"/>
      <c r="F26" s="1"/>
      <c r="G26" s="1"/>
      <c r="H26" s="1"/>
    </row>
    <row r="27" spans="1:8" ht="15.75" customHeight="1">
      <c r="A27" s="1"/>
      <c r="B27" s="16"/>
      <c r="C27" s="79" t="s">
        <v>181</v>
      </c>
      <c r="D27" s="106"/>
      <c r="E27" s="18"/>
      <c r="F27" s="1"/>
      <c r="G27" s="1"/>
      <c r="H27" s="1"/>
    </row>
    <row r="28" spans="1:8" ht="15.75" customHeight="1">
      <c r="A28" s="1"/>
      <c r="B28" s="16"/>
      <c r="C28" s="105">
        <f>D19-D18</f>
        <v>1775.808003485201</v>
      </c>
      <c r="D28" s="104" t="s">
        <v>182</v>
      </c>
      <c r="E28" s="18"/>
      <c r="F28" s="1"/>
      <c r="G28" s="1"/>
      <c r="H28" s="1"/>
    </row>
    <row r="29" spans="1:8" ht="15.75" customHeight="1">
      <c r="A29" s="1"/>
      <c r="B29" s="16"/>
      <c r="C29" s="79" t="s">
        <v>183</v>
      </c>
      <c r="D29" s="106"/>
      <c r="E29" s="18"/>
      <c r="F29" s="1"/>
      <c r="G29" s="1"/>
      <c r="H29" s="1"/>
    </row>
    <row r="30" spans="1:8" ht="15.75" customHeight="1">
      <c r="A30" s="1"/>
      <c r="B30" s="16"/>
      <c r="C30" s="79" t="s">
        <v>184</v>
      </c>
      <c r="D30" s="106"/>
      <c r="E30" s="18"/>
      <c r="F30" s="1"/>
      <c r="G30" s="1"/>
      <c r="H30" s="1"/>
    </row>
    <row r="31" spans="1:8" ht="15.75" customHeight="1">
      <c r="A31" s="1"/>
      <c r="B31" s="16"/>
      <c r="C31" s="105">
        <f>D18</f>
        <v>2387.9040017426005</v>
      </c>
      <c r="D31" s="106"/>
      <c r="E31" s="18"/>
      <c r="F31" s="1"/>
      <c r="G31" s="1"/>
      <c r="H31" s="1"/>
    </row>
    <row r="32" spans="1:8" ht="15.75" customHeight="1" thickBot="1">
      <c r="A32" s="1"/>
      <c r="B32" s="19"/>
      <c r="C32" s="20"/>
      <c r="D32" s="20"/>
      <c r="E32" s="2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/>
    <row r="39" spans="1:8" ht="15.75" customHeight="1"/>
    <row r="40" spans="1:8" ht="15.75" customHeight="1"/>
    <row r="41" spans="1:8" ht="15.75" customHeight="1"/>
    <row r="42" spans="1:8" ht="15.75" customHeight="1"/>
    <row r="43" spans="1:8" ht="15.75" customHeight="1"/>
    <row r="44" spans="1:8" ht="15.75" customHeight="1"/>
    <row r="45" spans="1:8" ht="15.75" customHeight="1"/>
    <row r="46" spans="1:8" ht="15.75" customHeight="1"/>
    <row r="47" spans="1:8" ht="15.75" customHeight="1"/>
    <row r="48" spans="1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38"/>
  <sheetViews>
    <sheetView workbookViewId="0"/>
  </sheetViews>
  <sheetFormatPr defaultRowHeight="12.75"/>
  <cols>
    <col min="2" max="2" width="3.140625" customWidth="1"/>
    <col min="3" max="3" width="16.7109375" customWidth="1"/>
    <col min="4" max="7" width="20.7109375" customWidth="1"/>
    <col min="8" max="8" width="4.42578125" customWidth="1"/>
  </cols>
  <sheetData>
    <row r="1" spans="1:8" ht="18">
      <c r="A1" s="1"/>
      <c r="B1" s="1"/>
      <c r="C1" s="60" t="s">
        <v>204</v>
      </c>
      <c r="D1" s="1"/>
      <c r="E1" s="1"/>
      <c r="F1" s="1"/>
      <c r="G1" s="1"/>
    </row>
    <row r="2" spans="1:8" ht="15.75" customHeight="1">
      <c r="A2" s="1"/>
      <c r="B2" s="1"/>
      <c r="C2" s="1" t="s">
        <v>56</v>
      </c>
      <c r="D2" s="1"/>
      <c r="E2" s="1"/>
      <c r="F2" s="1"/>
      <c r="G2" s="1"/>
    </row>
    <row r="3" spans="1:8" ht="15.75" customHeight="1">
      <c r="A3" s="1"/>
      <c r="B3" s="1"/>
      <c r="C3" s="1"/>
      <c r="D3" s="1"/>
      <c r="E3" s="1"/>
      <c r="F3" s="1"/>
      <c r="G3" s="1"/>
    </row>
    <row r="4" spans="1:8" ht="15.75" customHeight="1">
      <c r="A4" s="1"/>
      <c r="B4" s="1"/>
      <c r="C4" s="2" t="s">
        <v>115</v>
      </c>
      <c r="D4" s="1"/>
      <c r="E4" s="1"/>
      <c r="F4" s="1"/>
      <c r="G4" s="1"/>
    </row>
    <row r="5" spans="1:8" ht="15.75" customHeight="1" thickBot="1">
      <c r="A5" s="1"/>
      <c r="B5" s="1"/>
      <c r="C5" s="1"/>
      <c r="D5" s="1"/>
      <c r="E5" s="1"/>
      <c r="F5" s="1"/>
      <c r="G5" s="1"/>
    </row>
    <row r="6" spans="1:8" ht="15.75" customHeight="1">
      <c r="A6" s="1"/>
      <c r="B6" s="13"/>
      <c r="C6" s="14"/>
      <c r="D6" s="14"/>
      <c r="E6" s="14"/>
      <c r="F6" s="14"/>
      <c r="G6" s="14"/>
      <c r="H6" s="81"/>
    </row>
    <row r="7" spans="1:8" ht="15.75" customHeight="1">
      <c r="A7" s="1"/>
      <c r="B7" s="78"/>
      <c r="C7" s="79" t="s">
        <v>171</v>
      </c>
      <c r="D7" s="80"/>
      <c r="E7" s="17"/>
      <c r="F7" s="17"/>
      <c r="G7" s="17"/>
      <c r="H7" s="82"/>
    </row>
    <row r="8" spans="1:8" ht="15.75" customHeight="1">
      <c r="A8" s="1"/>
      <c r="B8" s="78"/>
      <c r="C8" s="79" t="s">
        <v>167</v>
      </c>
      <c r="D8" s="80"/>
      <c r="E8" s="17"/>
      <c r="F8" s="17"/>
      <c r="G8" s="17"/>
      <c r="H8" s="82"/>
    </row>
    <row r="9" spans="1:8" ht="15.75" customHeight="1">
      <c r="A9" s="1"/>
      <c r="B9" s="78"/>
      <c r="C9" s="79" t="s">
        <v>168</v>
      </c>
      <c r="D9" s="80"/>
      <c r="E9" s="17"/>
      <c r="F9" s="17"/>
      <c r="G9" s="17"/>
      <c r="H9" s="82"/>
    </row>
    <row r="10" spans="1:8" ht="15.75" customHeight="1">
      <c r="A10" s="1"/>
      <c r="B10" s="78"/>
      <c r="C10" s="79" t="s">
        <v>172</v>
      </c>
      <c r="D10" s="80"/>
      <c r="E10" s="17"/>
      <c r="F10" s="17"/>
      <c r="G10" s="17"/>
      <c r="H10" s="82"/>
    </row>
    <row r="11" spans="1:8" ht="15.75" customHeight="1">
      <c r="A11" s="1"/>
      <c r="B11" s="78"/>
      <c r="C11" s="79" t="s">
        <v>169</v>
      </c>
      <c r="D11" s="80"/>
      <c r="E11" s="17"/>
      <c r="F11" s="17"/>
      <c r="G11" s="17"/>
      <c r="H11" s="82"/>
    </row>
    <row r="12" spans="1:8" ht="15.75" customHeight="1">
      <c r="A12" s="1"/>
      <c r="B12" s="78"/>
      <c r="C12" s="79" t="s">
        <v>170</v>
      </c>
      <c r="D12" s="80"/>
      <c r="E12" s="17"/>
      <c r="F12" s="17"/>
      <c r="G12" s="17"/>
      <c r="H12" s="82"/>
    </row>
    <row r="13" spans="1:8" ht="15.75" customHeight="1" thickBot="1">
      <c r="A13" s="1"/>
      <c r="B13" s="19"/>
      <c r="C13" s="20"/>
      <c r="D13" s="20"/>
      <c r="E13" s="20"/>
      <c r="F13" s="20"/>
      <c r="G13" s="20"/>
      <c r="H13" s="83"/>
    </row>
    <row r="14" spans="1:8" ht="15.75" customHeight="1">
      <c r="A14" s="1"/>
      <c r="B14" s="1"/>
      <c r="C14" s="1"/>
      <c r="D14" s="1"/>
      <c r="E14" s="1"/>
      <c r="F14" s="1"/>
      <c r="G14" s="1"/>
    </row>
    <row r="15" spans="1:8" ht="15.75" customHeight="1">
      <c r="A15" s="1"/>
      <c r="B15" s="1"/>
      <c r="C15" s="1"/>
      <c r="D15" s="1"/>
      <c r="E15" s="1"/>
      <c r="F15" s="1"/>
      <c r="G15" s="1"/>
    </row>
    <row r="16" spans="1:8" ht="15.75" customHeight="1">
      <c r="A16" s="1"/>
      <c r="B16" s="1"/>
      <c r="C16" s="1"/>
      <c r="D16" s="1"/>
      <c r="E16" s="1"/>
      <c r="F16" s="1"/>
      <c r="G16" s="1"/>
    </row>
    <row r="17" spans="1:7" ht="15.75" customHeight="1">
      <c r="A17" s="1"/>
      <c r="B17" s="1"/>
      <c r="C17" s="1"/>
      <c r="D17" s="1"/>
      <c r="E17" s="1"/>
      <c r="F17" s="1"/>
      <c r="G17" s="1"/>
    </row>
    <row r="18" spans="1:7" ht="15.75" customHeight="1">
      <c r="A18" s="1"/>
      <c r="B18" s="1"/>
      <c r="C18" s="1"/>
      <c r="D18" s="1"/>
      <c r="E18" s="1"/>
      <c r="F18" s="1"/>
      <c r="G18" s="1"/>
    </row>
    <row r="19" spans="1:7" ht="15.75" customHeight="1"/>
    <row r="20" spans="1:7" ht="15.75" customHeight="1"/>
    <row r="21" spans="1:7" ht="15.75" customHeight="1"/>
    <row r="22" spans="1:7" ht="15.75" customHeight="1"/>
    <row r="23" spans="1:7" ht="15.75" customHeight="1"/>
    <row r="24" spans="1:7" ht="15.75" customHeight="1"/>
    <row r="25" spans="1:7" ht="15.75" customHeight="1"/>
    <row r="26" spans="1:7" ht="15.75" customHeight="1"/>
    <row r="27" spans="1:7" ht="15.75" customHeight="1"/>
    <row r="28" spans="1:7" ht="15.75" customHeight="1"/>
    <row r="29" spans="1:7" ht="15.75" customHeight="1"/>
    <row r="30" spans="1:7" ht="15.75" customHeight="1"/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61"/>
  <sheetViews>
    <sheetView workbookViewId="0"/>
  </sheetViews>
  <sheetFormatPr defaultRowHeight="12.75"/>
  <cols>
    <col min="2" max="2" width="3.140625" customWidth="1"/>
    <col min="3" max="3" width="24" bestFit="1" customWidth="1"/>
    <col min="4" max="4" width="18.140625" customWidth="1"/>
    <col min="5" max="5" width="3.140625" customWidth="1"/>
  </cols>
  <sheetData>
    <row r="1" spans="1:8" ht="18">
      <c r="A1" s="1"/>
      <c r="B1" s="1"/>
      <c r="C1" s="60" t="s">
        <v>204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63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4"/>
      <c r="C6" s="5"/>
      <c r="D6" s="5"/>
      <c r="E6" s="6"/>
      <c r="F6" s="1"/>
      <c r="G6" s="1"/>
      <c r="H6" s="1"/>
    </row>
    <row r="7" spans="1:8" ht="15.75" customHeight="1">
      <c r="A7" s="1"/>
      <c r="B7" s="7"/>
      <c r="C7" s="75" t="s">
        <v>174</v>
      </c>
      <c r="D7" s="85">
        <v>890000</v>
      </c>
      <c r="E7" s="9"/>
      <c r="F7" s="1"/>
      <c r="G7" s="1"/>
      <c r="H7" s="1"/>
    </row>
    <row r="8" spans="1:8" ht="15.75" customHeight="1">
      <c r="A8" s="1"/>
      <c r="B8" s="7"/>
      <c r="C8" s="75" t="s">
        <v>147</v>
      </c>
      <c r="D8" s="84">
        <v>7.0000000000000007E-2</v>
      </c>
      <c r="E8" s="9"/>
      <c r="F8" s="1"/>
      <c r="G8" s="1"/>
      <c r="H8" s="1"/>
    </row>
    <row r="9" spans="1:8" ht="15.75" customHeight="1">
      <c r="A9" s="1"/>
      <c r="B9" s="7"/>
      <c r="C9" s="75" t="s">
        <v>164</v>
      </c>
      <c r="D9" s="85">
        <v>160000</v>
      </c>
      <c r="E9" s="9"/>
      <c r="F9" s="1"/>
      <c r="G9" s="1"/>
      <c r="H9" s="1"/>
    </row>
    <row r="10" spans="1:8" ht="15.75" customHeight="1">
      <c r="A10" s="1"/>
      <c r="B10" s="7"/>
      <c r="C10" s="75" t="s">
        <v>165</v>
      </c>
      <c r="D10" s="85">
        <v>300</v>
      </c>
      <c r="E10" s="9"/>
      <c r="F10" s="1"/>
      <c r="G10" s="1"/>
      <c r="H10" s="1"/>
    </row>
    <row r="11" spans="1:8" ht="15.75" customHeight="1" thickBot="1">
      <c r="A11" s="1"/>
      <c r="B11" s="10"/>
      <c r="C11" s="11"/>
      <c r="D11" s="11"/>
      <c r="E11" s="12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2" t="s">
        <v>115</v>
      </c>
      <c r="D13" s="1"/>
      <c r="E13" s="1"/>
      <c r="F13" s="1"/>
      <c r="G13" s="1"/>
      <c r="H13" s="1"/>
    </row>
    <row r="14" spans="1:8" ht="15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3"/>
      <c r="C15" s="14"/>
      <c r="D15" s="14"/>
      <c r="E15" s="15"/>
      <c r="F15" s="1"/>
      <c r="G15" s="1"/>
      <c r="H15" s="1"/>
    </row>
    <row r="16" spans="1:8" ht="15.75" customHeight="1">
      <c r="A16" s="1"/>
      <c r="B16" s="16"/>
      <c r="C16" s="79" t="s">
        <v>79</v>
      </c>
      <c r="D16" s="100">
        <f>((1+D8)^(1/365))-1</f>
        <v>1.8538334157058856E-4</v>
      </c>
      <c r="E16" s="18"/>
      <c r="F16" s="1"/>
      <c r="G16" s="1"/>
      <c r="H16" s="1"/>
    </row>
    <row r="17" spans="1:8" ht="15.75" customHeight="1">
      <c r="A17" s="1"/>
      <c r="B17" s="16"/>
      <c r="C17" s="79"/>
      <c r="D17" s="100"/>
      <c r="E17" s="18"/>
      <c r="F17" s="1"/>
      <c r="G17" s="1"/>
      <c r="H17" s="1"/>
    </row>
    <row r="18" spans="1:8" ht="15.75" customHeight="1">
      <c r="A18" s="1"/>
      <c r="B18" s="16"/>
      <c r="C18" s="79" t="s">
        <v>132</v>
      </c>
      <c r="D18" s="93">
        <f>D9+((0.75*D7*D10/D16)^(1/3))</f>
        <v>170260.47042459942</v>
      </c>
      <c r="E18" s="18"/>
      <c r="F18" s="1"/>
      <c r="G18" s="1"/>
      <c r="H18" s="1"/>
    </row>
    <row r="19" spans="1:8" ht="15.75" customHeight="1">
      <c r="A19" s="1"/>
      <c r="B19" s="16"/>
      <c r="C19" s="79" t="s">
        <v>166</v>
      </c>
      <c r="D19" s="93">
        <f>(3*D18)-(2*D9)</f>
        <v>190781.41127379827</v>
      </c>
      <c r="E19" s="18"/>
      <c r="F19" s="1"/>
      <c r="G19" s="1"/>
      <c r="H19" s="1"/>
    </row>
    <row r="20" spans="1:8" ht="15.75" customHeight="1" thickBot="1">
      <c r="A20" s="1"/>
      <c r="B20" s="19"/>
      <c r="C20" s="20"/>
      <c r="D20" s="20"/>
      <c r="E20" s="2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/>
    <row r="27" spans="1:8" ht="15.75" customHeight="1"/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57"/>
  <sheetViews>
    <sheetView workbookViewId="0"/>
  </sheetViews>
  <sheetFormatPr defaultRowHeight="12.75"/>
  <cols>
    <col min="2" max="2" width="3.140625" customWidth="1"/>
    <col min="3" max="3" width="21.85546875" bestFit="1" customWidth="1"/>
    <col min="4" max="4" width="18.140625" customWidth="1"/>
    <col min="5" max="5" width="3.140625" customWidth="1"/>
  </cols>
  <sheetData>
    <row r="1" spans="1:8" ht="18">
      <c r="A1" s="1"/>
      <c r="B1" s="1"/>
      <c r="C1" s="60" t="s">
        <v>204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69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4"/>
      <c r="C6" s="5"/>
      <c r="D6" s="5"/>
      <c r="E6" s="6"/>
      <c r="F6" s="1"/>
      <c r="G6" s="1"/>
      <c r="H6" s="1"/>
    </row>
    <row r="7" spans="1:8" ht="15.75" customHeight="1">
      <c r="A7" s="1"/>
      <c r="B7" s="7"/>
      <c r="C7" s="75" t="s">
        <v>161</v>
      </c>
      <c r="D7" s="85">
        <v>2700</v>
      </c>
      <c r="E7" s="9"/>
      <c r="F7" s="1"/>
      <c r="G7" s="1"/>
      <c r="H7" s="1"/>
    </row>
    <row r="8" spans="1:8" ht="15.75" customHeight="1">
      <c r="A8" s="1"/>
      <c r="B8" s="7"/>
      <c r="C8" s="75" t="s">
        <v>162</v>
      </c>
      <c r="D8" s="85">
        <v>28000</v>
      </c>
      <c r="E8" s="9"/>
      <c r="F8" s="1"/>
      <c r="G8" s="1"/>
      <c r="H8" s="1"/>
    </row>
    <row r="9" spans="1:8" ht="15.75" customHeight="1">
      <c r="A9" s="1"/>
      <c r="B9" s="7"/>
      <c r="C9" s="75" t="s">
        <v>163</v>
      </c>
      <c r="D9" s="85">
        <v>10</v>
      </c>
      <c r="E9" s="9"/>
      <c r="F9" s="1"/>
      <c r="G9" s="1"/>
      <c r="H9" s="1"/>
    </row>
    <row r="10" spans="1:8" ht="15.75" customHeight="1" thickBot="1">
      <c r="A10" s="1"/>
      <c r="B10" s="10"/>
      <c r="C10" s="11"/>
      <c r="D10" s="11"/>
      <c r="E10" s="12"/>
      <c r="F10" s="1"/>
      <c r="G10" s="1"/>
      <c r="H10" s="1"/>
    </row>
    <row r="11" spans="1:8" ht="15.75" customHeight="1">
      <c r="A11" s="1"/>
      <c r="B11" s="1"/>
      <c r="C11" s="1"/>
      <c r="D11" s="1"/>
      <c r="E11" s="1"/>
      <c r="F11" s="1"/>
      <c r="G11" s="1"/>
      <c r="H11" s="1"/>
    </row>
    <row r="12" spans="1:8" ht="15.75" customHeight="1">
      <c r="A12" s="1"/>
      <c r="B12" s="1"/>
      <c r="C12" s="2" t="s">
        <v>115</v>
      </c>
      <c r="D12" s="1"/>
      <c r="E12" s="1"/>
      <c r="F12" s="1"/>
      <c r="G12" s="1"/>
      <c r="H12" s="1"/>
    </row>
    <row r="13" spans="1:8" ht="15.75" customHeight="1" thickBot="1">
      <c r="A13" s="1"/>
      <c r="B13" s="1"/>
      <c r="C13" s="1"/>
      <c r="D13" s="1"/>
      <c r="E13" s="1"/>
      <c r="F13" s="1"/>
      <c r="G13" s="1"/>
      <c r="H13" s="1"/>
    </row>
    <row r="14" spans="1:8" ht="15.75" customHeight="1">
      <c r="A14" s="1"/>
      <c r="B14" s="13"/>
      <c r="C14" s="14"/>
      <c r="D14" s="14"/>
      <c r="E14" s="15"/>
      <c r="F14" s="1"/>
      <c r="G14" s="1"/>
      <c r="H14" s="1"/>
    </row>
    <row r="15" spans="1:8" ht="15.75" customHeight="1">
      <c r="A15" s="1"/>
      <c r="B15" s="16"/>
      <c r="C15" s="79" t="s">
        <v>15</v>
      </c>
      <c r="D15" s="99">
        <f>(2*D8*D9)/(D7^2)</f>
        <v>7.6817558299039787E-2</v>
      </c>
      <c r="E15" s="18"/>
      <c r="F15" s="1"/>
      <c r="G15" s="1"/>
      <c r="H15" s="1"/>
    </row>
    <row r="16" spans="1:8" ht="15.75" customHeight="1" thickBot="1">
      <c r="A16" s="1"/>
      <c r="B16" s="19"/>
      <c r="C16" s="20"/>
      <c r="D16" s="20"/>
      <c r="E16" s="21"/>
      <c r="F16" s="1"/>
      <c r="G16" s="1"/>
      <c r="H16" s="1"/>
    </row>
    <row r="17" spans="1:8" ht="15.75" customHeight="1">
      <c r="A17" s="1"/>
      <c r="B17" s="1"/>
      <c r="C17" s="1"/>
      <c r="D17" s="1"/>
      <c r="E17" s="1"/>
      <c r="F17" s="1"/>
      <c r="G17" s="1"/>
      <c r="H17" s="1"/>
    </row>
    <row r="18" spans="1:8" ht="15.75" customHeight="1">
      <c r="A18" s="1"/>
      <c r="B18" s="1"/>
      <c r="C18" s="1"/>
      <c r="D18" s="1"/>
      <c r="E18" s="1"/>
      <c r="F18" s="1"/>
      <c r="G18" s="1"/>
      <c r="H18" s="1"/>
    </row>
    <row r="19" spans="1:8" ht="15.75" customHeight="1">
      <c r="A19" s="1"/>
      <c r="B19" s="1"/>
      <c r="C19" s="1"/>
      <c r="D19" s="1"/>
      <c r="E19" s="1"/>
      <c r="F19" s="1"/>
      <c r="G19" s="1"/>
      <c r="H19" s="1"/>
    </row>
    <row r="20" spans="1:8" ht="15.75" customHeigh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/>
    <row r="23" spans="1:8" ht="15.75" customHeight="1"/>
    <row r="24" spans="1:8" ht="15.75" customHeight="1"/>
    <row r="25" spans="1:8" ht="15.75" customHeight="1"/>
    <row r="26" spans="1:8" ht="15.75" customHeight="1"/>
    <row r="27" spans="1:8" ht="15.75" customHeight="1"/>
    <row r="28" spans="1:8" ht="15.75" customHeight="1"/>
    <row r="29" spans="1:8" ht="15.75" customHeight="1"/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2"/>
  <sheetViews>
    <sheetView workbookViewId="0"/>
  </sheetViews>
  <sheetFormatPr defaultRowHeight="12.75"/>
  <cols>
    <col min="2" max="2" width="3.140625" customWidth="1"/>
    <col min="3" max="3" width="19.7109375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7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3"/>
      <c r="C5" s="3"/>
      <c r="D5" s="3"/>
      <c r="E5" s="3"/>
      <c r="F5" s="1"/>
      <c r="G5" s="1"/>
      <c r="H5" s="1"/>
      <c r="I5" s="1"/>
    </row>
    <row r="6" spans="1:9" ht="15">
      <c r="A6" s="1"/>
      <c r="B6" s="4"/>
      <c r="C6" s="5"/>
      <c r="D6" s="5"/>
      <c r="E6" s="6"/>
      <c r="F6" s="1"/>
      <c r="G6" s="1"/>
      <c r="H6" s="1"/>
      <c r="I6" s="1"/>
    </row>
    <row r="7" spans="1:9" ht="15">
      <c r="A7" s="1"/>
      <c r="B7" s="7"/>
      <c r="C7" s="8" t="s">
        <v>4</v>
      </c>
      <c r="D7" s="48">
        <v>17000</v>
      </c>
      <c r="E7" s="9"/>
      <c r="F7" s="1"/>
      <c r="G7" s="1"/>
      <c r="H7" s="1"/>
      <c r="I7" s="1"/>
    </row>
    <row r="8" spans="1:9" ht="15">
      <c r="A8" s="1"/>
      <c r="B8" s="7"/>
      <c r="C8" s="8" t="s">
        <v>8</v>
      </c>
      <c r="D8" s="49">
        <v>4</v>
      </c>
      <c r="E8" s="9"/>
      <c r="F8" s="1"/>
      <c r="G8" s="1"/>
      <c r="H8" s="1"/>
      <c r="I8" s="1"/>
    </row>
    <row r="9" spans="1:9" ht="15">
      <c r="A9" s="1"/>
      <c r="B9" s="7"/>
      <c r="C9" s="8" t="s">
        <v>9</v>
      </c>
      <c r="D9" s="48">
        <v>28500</v>
      </c>
      <c r="E9" s="9"/>
      <c r="F9" s="1"/>
      <c r="G9" s="1"/>
      <c r="H9" s="1"/>
      <c r="I9" s="1"/>
    </row>
    <row r="10" spans="1:9" ht="15">
      <c r="A10" s="1"/>
      <c r="B10" s="7"/>
      <c r="C10" s="8" t="s">
        <v>8</v>
      </c>
      <c r="D10" s="49">
        <v>2</v>
      </c>
      <c r="E10" s="9"/>
      <c r="F10" s="1"/>
      <c r="G10" s="1"/>
      <c r="H10" s="1"/>
      <c r="I10" s="1"/>
    </row>
    <row r="11" spans="1:9" ht="15">
      <c r="A11" s="1"/>
      <c r="B11" s="53" t="s">
        <v>95</v>
      </c>
      <c r="C11" s="8" t="s">
        <v>93</v>
      </c>
      <c r="D11" s="49">
        <v>1</v>
      </c>
      <c r="E11" s="9"/>
      <c r="F11" s="1"/>
      <c r="G11" s="1"/>
      <c r="H11" s="1"/>
      <c r="I11" s="1"/>
    </row>
    <row r="12" spans="1:9" ht="15.75" thickBot="1">
      <c r="A12" s="1"/>
      <c r="B12" s="10"/>
      <c r="C12" s="11"/>
      <c r="D12" s="11"/>
      <c r="E12" s="12"/>
      <c r="F12" s="1"/>
      <c r="G12" s="1"/>
      <c r="H12" s="1"/>
      <c r="I12" s="1"/>
    </row>
    <row r="13" spans="1:9" ht="15">
      <c r="A13" s="1"/>
      <c r="B13" s="1"/>
      <c r="C13" s="1"/>
      <c r="D13" s="1"/>
      <c r="E13" s="1"/>
      <c r="F13" s="1"/>
      <c r="G13" s="1"/>
      <c r="H13" s="1"/>
      <c r="I13" s="1"/>
    </row>
    <row r="14" spans="1:9" ht="15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">
      <c r="A16" s="1"/>
      <c r="B16" s="13"/>
      <c r="C16" s="14"/>
      <c r="D16" s="14"/>
      <c r="E16" s="15"/>
      <c r="F16" s="1"/>
      <c r="G16" s="1"/>
      <c r="H16" s="1"/>
      <c r="I16" s="1"/>
    </row>
    <row r="17" spans="1:9" ht="15.75">
      <c r="A17" s="1"/>
      <c r="B17" s="50" t="s">
        <v>94</v>
      </c>
      <c r="C17" s="17" t="s">
        <v>10</v>
      </c>
      <c r="D17" s="24">
        <f>D8*D7</f>
        <v>68000</v>
      </c>
      <c r="E17" s="18"/>
      <c r="F17" s="1"/>
      <c r="G17" s="1"/>
      <c r="H17" s="1"/>
      <c r="I17" s="1"/>
    </row>
    <row r="18" spans="1:9" ht="15.75">
      <c r="A18" s="1"/>
      <c r="B18" s="50"/>
      <c r="C18" s="17" t="s">
        <v>11</v>
      </c>
      <c r="D18" s="51">
        <f>-D10*D9</f>
        <v>-57000</v>
      </c>
      <c r="E18" s="18"/>
      <c r="F18" s="1"/>
      <c r="G18" s="1"/>
      <c r="H18" s="1"/>
      <c r="I18" s="1"/>
    </row>
    <row r="19" spans="1:9" ht="15.75">
      <c r="A19" s="1"/>
      <c r="B19" s="50"/>
      <c r="C19" s="17" t="s">
        <v>12</v>
      </c>
      <c r="D19" s="24">
        <f>D17+D18</f>
        <v>11000</v>
      </c>
      <c r="E19" s="18"/>
      <c r="F19" s="1"/>
      <c r="G19" s="1"/>
      <c r="H19" s="1"/>
      <c r="I19" s="1"/>
    </row>
    <row r="20" spans="1:9" ht="15">
      <c r="A20" s="1"/>
      <c r="B20" s="50"/>
      <c r="C20" s="17"/>
      <c r="D20" s="23"/>
      <c r="E20" s="18"/>
      <c r="F20" s="1"/>
      <c r="G20" s="1"/>
      <c r="H20" s="1"/>
      <c r="I20" s="1"/>
    </row>
    <row r="21" spans="1:9" ht="15.75">
      <c r="A21" s="1"/>
      <c r="B21" s="50" t="s">
        <v>95</v>
      </c>
      <c r="C21" s="17" t="s">
        <v>10</v>
      </c>
      <c r="D21" s="52">
        <f>D7*D8</f>
        <v>68000</v>
      </c>
      <c r="E21" s="18"/>
      <c r="F21" s="1"/>
      <c r="G21" s="1"/>
      <c r="H21" s="1"/>
      <c r="I21" s="1"/>
    </row>
    <row r="22" spans="1:9" ht="15.75">
      <c r="A22" s="1"/>
      <c r="B22" s="50"/>
      <c r="C22" s="17" t="s">
        <v>11</v>
      </c>
      <c r="D22" s="52">
        <f>-D11*D9</f>
        <v>-28500</v>
      </c>
      <c r="E22" s="18"/>
      <c r="F22" s="1"/>
      <c r="G22" s="1"/>
      <c r="H22" s="1"/>
      <c r="I22" s="1"/>
    </row>
    <row r="23" spans="1:9" ht="15.75">
      <c r="A23" s="1"/>
      <c r="B23" s="50"/>
      <c r="C23" s="17" t="s">
        <v>12</v>
      </c>
      <c r="D23" s="24">
        <f>D17+D22</f>
        <v>39500</v>
      </c>
      <c r="E23" s="18"/>
      <c r="F23" s="1"/>
      <c r="G23" s="1"/>
      <c r="H23" s="1"/>
      <c r="I23" s="1"/>
    </row>
    <row r="24" spans="1:9" ht="15.75" thickBot="1">
      <c r="A24" s="1"/>
      <c r="B24" s="19"/>
      <c r="C24" s="20"/>
      <c r="D24" s="20"/>
      <c r="E24" s="21"/>
      <c r="F24" s="1"/>
      <c r="G24" s="1"/>
      <c r="H24" s="1"/>
      <c r="I24" s="1"/>
    </row>
    <row r="25" spans="1:9" ht="15">
      <c r="A25" s="1"/>
      <c r="B25" s="1"/>
      <c r="C25" s="1"/>
      <c r="D25" s="1"/>
      <c r="E25" s="1"/>
      <c r="F25" s="1"/>
      <c r="G25" s="1"/>
      <c r="H25" s="1"/>
      <c r="I25" s="1"/>
    </row>
    <row r="26" spans="1:9" ht="15">
      <c r="A26" s="1"/>
      <c r="B26" s="1"/>
      <c r="C26" s="1"/>
      <c r="D26" s="1"/>
      <c r="E26" s="1"/>
      <c r="F26" s="1"/>
      <c r="G26" s="1"/>
      <c r="H26" s="1"/>
      <c r="I26" s="1"/>
    </row>
    <row r="27" spans="1:9" ht="15">
      <c r="A27" s="1"/>
      <c r="B27" s="1"/>
      <c r="C27" s="1"/>
      <c r="D27" s="1"/>
      <c r="E27" s="1"/>
      <c r="F27" s="1"/>
      <c r="G27" s="1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81"/>
  <sheetViews>
    <sheetView workbookViewId="0"/>
  </sheetViews>
  <sheetFormatPr defaultRowHeight="12.75"/>
  <cols>
    <col min="2" max="2" width="3.140625" customWidth="1"/>
    <col min="3" max="3" width="25" bestFit="1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13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14</v>
      </c>
      <c r="D7" s="48">
        <v>16000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8</v>
      </c>
      <c r="D8" s="49">
        <v>3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15</v>
      </c>
      <c r="D9" s="54">
        <v>1.8000000000000001E-4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6</v>
      </c>
      <c r="D10" s="49">
        <v>30</v>
      </c>
      <c r="E10" s="9"/>
      <c r="F10" s="1"/>
      <c r="G10" s="1"/>
      <c r="H10" s="1"/>
      <c r="I10" s="1"/>
    </row>
    <row r="11" spans="1:9" ht="15.75" customHeight="1" thickBot="1">
      <c r="A11" s="1"/>
      <c r="B11" s="10"/>
      <c r="C11" s="11"/>
      <c r="D11" s="11"/>
      <c r="E11" s="12"/>
      <c r="F11" s="1"/>
      <c r="G11" s="1"/>
      <c r="H11" s="1"/>
      <c r="I11" s="1"/>
    </row>
    <row r="12" spans="1:9" ht="15.75" customHeight="1">
      <c r="A12" s="1"/>
      <c r="B12" s="1"/>
      <c r="C12" s="1"/>
      <c r="D12" s="1"/>
      <c r="E12" s="1"/>
      <c r="F12" s="1"/>
      <c r="G12" s="1"/>
      <c r="H12" s="1"/>
      <c r="I12" s="1"/>
    </row>
    <row r="13" spans="1:9" ht="15.75" customHeight="1">
      <c r="A13" s="1"/>
      <c r="B13" s="1"/>
      <c r="C13" s="2" t="s">
        <v>2</v>
      </c>
      <c r="D13" s="1"/>
      <c r="E13" s="1"/>
      <c r="F13" s="1"/>
      <c r="G13" s="1"/>
      <c r="H13" s="1"/>
      <c r="I13" s="1"/>
    </row>
    <row r="14" spans="1:9" ht="15.75" customHeight="1" thickBot="1">
      <c r="A14" s="1"/>
      <c r="B14" s="1"/>
      <c r="C14" s="1"/>
      <c r="D14" s="1"/>
      <c r="E14" s="1"/>
      <c r="F14" s="1"/>
      <c r="G14" s="1"/>
      <c r="H14" s="1"/>
      <c r="I14" s="1"/>
    </row>
    <row r="15" spans="1:9" ht="15.75" customHeight="1">
      <c r="A15" s="1"/>
      <c r="B15" s="13"/>
      <c r="C15" s="14"/>
      <c r="D15" s="14"/>
      <c r="E15" s="15"/>
      <c r="F15" s="1"/>
      <c r="G15" s="1"/>
      <c r="H15" s="1"/>
      <c r="I15" s="1"/>
    </row>
    <row r="16" spans="1:9" ht="15.75" customHeight="1">
      <c r="A16" s="1"/>
      <c r="B16" s="50" t="s">
        <v>94</v>
      </c>
      <c r="C16" s="17" t="s">
        <v>11</v>
      </c>
      <c r="D16" s="24">
        <f>D8*D7</f>
        <v>48000</v>
      </c>
      <c r="E16" s="18"/>
      <c r="F16" s="1"/>
      <c r="G16" s="1"/>
      <c r="H16" s="1"/>
      <c r="I16" s="1"/>
    </row>
    <row r="17" spans="1:9" ht="15.75" customHeight="1">
      <c r="A17" s="1"/>
      <c r="B17" s="50"/>
      <c r="C17" s="17"/>
      <c r="D17" s="22"/>
      <c r="E17" s="18"/>
      <c r="F17" s="1"/>
      <c r="G17" s="1"/>
      <c r="H17" s="1"/>
      <c r="I17" s="1"/>
    </row>
    <row r="18" spans="1:9" ht="15.75" customHeight="1">
      <c r="A18" s="1"/>
      <c r="B18" s="50" t="s">
        <v>95</v>
      </c>
      <c r="C18" s="17" t="s">
        <v>193</v>
      </c>
      <c r="D18" s="23"/>
      <c r="E18" s="18"/>
      <c r="F18" s="1"/>
      <c r="G18" s="1"/>
      <c r="H18" s="1"/>
      <c r="I18" s="1"/>
    </row>
    <row r="19" spans="1:9" ht="15.75" customHeight="1">
      <c r="A19" s="1"/>
      <c r="B19" s="50"/>
      <c r="C19" s="63">
        <f>D16</f>
        <v>48000</v>
      </c>
      <c r="D19" s="57" t="s">
        <v>98</v>
      </c>
      <c r="E19" s="18"/>
      <c r="F19" s="1"/>
      <c r="G19" s="1"/>
      <c r="H19" s="1"/>
      <c r="I19" s="1"/>
    </row>
    <row r="20" spans="1:9" ht="15.75" customHeight="1">
      <c r="A20" s="1"/>
      <c r="B20" s="50"/>
      <c r="C20" s="55" t="s">
        <v>97</v>
      </c>
      <c r="D20" s="23"/>
      <c r="E20" s="18"/>
      <c r="F20" s="1"/>
      <c r="G20" s="1"/>
      <c r="H20" s="1"/>
      <c r="I20" s="1"/>
    </row>
    <row r="21" spans="1:9" ht="15.75" customHeight="1">
      <c r="A21" s="1"/>
      <c r="B21" s="50"/>
      <c r="C21" s="17"/>
      <c r="D21" s="22"/>
      <c r="E21" s="18"/>
      <c r="F21" s="1"/>
      <c r="G21" s="1"/>
      <c r="H21" s="1"/>
      <c r="I21" s="1"/>
    </row>
    <row r="22" spans="1:9" ht="15.75" customHeight="1">
      <c r="A22" s="1"/>
      <c r="B22" s="50" t="s">
        <v>96</v>
      </c>
      <c r="C22" s="17" t="s">
        <v>16</v>
      </c>
      <c r="D22" s="25">
        <f>D16*D9</f>
        <v>8.64</v>
      </c>
      <c r="E22" s="18"/>
      <c r="F22" s="1"/>
      <c r="G22" s="1"/>
      <c r="H22" s="1"/>
      <c r="I22" s="1"/>
    </row>
    <row r="23" spans="1:9" ht="15.75" customHeight="1" thickBot="1">
      <c r="A23" s="1"/>
      <c r="B23" s="19"/>
      <c r="C23" s="20"/>
      <c r="D23" s="20"/>
      <c r="E23" s="21"/>
      <c r="F23" s="1"/>
      <c r="G23" s="1"/>
      <c r="H23" s="1"/>
      <c r="I23" s="1"/>
    </row>
    <row r="24" spans="1:9" ht="15.75" customHeight="1">
      <c r="A24" s="1"/>
      <c r="B24" s="1"/>
      <c r="C24" s="1"/>
      <c r="D24" s="1"/>
      <c r="E24" s="1"/>
      <c r="F24" s="1"/>
      <c r="G24" s="1"/>
      <c r="H24" s="1"/>
      <c r="I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.7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15.75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</sheetData>
  <phoneticPr fontId="1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9"/>
  <sheetViews>
    <sheetView workbookViewId="0"/>
  </sheetViews>
  <sheetFormatPr defaultRowHeight="12.75"/>
  <cols>
    <col min="2" max="2" width="3.140625" customWidth="1"/>
    <col min="3" max="3" width="25.42578125" bestFit="1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17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18</v>
      </c>
      <c r="D7" s="48">
        <v>11000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19</v>
      </c>
      <c r="D8" s="48">
        <v>3400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20</v>
      </c>
      <c r="D9" s="59">
        <v>4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21</v>
      </c>
      <c r="D10" s="49">
        <v>5</v>
      </c>
      <c r="E10" s="9"/>
      <c r="F10" s="1"/>
      <c r="G10" s="1"/>
      <c r="H10" s="1"/>
      <c r="I10" s="1"/>
    </row>
    <row r="11" spans="1:9" ht="15.75" customHeight="1">
      <c r="A11" s="1"/>
      <c r="B11" s="7"/>
      <c r="C11" s="8" t="s">
        <v>25</v>
      </c>
      <c r="D11" s="49">
        <v>30</v>
      </c>
      <c r="E11" s="9"/>
      <c r="F11" s="1"/>
      <c r="G11" s="1"/>
      <c r="H11" s="1"/>
      <c r="I11" s="1"/>
    </row>
    <row r="12" spans="1:9" ht="15.75" customHeight="1" thickBot="1">
      <c r="A12" s="1"/>
      <c r="B12" s="10"/>
      <c r="C12" s="11"/>
      <c r="D12" s="11"/>
      <c r="E12" s="12"/>
      <c r="F12" s="1"/>
      <c r="G12" s="1"/>
      <c r="H12" s="1"/>
      <c r="I12" s="1"/>
    </row>
    <row r="13" spans="1:9" ht="15.75" customHeight="1">
      <c r="A13" s="1"/>
      <c r="B13" s="1"/>
      <c r="C13" s="1"/>
      <c r="D13" s="1"/>
      <c r="E13" s="1"/>
      <c r="F13" s="1"/>
      <c r="G13" s="1"/>
      <c r="H13" s="1"/>
      <c r="I13" s="1"/>
    </row>
    <row r="14" spans="1:9" ht="15.75" customHeight="1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customHeight="1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3"/>
      <c r="C16" s="14"/>
      <c r="D16" s="14"/>
      <c r="E16" s="15"/>
      <c r="F16" s="1"/>
      <c r="G16" s="1"/>
      <c r="H16" s="1"/>
      <c r="I16" s="1"/>
    </row>
    <row r="17" spans="1:9" ht="15.75" customHeight="1">
      <c r="A17" s="1"/>
      <c r="B17" s="16"/>
      <c r="C17" s="17" t="s">
        <v>22</v>
      </c>
      <c r="D17" s="24">
        <f>(D9*D7)+(D10*D8)</f>
        <v>61000</v>
      </c>
      <c r="E17" s="18"/>
      <c r="F17" s="1"/>
      <c r="G17" s="1"/>
      <c r="H17" s="1"/>
      <c r="I17" s="1"/>
    </row>
    <row r="18" spans="1:9" ht="15.75" customHeight="1">
      <c r="A18" s="1"/>
      <c r="B18" s="16"/>
      <c r="C18" s="17" t="s">
        <v>5</v>
      </c>
      <c r="D18" s="25">
        <f>D17/D11</f>
        <v>2033.3333333333333</v>
      </c>
      <c r="E18" s="18"/>
      <c r="F18" s="1"/>
      <c r="G18" s="1"/>
      <c r="H18" s="1"/>
      <c r="I18" s="1"/>
    </row>
    <row r="19" spans="1:9" ht="15.75" customHeight="1">
      <c r="A19" s="1"/>
      <c r="B19" s="16"/>
      <c r="C19" s="17" t="s">
        <v>23</v>
      </c>
      <c r="D19" s="25">
        <f>(D7+D8)/D11</f>
        <v>480</v>
      </c>
      <c r="E19" s="18"/>
      <c r="F19" s="1"/>
      <c r="G19" s="1"/>
      <c r="H19" s="1"/>
      <c r="I19" s="1"/>
    </row>
    <row r="20" spans="1:9" ht="15.75" customHeight="1">
      <c r="A20" s="1"/>
      <c r="B20" s="16"/>
      <c r="C20" s="17" t="s">
        <v>24</v>
      </c>
      <c r="D20" s="27">
        <f>(D9*((D7/(D7+D8))))+(D10*((D8/(D7+D8))))</f>
        <v>4.2361111111111107</v>
      </c>
      <c r="E20" s="18"/>
      <c r="F20" s="1"/>
      <c r="G20" s="1"/>
      <c r="H20" s="1"/>
      <c r="I20" s="1"/>
    </row>
    <row r="21" spans="1:9" ht="15.75" customHeight="1" thickBot="1">
      <c r="A21" s="1"/>
      <c r="B21" s="19"/>
      <c r="C21" s="20"/>
      <c r="D21" s="20"/>
      <c r="E21" s="21"/>
      <c r="F21" s="1"/>
      <c r="G21" s="1"/>
      <c r="H21" s="1"/>
      <c r="I21" s="1"/>
    </row>
    <row r="22" spans="1:9" ht="15.75" customHeight="1">
      <c r="A22" s="1"/>
      <c r="B22" s="1"/>
      <c r="C22" s="1"/>
      <c r="D22" s="1"/>
      <c r="E22" s="1"/>
      <c r="F22" s="1"/>
      <c r="G22" s="1"/>
      <c r="H22" s="1"/>
      <c r="I22" s="1"/>
    </row>
    <row r="23" spans="1:9" ht="15.75" customHeight="1">
      <c r="A23" s="1"/>
      <c r="B23" s="1"/>
      <c r="C23" s="1"/>
      <c r="D23" s="1"/>
      <c r="E23" s="1"/>
      <c r="F23" s="1"/>
      <c r="G23" s="1"/>
      <c r="H23" s="1"/>
      <c r="I23" s="1"/>
    </row>
    <row r="24" spans="1:9" ht="15.75" customHeight="1">
      <c r="A24" s="1"/>
      <c r="B24" s="1"/>
      <c r="C24" s="1"/>
      <c r="D24" s="1"/>
      <c r="E24" s="1"/>
      <c r="F24" s="1"/>
      <c r="G24" s="1"/>
      <c r="H24" s="1"/>
      <c r="I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</sheetData>
  <phoneticPr fontId="1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84"/>
  <sheetViews>
    <sheetView workbookViewId="0"/>
  </sheetViews>
  <sheetFormatPr defaultRowHeight="12.75"/>
  <cols>
    <col min="2" max="2" width="3.140625" customWidth="1"/>
    <col min="3" max="3" width="27.140625" bestFit="1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26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27</v>
      </c>
      <c r="D7" s="48">
        <v>117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28</v>
      </c>
      <c r="D8" s="58">
        <v>2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29</v>
      </c>
      <c r="D9" s="58">
        <v>6500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15</v>
      </c>
      <c r="D10" s="54">
        <v>1.4999999999999999E-4</v>
      </c>
      <c r="E10" s="9"/>
      <c r="F10" s="1"/>
      <c r="G10" s="1"/>
      <c r="H10" s="1"/>
      <c r="I10" s="1"/>
    </row>
    <row r="11" spans="1:9" ht="15.75" customHeight="1">
      <c r="A11" s="1"/>
      <c r="B11" s="7"/>
      <c r="C11" s="8" t="s">
        <v>30</v>
      </c>
      <c r="D11" s="48">
        <v>160</v>
      </c>
      <c r="E11" s="9"/>
      <c r="F11" s="1"/>
      <c r="G11" s="1"/>
      <c r="H11" s="1"/>
      <c r="I11" s="1"/>
    </row>
    <row r="12" spans="1:9" ht="15.75" customHeight="1" thickBot="1">
      <c r="A12" s="1"/>
      <c r="B12" s="10"/>
      <c r="C12" s="11"/>
      <c r="D12" s="11"/>
      <c r="E12" s="12"/>
      <c r="F12" s="1"/>
      <c r="G12" s="1"/>
      <c r="H12" s="1"/>
      <c r="I12" s="1"/>
    </row>
    <row r="13" spans="1:9" ht="15.75" customHeight="1">
      <c r="A13" s="1"/>
      <c r="B13" s="1"/>
      <c r="C13" s="1"/>
      <c r="D13" s="1"/>
      <c r="E13" s="1"/>
      <c r="F13" s="1"/>
      <c r="G13" s="1"/>
      <c r="H13" s="1"/>
      <c r="I13" s="1"/>
    </row>
    <row r="14" spans="1:9" ht="15.75" customHeight="1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customHeight="1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3"/>
      <c r="C16" s="14"/>
      <c r="D16" s="14"/>
      <c r="E16" s="15"/>
      <c r="F16" s="1"/>
      <c r="G16" s="1"/>
      <c r="H16" s="1"/>
      <c r="I16" s="1"/>
    </row>
    <row r="17" spans="1:9" ht="15.75" customHeight="1">
      <c r="A17" s="1"/>
      <c r="B17" s="16"/>
      <c r="C17" s="17" t="s">
        <v>31</v>
      </c>
      <c r="D17" s="61">
        <f>D7*D9</f>
        <v>760500</v>
      </c>
      <c r="E17" s="18"/>
      <c r="F17" s="1"/>
      <c r="G17" s="1"/>
      <c r="H17" s="1"/>
      <c r="I17" s="1"/>
    </row>
    <row r="18" spans="1:9" ht="15.75" customHeight="1">
      <c r="A18" s="1"/>
      <c r="B18" s="16"/>
      <c r="C18" s="17" t="s">
        <v>32</v>
      </c>
      <c r="D18" s="56">
        <f>D8*D17</f>
        <v>1521000</v>
      </c>
      <c r="E18" s="18"/>
      <c r="F18" s="1"/>
      <c r="G18" s="1"/>
      <c r="H18" s="1"/>
      <c r="I18" s="1"/>
    </row>
    <row r="19" spans="1:9" ht="15.75" customHeight="1">
      <c r="A19" s="1"/>
      <c r="B19" s="16"/>
      <c r="C19" s="17" t="s">
        <v>33</v>
      </c>
      <c r="D19" s="61">
        <f>D11/D10</f>
        <v>1066666.6666666667</v>
      </c>
      <c r="E19" s="18"/>
      <c r="F19" s="1"/>
      <c r="G19" s="1"/>
      <c r="H19" s="1"/>
      <c r="I19" s="1"/>
    </row>
    <row r="20" spans="1:9" ht="15.75" customHeight="1">
      <c r="A20" s="1"/>
      <c r="B20" s="16"/>
      <c r="C20" s="17" t="s">
        <v>34</v>
      </c>
      <c r="D20" s="112">
        <f>D18-D19</f>
        <v>454333.33333333326</v>
      </c>
      <c r="E20" s="18"/>
      <c r="F20" s="1"/>
      <c r="G20" s="1"/>
      <c r="H20" s="1"/>
      <c r="I20" s="1"/>
    </row>
    <row r="21" spans="1:9" ht="15.75" customHeight="1">
      <c r="A21" s="1"/>
      <c r="B21" s="16"/>
      <c r="C21" s="62" t="str">
        <f>IF(D20&gt;0,"The firm should take the lockbox service.","The firm should not take the lockbox service.")</f>
        <v>The firm should take the lockbox service.</v>
      </c>
      <c r="D21" s="29"/>
      <c r="E21" s="18"/>
      <c r="F21" s="1"/>
      <c r="G21" s="1"/>
      <c r="H21" s="1"/>
      <c r="I21" s="1"/>
    </row>
    <row r="22" spans="1:9" ht="15.75" customHeight="1">
      <c r="A22" s="1"/>
      <c r="B22" s="16"/>
      <c r="C22" s="17"/>
      <c r="D22" s="22"/>
      <c r="E22" s="18"/>
      <c r="F22" s="1"/>
      <c r="G22" s="1"/>
      <c r="H22" s="1"/>
      <c r="I22" s="1"/>
    </row>
    <row r="23" spans="1:9" ht="15.75" customHeight="1">
      <c r="A23" s="1"/>
      <c r="B23" s="16"/>
      <c r="C23" s="17" t="s">
        <v>35</v>
      </c>
      <c r="D23" s="64">
        <f>D18*((1+D10)^365)-D18</f>
        <v>85589.979153266875</v>
      </c>
      <c r="E23" s="18"/>
      <c r="F23" s="1"/>
      <c r="G23" s="1"/>
      <c r="H23" s="1"/>
      <c r="I23" s="1"/>
    </row>
    <row r="24" spans="1:9" ht="15.75" customHeight="1">
      <c r="A24" s="1"/>
      <c r="B24" s="16"/>
      <c r="C24" s="17" t="s">
        <v>36</v>
      </c>
      <c r="D24" s="64">
        <f>FV(D10,365,-D11,0,0)</f>
        <v>60023.654019385001</v>
      </c>
      <c r="E24" s="18"/>
      <c r="F24" s="1"/>
      <c r="G24" s="1"/>
      <c r="H24" s="1"/>
      <c r="I24" s="1"/>
    </row>
    <row r="25" spans="1:9" ht="15.75" customHeight="1">
      <c r="A25" s="1"/>
      <c r="B25" s="16"/>
      <c r="C25" s="17" t="s">
        <v>37</v>
      </c>
      <c r="D25" s="26">
        <f>D23-D24</f>
        <v>25566.325133881874</v>
      </c>
      <c r="E25" s="18"/>
      <c r="F25" s="1"/>
      <c r="G25" s="1"/>
      <c r="H25" s="1"/>
      <c r="I25" s="1"/>
    </row>
    <row r="26" spans="1:9" ht="15.75" customHeight="1" thickBot="1">
      <c r="A26" s="1"/>
      <c r="B26" s="19"/>
      <c r="C26" s="20"/>
      <c r="D26" s="30"/>
      <c r="E26" s="2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  <row r="84" spans="1:9" ht="15">
      <c r="A84" s="1"/>
      <c r="B84" s="1"/>
      <c r="C84" s="1"/>
      <c r="D84" s="1"/>
      <c r="E84" s="1"/>
      <c r="F84" s="1"/>
      <c r="G84" s="1"/>
      <c r="H84" s="1"/>
      <c r="I84" s="1"/>
    </row>
  </sheetData>
  <phoneticPr fontId="15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95"/>
  <sheetViews>
    <sheetView workbookViewId="0"/>
  </sheetViews>
  <sheetFormatPr defaultRowHeight="12.75"/>
  <cols>
    <col min="2" max="2" width="3.140625" customWidth="1"/>
    <col min="3" max="3" width="27.140625" customWidth="1"/>
    <col min="4" max="4" width="19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48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29</v>
      </c>
      <c r="D7" s="58">
        <v>5700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41</v>
      </c>
      <c r="D8" s="65">
        <v>0.6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40</v>
      </c>
      <c r="D9" s="48">
        <v>55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44</v>
      </c>
      <c r="D10" s="58">
        <v>2</v>
      </c>
      <c r="E10" s="9"/>
      <c r="F10" s="1"/>
      <c r="G10" s="1"/>
      <c r="H10" s="1"/>
      <c r="I10" s="1"/>
    </row>
    <row r="11" spans="1:9" ht="15.75" customHeight="1">
      <c r="A11" s="1"/>
      <c r="B11" s="7"/>
      <c r="C11" s="8" t="s">
        <v>43</v>
      </c>
      <c r="D11" s="65">
        <v>0.4</v>
      </c>
      <c r="E11" s="9"/>
      <c r="F11" s="1"/>
      <c r="G11" s="1"/>
      <c r="H11" s="1"/>
      <c r="I11" s="1"/>
    </row>
    <row r="12" spans="1:9" ht="15.75" customHeight="1">
      <c r="A12" s="1"/>
      <c r="B12" s="7"/>
      <c r="C12" s="8" t="s">
        <v>42</v>
      </c>
      <c r="D12" s="48">
        <v>80</v>
      </c>
      <c r="E12" s="9"/>
      <c r="F12" s="1"/>
      <c r="G12" s="1"/>
      <c r="H12" s="1"/>
      <c r="I12" s="1"/>
    </row>
    <row r="13" spans="1:9" ht="15.75" customHeight="1">
      <c r="A13" s="1"/>
      <c r="B13" s="7"/>
      <c r="C13" s="8" t="s">
        <v>45</v>
      </c>
      <c r="D13" s="48">
        <v>3</v>
      </c>
      <c r="E13" s="9"/>
      <c r="F13" s="1"/>
      <c r="G13" s="1"/>
      <c r="H13" s="1"/>
      <c r="I13" s="1"/>
    </row>
    <row r="14" spans="1:9" ht="15.75" customHeight="1">
      <c r="A14" s="1"/>
      <c r="B14" s="53" t="s">
        <v>103</v>
      </c>
      <c r="C14" s="8" t="s">
        <v>15</v>
      </c>
      <c r="D14" s="66">
        <v>7.0000000000000007E-2</v>
      </c>
      <c r="E14" s="9"/>
      <c r="F14" s="1"/>
      <c r="G14" s="1"/>
      <c r="H14" s="1"/>
      <c r="I14" s="1"/>
    </row>
    <row r="15" spans="1:9" ht="15.75" customHeight="1">
      <c r="A15" s="1"/>
      <c r="B15" s="53" t="s">
        <v>104</v>
      </c>
      <c r="C15" s="8" t="s">
        <v>39</v>
      </c>
      <c r="D15" s="67">
        <v>1.5</v>
      </c>
      <c r="E15" s="9"/>
      <c r="F15" s="1"/>
      <c r="G15" s="1"/>
      <c r="H15" s="1"/>
      <c r="I15" s="1"/>
    </row>
    <row r="16" spans="1:9" ht="15.75" customHeight="1">
      <c r="A16" s="1"/>
      <c r="B16" s="7"/>
      <c r="C16" s="8" t="s">
        <v>25</v>
      </c>
      <c r="D16" s="49">
        <v>30</v>
      </c>
      <c r="E16" s="9"/>
      <c r="F16" s="1"/>
      <c r="G16" s="1"/>
      <c r="H16" s="1"/>
      <c r="I16" s="1"/>
    </row>
    <row r="17" spans="1:9" ht="15.75" customHeight="1" thickBot="1">
      <c r="A17" s="1"/>
      <c r="B17" s="10"/>
      <c r="C17" s="11"/>
      <c r="D17" s="11"/>
      <c r="E17" s="12"/>
      <c r="F17" s="1"/>
      <c r="G17" s="1"/>
      <c r="H17" s="1"/>
      <c r="I17" s="1"/>
    </row>
    <row r="18" spans="1:9" ht="15.75" customHeight="1">
      <c r="A18" s="1"/>
      <c r="B18" s="1"/>
      <c r="C18" s="1"/>
      <c r="D18" s="1"/>
      <c r="E18" s="1"/>
      <c r="F18" s="1"/>
      <c r="G18" s="1"/>
      <c r="H18" s="1"/>
      <c r="I18" s="1"/>
    </row>
    <row r="19" spans="1:9" ht="15.75" customHeight="1">
      <c r="A19" s="1"/>
      <c r="B19" s="1"/>
      <c r="C19" s="2" t="s">
        <v>2</v>
      </c>
      <c r="D19" s="1"/>
      <c r="E19" s="1"/>
      <c r="F19" s="1"/>
      <c r="G19" s="1"/>
      <c r="H19" s="1"/>
      <c r="I19" s="1"/>
    </row>
    <row r="20" spans="1:9" ht="15.75" customHeight="1" thickBot="1">
      <c r="A20" s="1"/>
      <c r="B20" s="1"/>
      <c r="C20" s="1"/>
      <c r="D20" s="1"/>
      <c r="E20" s="1"/>
      <c r="F20" s="1"/>
      <c r="G20" s="1"/>
      <c r="H20" s="1"/>
      <c r="I20" s="1"/>
    </row>
    <row r="21" spans="1:9" ht="15.75" customHeight="1">
      <c r="A21" s="1"/>
      <c r="B21" s="13"/>
      <c r="C21" s="14"/>
      <c r="D21" s="14"/>
      <c r="E21" s="15"/>
      <c r="F21" s="1"/>
      <c r="G21" s="1"/>
      <c r="H21" s="1"/>
      <c r="I21" s="1"/>
    </row>
    <row r="22" spans="1:9" ht="15.75" customHeight="1">
      <c r="A22" s="1"/>
      <c r="B22" s="50" t="s">
        <v>94</v>
      </c>
      <c r="C22" s="17" t="s">
        <v>5</v>
      </c>
      <c r="D22" s="24">
        <f>((D8*D7*D9*D10)+(D11*D7*D12*D13))/D16</f>
        <v>30780</v>
      </c>
      <c r="E22" s="18"/>
      <c r="F22" s="1"/>
      <c r="G22" s="1"/>
      <c r="H22" s="1"/>
      <c r="I22" s="1"/>
    </row>
    <row r="23" spans="1:9" ht="15.75" customHeight="1">
      <c r="A23" s="1"/>
      <c r="B23" s="50"/>
      <c r="C23" s="17" t="s">
        <v>100</v>
      </c>
      <c r="D23" s="56">
        <f>D22</f>
        <v>30780</v>
      </c>
      <c r="E23" s="18"/>
      <c r="F23" s="1"/>
      <c r="G23" s="1"/>
      <c r="H23" s="1"/>
      <c r="I23" s="1"/>
    </row>
    <row r="24" spans="1:9" ht="15.75" customHeight="1">
      <c r="A24" s="1"/>
      <c r="B24" s="50"/>
      <c r="C24" s="17" t="s">
        <v>99</v>
      </c>
      <c r="D24" s="23"/>
      <c r="E24" s="18"/>
      <c r="F24" s="1"/>
      <c r="G24" s="1"/>
      <c r="H24" s="1"/>
      <c r="I24" s="1"/>
    </row>
    <row r="25" spans="1:9" ht="15.75" customHeight="1">
      <c r="A25" s="1"/>
      <c r="B25" s="50"/>
      <c r="C25" s="17"/>
      <c r="D25" s="23"/>
      <c r="E25" s="18"/>
      <c r="F25" s="1"/>
      <c r="G25" s="1"/>
      <c r="H25" s="1"/>
      <c r="I25" s="1"/>
    </row>
    <row r="26" spans="1:9" ht="15.75" customHeight="1">
      <c r="A26" s="1"/>
      <c r="B26" s="50" t="s">
        <v>95</v>
      </c>
      <c r="C26" s="17" t="s">
        <v>46</v>
      </c>
      <c r="D26" s="61">
        <f>(D8*D7*D9)+(D11*D7*D12)</f>
        <v>370500</v>
      </c>
      <c r="E26" s="18"/>
      <c r="F26" s="1"/>
      <c r="G26" s="1"/>
      <c r="H26" s="1"/>
      <c r="I26" s="1"/>
    </row>
    <row r="27" spans="1:9" ht="15.75" customHeight="1">
      <c r="A27" s="1"/>
      <c r="B27" s="50"/>
      <c r="C27" s="17" t="s">
        <v>24</v>
      </c>
      <c r="D27" s="68">
        <f>(D10*((D8*D7*D9)/D26))+(D13*((D11*D7*D12)/D26))</f>
        <v>2.4923076923076923</v>
      </c>
      <c r="E27" s="18"/>
      <c r="F27" s="1"/>
      <c r="G27" s="1"/>
      <c r="H27" s="1"/>
      <c r="I27" s="1"/>
    </row>
    <row r="28" spans="1:9" ht="15.75" customHeight="1">
      <c r="A28" s="1"/>
      <c r="B28" s="50"/>
      <c r="C28" s="17" t="s">
        <v>5</v>
      </c>
      <c r="D28" s="61">
        <f>D27*(D26/D16)</f>
        <v>30780</v>
      </c>
      <c r="E28" s="18"/>
      <c r="F28" s="1"/>
      <c r="G28" s="1"/>
      <c r="H28" s="1"/>
      <c r="I28" s="1"/>
    </row>
    <row r="29" spans="1:9" ht="15.75" customHeight="1">
      <c r="A29" s="1"/>
      <c r="B29" s="50"/>
      <c r="C29" s="17"/>
      <c r="D29" s="22"/>
      <c r="E29" s="18"/>
      <c r="F29" s="1"/>
      <c r="G29" s="1"/>
      <c r="H29" s="1"/>
      <c r="I29" s="1"/>
    </row>
    <row r="30" spans="1:9" ht="15.75" customHeight="1">
      <c r="A30" s="1"/>
      <c r="B30" s="50" t="s">
        <v>96</v>
      </c>
      <c r="C30" s="17" t="s">
        <v>101</v>
      </c>
      <c r="D30" s="22"/>
      <c r="E30" s="18"/>
      <c r="F30" s="1"/>
      <c r="G30" s="1"/>
      <c r="H30" s="1"/>
      <c r="I30" s="1"/>
    </row>
    <row r="31" spans="1:9" ht="15.75" customHeight="1">
      <c r="A31" s="1"/>
      <c r="B31" s="50"/>
      <c r="C31" s="17" t="s">
        <v>102</v>
      </c>
      <c r="D31" s="24">
        <f>D23</f>
        <v>30780</v>
      </c>
      <c r="E31" s="18"/>
      <c r="F31" s="1"/>
      <c r="G31" s="1"/>
      <c r="H31" s="1"/>
      <c r="I31" s="1"/>
    </row>
    <row r="32" spans="1:9" ht="15.75" customHeight="1">
      <c r="A32" s="1"/>
      <c r="B32" s="50"/>
      <c r="C32" s="17"/>
      <c r="D32" s="32"/>
      <c r="E32" s="18"/>
      <c r="F32" s="1"/>
      <c r="G32" s="1"/>
      <c r="H32" s="1"/>
      <c r="I32" s="1"/>
    </row>
    <row r="33" spans="1:9" ht="15.75" customHeight="1">
      <c r="A33" s="1"/>
      <c r="B33" s="50" t="s">
        <v>103</v>
      </c>
      <c r="C33" s="17" t="s">
        <v>79</v>
      </c>
      <c r="D33" s="69">
        <f>((1+D14)^(1/365))-1</f>
        <v>1.8538334157058856E-4</v>
      </c>
      <c r="E33" s="18"/>
      <c r="F33" s="1"/>
      <c r="G33" s="1"/>
      <c r="H33" s="1"/>
      <c r="I33" s="1"/>
    </row>
    <row r="34" spans="1:9" ht="15.75" customHeight="1">
      <c r="A34" s="1"/>
      <c r="B34" s="50"/>
      <c r="C34" s="17" t="s">
        <v>47</v>
      </c>
      <c r="D34" s="26">
        <f>D22*D33</f>
        <v>5.7060992535427157</v>
      </c>
      <c r="E34" s="18"/>
      <c r="F34" s="1"/>
      <c r="G34" s="1"/>
      <c r="H34" s="1"/>
      <c r="I34" s="1"/>
    </row>
    <row r="35" spans="1:9" ht="15.75" customHeight="1">
      <c r="A35" s="1"/>
      <c r="B35" s="50"/>
      <c r="C35" s="17"/>
      <c r="D35" s="33"/>
      <c r="E35" s="18"/>
      <c r="F35" s="1"/>
      <c r="G35" s="1"/>
      <c r="H35" s="1"/>
      <c r="I35" s="1"/>
    </row>
    <row r="36" spans="1:9" ht="15.75" customHeight="1">
      <c r="A36" s="1"/>
      <c r="B36" s="50" t="s">
        <v>104</v>
      </c>
      <c r="C36" s="17" t="s">
        <v>105</v>
      </c>
      <c r="D36" s="24">
        <f>D15*(D26/D16)</f>
        <v>18525</v>
      </c>
      <c r="E36" s="18"/>
      <c r="F36" s="1"/>
      <c r="G36" s="1"/>
      <c r="H36" s="1"/>
      <c r="I36" s="1"/>
    </row>
    <row r="37" spans="1:9" ht="15.75" customHeight="1" thickBot="1">
      <c r="A37" s="1"/>
      <c r="B37" s="19"/>
      <c r="C37" s="20"/>
      <c r="D37" s="30"/>
      <c r="E37" s="2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  <row r="84" spans="1:9" ht="15">
      <c r="A84" s="1"/>
      <c r="B84" s="1"/>
      <c r="C84" s="1"/>
      <c r="D84" s="1"/>
      <c r="E84" s="1"/>
      <c r="F84" s="1"/>
      <c r="G84" s="1"/>
      <c r="H84" s="1"/>
      <c r="I84" s="1"/>
    </row>
    <row r="85" spans="1:9" ht="15">
      <c r="A85" s="1"/>
      <c r="B85" s="1"/>
      <c r="C85" s="1"/>
      <c r="D85" s="1"/>
      <c r="E85" s="1"/>
      <c r="F85" s="1"/>
      <c r="G85" s="1"/>
      <c r="H85" s="1"/>
      <c r="I85" s="1"/>
    </row>
    <row r="86" spans="1:9" ht="15">
      <c r="A86" s="1"/>
      <c r="B86" s="1"/>
      <c r="C86" s="1"/>
      <c r="D86" s="1"/>
      <c r="E86" s="1"/>
      <c r="F86" s="1"/>
      <c r="G86" s="1"/>
      <c r="H86" s="1"/>
      <c r="I86" s="1"/>
    </row>
    <row r="87" spans="1:9" ht="15">
      <c r="A87" s="1"/>
      <c r="B87" s="1"/>
      <c r="C87" s="1"/>
      <c r="D87" s="1"/>
      <c r="E87" s="1"/>
      <c r="F87" s="1"/>
      <c r="G87" s="1"/>
      <c r="H87" s="1"/>
      <c r="I87" s="1"/>
    </row>
    <row r="88" spans="1:9" ht="15">
      <c r="A88" s="1"/>
      <c r="B88" s="1"/>
      <c r="C88" s="1"/>
      <c r="D88" s="1"/>
      <c r="E88" s="1"/>
      <c r="F88" s="1"/>
      <c r="G88" s="1"/>
      <c r="H88" s="1"/>
      <c r="I88" s="1"/>
    </row>
    <row r="89" spans="1:9" ht="15">
      <c r="A89" s="1"/>
      <c r="B89" s="1"/>
      <c r="C89" s="1"/>
      <c r="D89" s="1"/>
      <c r="E89" s="1"/>
      <c r="F89" s="1"/>
      <c r="G89" s="1"/>
      <c r="H89" s="1"/>
      <c r="I89" s="1"/>
    </row>
    <row r="90" spans="1:9" ht="15">
      <c r="A90" s="1"/>
      <c r="B90" s="1"/>
      <c r="C90" s="1"/>
      <c r="D90" s="1"/>
      <c r="E90" s="1"/>
      <c r="F90" s="1"/>
      <c r="G90" s="1"/>
      <c r="H90" s="1"/>
      <c r="I90" s="1"/>
    </row>
    <row r="91" spans="1:9" ht="15">
      <c r="A91" s="1"/>
      <c r="B91" s="1"/>
      <c r="C91" s="1"/>
      <c r="D91" s="1"/>
      <c r="E91" s="1"/>
      <c r="F91" s="1"/>
      <c r="G91" s="1"/>
      <c r="H91" s="1"/>
      <c r="I91" s="1"/>
    </row>
    <row r="92" spans="1:9" ht="15">
      <c r="A92" s="1"/>
      <c r="B92" s="1"/>
      <c r="C92" s="1"/>
      <c r="D92" s="1"/>
      <c r="E92" s="1"/>
      <c r="F92" s="1"/>
      <c r="G92" s="1"/>
      <c r="H92" s="1"/>
      <c r="I92" s="1"/>
    </row>
    <row r="93" spans="1:9" ht="15">
      <c r="A93" s="1"/>
      <c r="B93" s="1"/>
      <c r="C93" s="1"/>
      <c r="D93" s="1"/>
      <c r="E93" s="1"/>
      <c r="F93" s="1"/>
      <c r="G93" s="1"/>
      <c r="H93" s="1"/>
      <c r="I93" s="1"/>
    </row>
    <row r="94" spans="1:9" ht="15">
      <c r="A94" s="1"/>
      <c r="B94" s="1"/>
      <c r="C94" s="1"/>
      <c r="D94" s="1"/>
      <c r="E94" s="1"/>
      <c r="F94" s="1"/>
      <c r="G94" s="1"/>
      <c r="H94" s="1"/>
      <c r="I94" s="1"/>
    </row>
    <row r="95" spans="1:9" ht="15">
      <c r="A95" s="1"/>
      <c r="B95" s="1"/>
      <c r="C95" s="1"/>
      <c r="D95" s="1"/>
      <c r="E95" s="1"/>
      <c r="F95" s="1"/>
      <c r="G95" s="1"/>
      <c r="H95" s="1"/>
      <c r="I95" s="1"/>
    </row>
  </sheetData>
  <phoneticPr fontId="15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81"/>
  <sheetViews>
    <sheetView workbookViewId="0"/>
  </sheetViews>
  <sheetFormatPr defaultRowHeight="12.75"/>
  <cols>
    <col min="2" max="2" width="3.140625" customWidth="1"/>
    <col min="3" max="3" width="35.140625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49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50</v>
      </c>
      <c r="D7" s="58">
        <v>435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51</v>
      </c>
      <c r="D8" s="48">
        <v>975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52</v>
      </c>
      <c r="D9" s="70">
        <v>0.5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53</v>
      </c>
      <c r="D10" s="71">
        <v>2.0000000000000001E-4</v>
      </c>
      <c r="E10" s="9"/>
      <c r="F10" s="1"/>
      <c r="G10" s="1"/>
      <c r="H10" s="1"/>
      <c r="I10" s="1"/>
    </row>
    <row r="11" spans="1:9" ht="15.75" customHeight="1">
      <c r="A11" s="1"/>
      <c r="B11" s="7"/>
      <c r="C11" s="8" t="s">
        <v>28</v>
      </c>
      <c r="D11" s="59">
        <v>3</v>
      </c>
      <c r="E11" s="9"/>
      <c r="F11" s="1"/>
      <c r="G11" s="1"/>
      <c r="H11" s="1"/>
      <c r="I11" s="1"/>
    </row>
    <row r="12" spans="1:9" ht="15.75" customHeight="1" thickBot="1">
      <c r="A12" s="1"/>
      <c r="B12" s="10"/>
      <c r="C12" s="11"/>
      <c r="D12" s="11"/>
      <c r="E12" s="12"/>
      <c r="F12" s="1"/>
      <c r="G12" s="1"/>
      <c r="H12" s="1"/>
      <c r="I12" s="1"/>
    </row>
    <row r="13" spans="1:9" ht="15.75" customHeight="1">
      <c r="A13" s="1"/>
      <c r="B13" s="1"/>
      <c r="C13" s="1"/>
      <c r="D13" s="1"/>
      <c r="E13" s="1"/>
      <c r="F13" s="1"/>
      <c r="G13" s="1"/>
      <c r="H13" s="1"/>
      <c r="I13" s="1"/>
    </row>
    <row r="14" spans="1:9" ht="15.75" customHeight="1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customHeight="1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3"/>
      <c r="C16" s="14"/>
      <c r="D16" s="14"/>
      <c r="E16" s="15"/>
      <c r="F16" s="1"/>
      <c r="G16" s="1"/>
      <c r="H16" s="1"/>
      <c r="I16" s="1"/>
    </row>
    <row r="17" spans="1:9" ht="15.75" customHeight="1">
      <c r="A17" s="1"/>
      <c r="B17" s="50" t="s">
        <v>94</v>
      </c>
      <c r="C17" s="17" t="s">
        <v>32</v>
      </c>
      <c r="D17" s="24">
        <f>D11*D7*D8</f>
        <v>1272375</v>
      </c>
      <c r="E17" s="18"/>
      <c r="F17" s="1"/>
      <c r="G17" s="1"/>
      <c r="H17" s="1"/>
      <c r="I17" s="1"/>
    </row>
    <row r="18" spans="1:9" ht="15.75" customHeight="1">
      <c r="A18" s="1"/>
      <c r="B18" s="50"/>
      <c r="C18" s="17"/>
      <c r="D18" s="31"/>
      <c r="E18" s="18"/>
      <c r="F18" s="1"/>
      <c r="G18" s="1"/>
      <c r="H18" s="1"/>
      <c r="I18" s="1"/>
    </row>
    <row r="19" spans="1:9" ht="15.75" customHeight="1">
      <c r="A19" s="1"/>
      <c r="B19" s="50" t="s">
        <v>95</v>
      </c>
      <c r="C19" s="17" t="s">
        <v>34</v>
      </c>
      <c r="D19" s="24">
        <f>D17-((D9*D7)/D10)</f>
        <v>184875</v>
      </c>
      <c r="E19" s="18"/>
      <c r="F19" s="1"/>
      <c r="G19" s="1"/>
      <c r="H19" s="1"/>
      <c r="I19" s="1"/>
    </row>
    <row r="20" spans="1:9" ht="15.75" customHeight="1">
      <c r="A20" s="1"/>
      <c r="B20" s="50"/>
      <c r="C20" s="17"/>
      <c r="D20" s="23"/>
      <c r="E20" s="18"/>
      <c r="F20" s="1"/>
      <c r="G20" s="1"/>
      <c r="H20" s="1"/>
      <c r="I20" s="1"/>
    </row>
    <row r="21" spans="1:9" ht="15.75" customHeight="1">
      <c r="A21" s="1"/>
      <c r="B21" s="50" t="s">
        <v>96</v>
      </c>
      <c r="C21" s="17" t="s">
        <v>54</v>
      </c>
      <c r="D21" s="25">
        <f>(D17*D10)-(D9*D7)</f>
        <v>36.975000000000023</v>
      </c>
      <c r="E21" s="18"/>
      <c r="F21" s="1"/>
      <c r="G21" s="1"/>
      <c r="H21" s="1"/>
      <c r="I21" s="1"/>
    </row>
    <row r="22" spans="1:9" ht="15.75" customHeight="1">
      <c r="A22" s="1"/>
      <c r="B22" s="50"/>
      <c r="C22" s="17" t="s">
        <v>55</v>
      </c>
      <c r="D22" s="26">
        <f>(D11*D10*D8)-D9</f>
        <v>8.5000000000000075E-2</v>
      </c>
      <c r="E22" s="18"/>
      <c r="F22" s="1"/>
      <c r="G22" s="1"/>
      <c r="H22" s="1"/>
      <c r="I22" s="1"/>
    </row>
    <row r="23" spans="1:9" ht="15.75" customHeight="1" thickBot="1">
      <c r="A23" s="1"/>
      <c r="B23" s="19"/>
      <c r="C23" s="20"/>
      <c r="D23" s="30"/>
      <c r="E23" s="21"/>
      <c r="F23" s="1"/>
      <c r="G23" s="1"/>
      <c r="H23" s="1"/>
      <c r="I23" s="1"/>
    </row>
    <row r="24" spans="1:9" ht="15.75" customHeight="1">
      <c r="A24" s="1"/>
      <c r="B24" s="1"/>
      <c r="C24" s="1"/>
      <c r="D24" s="1"/>
      <c r="E24" s="1"/>
      <c r="F24" s="1"/>
      <c r="G24" s="1"/>
      <c r="H24" s="1"/>
      <c r="I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</sheetData>
  <phoneticPr fontId="15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88"/>
  <sheetViews>
    <sheetView workbookViewId="0"/>
  </sheetViews>
  <sheetFormatPr defaultRowHeight="12.75"/>
  <cols>
    <col min="2" max="2" width="3.140625" customWidth="1"/>
    <col min="3" max="3" width="30.28515625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1:9" ht="18">
      <c r="A1" s="1"/>
      <c r="B1" s="1"/>
      <c r="C1" s="60" t="s">
        <v>203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56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3"/>
      <c r="C5" s="3"/>
      <c r="D5" s="3"/>
      <c r="E5" s="3"/>
      <c r="F5" s="1"/>
      <c r="G5" s="1"/>
      <c r="H5" s="1"/>
      <c r="I5" s="1"/>
    </row>
    <row r="6" spans="1:9" ht="15.75" customHeight="1">
      <c r="A6" s="1"/>
      <c r="B6" s="4"/>
      <c r="C6" s="5"/>
      <c r="D6" s="5"/>
      <c r="E6" s="6"/>
      <c r="F6" s="1"/>
      <c r="G6" s="1"/>
      <c r="H6" s="1"/>
      <c r="I6" s="1"/>
    </row>
    <row r="7" spans="1:9" ht="15.75" customHeight="1">
      <c r="A7" s="1"/>
      <c r="B7" s="7"/>
      <c r="C7" s="8" t="s">
        <v>57</v>
      </c>
      <c r="D7" s="58">
        <v>5</v>
      </c>
      <c r="E7" s="9"/>
      <c r="F7" s="1"/>
      <c r="G7" s="1"/>
      <c r="H7" s="1"/>
      <c r="I7" s="1"/>
    </row>
    <row r="8" spans="1:9" ht="15.75" customHeight="1">
      <c r="A8" s="1"/>
      <c r="B8" s="7"/>
      <c r="C8" s="8" t="s">
        <v>31</v>
      </c>
      <c r="D8" s="48">
        <v>135000</v>
      </c>
      <c r="E8" s="9"/>
      <c r="F8" s="1"/>
      <c r="G8" s="1"/>
      <c r="H8" s="1"/>
      <c r="I8" s="1"/>
    </row>
    <row r="9" spans="1:9" ht="15.75" customHeight="1">
      <c r="A9" s="1"/>
      <c r="B9" s="7"/>
      <c r="C9" s="8" t="s">
        <v>58</v>
      </c>
      <c r="D9" s="65">
        <v>0.09</v>
      </c>
      <c r="E9" s="9"/>
      <c r="F9" s="1"/>
      <c r="G9" s="1"/>
      <c r="H9" s="1"/>
      <c r="I9" s="1"/>
    </row>
    <row r="10" spans="1:9" ht="15.75" customHeight="1">
      <c r="A10" s="1"/>
      <c r="B10" s="7"/>
      <c r="C10" s="8" t="s">
        <v>28</v>
      </c>
      <c r="D10" s="59">
        <v>3</v>
      </c>
      <c r="E10" s="9"/>
      <c r="F10" s="1"/>
      <c r="G10" s="1"/>
      <c r="H10" s="1"/>
      <c r="I10" s="1"/>
    </row>
    <row r="11" spans="1:9" ht="15.75" customHeight="1">
      <c r="A11" s="1"/>
      <c r="B11" s="7"/>
      <c r="C11" s="8" t="s">
        <v>25</v>
      </c>
      <c r="D11" s="49">
        <v>30</v>
      </c>
      <c r="E11" s="9"/>
      <c r="F11" s="1"/>
      <c r="G11" s="1"/>
      <c r="H11" s="1"/>
      <c r="I11" s="1"/>
    </row>
    <row r="12" spans="1:9" ht="15.75" customHeight="1">
      <c r="A12" s="1"/>
      <c r="B12" s="7"/>
      <c r="C12" s="8" t="s">
        <v>38</v>
      </c>
      <c r="D12" s="49">
        <v>365</v>
      </c>
      <c r="E12" s="9"/>
      <c r="F12" s="1"/>
      <c r="G12" s="1"/>
      <c r="H12" s="1"/>
      <c r="I12" s="1"/>
    </row>
    <row r="13" spans="1:9" ht="15.75" customHeight="1" thickBot="1">
      <c r="A13" s="1"/>
      <c r="B13" s="10"/>
      <c r="C13" s="11"/>
      <c r="D13" s="11"/>
      <c r="E13" s="12"/>
      <c r="F13" s="1"/>
      <c r="G13" s="1"/>
      <c r="H13" s="1"/>
      <c r="I13" s="1"/>
    </row>
    <row r="14" spans="1:9" ht="15.75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9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</row>
    <row r="16" spans="1:9" ht="15.75" customHeight="1" thickBot="1">
      <c r="A16" s="1"/>
      <c r="B16" s="1"/>
      <c r="C16" s="1"/>
      <c r="D16" s="1"/>
      <c r="E16" s="1"/>
      <c r="F16" s="1"/>
      <c r="G16" s="1"/>
      <c r="H16" s="1"/>
      <c r="I16" s="1"/>
    </row>
    <row r="17" spans="1:9" ht="15.75" customHeight="1">
      <c r="A17" s="1"/>
      <c r="B17" s="13"/>
      <c r="C17" s="14"/>
      <c r="D17" s="14"/>
      <c r="E17" s="15"/>
      <c r="F17" s="1"/>
      <c r="G17" s="1"/>
      <c r="H17" s="1"/>
      <c r="I17" s="1"/>
    </row>
    <row r="18" spans="1:9" ht="15.75" customHeight="1">
      <c r="A18" s="1"/>
      <c r="B18" s="50" t="s">
        <v>94</v>
      </c>
      <c r="C18" s="17" t="s">
        <v>59</v>
      </c>
      <c r="D18" s="24">
        <f>(D7-D10)*D8</f>
        <v>270000</v>
      </c>
      <c r="E18" s="18"/>
      <c r="F18" s="1"/>
      <c r="G18" s="1"/>
      <c r="H18" s="1"/>
      <c r="I18" s="1"/>
    </row>
    <row r="19" spans="1:9" ht="15.75" customHeight="1">
      <c r="A19" s="1"/>
      <c r="B19" s="50"/>
      <c r="C19" s="17"/>
      <c r="D19" s="31"/>
      <c r="E19" s="18"/>
      <c r="F19" s="1"/>
      <c r="G19" s="1"/>
      <c r="H19" s="1"/>
      <c r="I19" s="1"/>
    </row>
    <row r="20" spans="1:9" ht="15.75" customHeight="1">
      <c r="A20" s="1"/>
      <c r="B20" s="50" t="s">
        <v>95</v>
      </c>
      <c r="C20" s="17" t="s">
        <v>106</v>
      </c>
      <c r="D20" s="72">
        <f>((1+D9)^(1/365))-1</f>
        <v>2.3613115194520695E-4</v>
      </c>
      <c r="E20" s="18"/>
      <c r="F20" s="1"/>
      <c r="G20" s="1"/>
      <c r="H20" s="1"/>
      <c r="I20" s="1"/>
    </row>
    <row r="21" spans="1:9" ht="15.75" customHeight="1">
      <c r="A21" s="1"/>
      <c r="B21" s="50"/>
      <c r="C21" s="17" t="s">
        <v>60</v>
      </c>
      <c r="D21" s="25">
        <f>D18*D20</f>
        <v>63.755411025205873</v>
      </c>
      <c r="E21" s="18"/>
      <c r="F21" s="1"/>
      <c r="G21" s="1"/>
      <c r="H21" s="1"/>
      <c r="I21" s="1"/>
    </row>
    <row r="22" spans="1:9" ht="15.75" customHeight="1">
      <c r="A22" s="1"/>
      <c r="B22" s="50"/>
      <c r="C22" s="17"/>
      <c r="D22" s="28"/>
      <c r="E22" s="18"/>
      <c r="F22" s="1"/>
      <c r="G22" s="1"/>
      <c r="H22" s="1"/>
      <c r="I22" s="1"/>
    </row>
    <row r="23" spans="1:9" ht="15.75" customHeight="1">
      <c r="A23" s="1"/>
      <c r="B23" s="50" t="s">
        <v>96</v>
      </c>
      <c r="C23" s="17" t="s">
        <v>61</v>
      </c>
      <c r="D23" s="72">
        <f>((1+D9)^(1/12))-1</f>
        <v>7.2073233161367156E-3</v>
      </c>
      <c r="E23" s="18"/>
      <c r="F23" s="1"/>
      <c r="G23" s="1"/>
      <c r="H23" s="1"/>
      <c r="I23" s="1"/>
    </row>
    <row r="24" spans="1:9" ht="15.75" customHeight="1">
      <c r="A24" s="1"/>
      <c r="B24" s="50"/>
      <c r="C24" s="17" t="s">
        <v>194</v>
      </c>
      <c r="D24" s="109">
        <f>D8+PV(D20,D10-1,-D8)</f>
        <v>404904.39698387083</v>
      </c>
      <c r="E24" s="18"/>
      <c r="F24" s="1"/>
      <c r="G24" s="1"/>
      <c r="H24" s="1"/>
      <c r="I24" s="1"/>
    </row>
    <row r="25" spans="1:9" ht="15.75" customHeight="1">
      <c r="A25" s="1"/>
      <c r="B25" s="50"/>
      <c r="C25" s="17" t="s">
        <v>195</v>
      </c>
      <c r="D25" s="109"/>
      <c r="E25" s="18"/>
      <c r="F25" s="1"/>
      <c r="G25" s="1"/>
      <c r="H25" s="1"/>
      <c r="I25" s="1"/>
    </row>
    <row r="26" spans="1:9" ht="15.75" customHeight="1">
      <c r="A26" s="1"/>
      <c r="B26" s="50"/>
      <c r="C26" s="17" t="s">
        <v>62</v>
      </c>
      <c r="D26" s="25">
        <f>D24*D23</f>
        <v>2918.2769011881292</v>
      </c>
      <c r="E26" s="18"/>
      <c r="F26" s="1"/>
      <c r="G26" s="1"/>
      <c r="H26" s="1"/>
      <c r="I26" s="1"/>
    </row>
    <row r="27" spans="1:9" ht="15.75" customHeight="1">
      <c r="A27" s="1"/>
      <c r="B27" s="50"/>
      <c r="C27" s="17"/>
      <c r="D27" s="28"/>
      <c r="E27" s="18"/>
      <c r="F27" s="1"/>
      <c r="G27" s="1"/>
      <c r="H27" s="1"/>
      <c r="I27" s="1"/>
    </row>
    <row r="28" spans="1:9" ht="15.75" customHeight="1">
      <c r="A28" s="1"/>
      <c r="B28" s="50"/>
      <c r="C28" s="17" t="s">
        <v>196</v>
      </c>
      <c r="D28" s="28"/>
      <c r="E28" s="18"/>
      <c r="F28" s="1"/>
      <c r="G28" s="1"/>
      <c r="H28" s="1"/>
      <c r="I28" s="1"/>
    </row>
    <row r="29" spans="1:9" ht="15.75" customHeight="1">
      <c r="A29" s="1"/>
      <c r="B29" s="50"/>
      <c r="C29" s="17" t="s">
        <v>62</v>
      </c>
      <c r="D29" s="25">
        <f>(D24*D23)/(1+D23)</f>
        <v>2897.3944426654616</v>
      </c>
      <c r="E29" s="18"/>
      <c r="F29" s="1"/>
      <c r="G29" s="1"/>
      <c r="H29" s="1"/>
      <c r="I29" s="1"/>
    </row>
    <row r="30" spans="1:9" ht="15.75" customHeight="1" thickBot="1">
      <c r="A30" s="1"/>
      <c r="B30" s="19"/>
      <c r="C30" s="20"/>
      <c r="D30" s="30"/>
      <c r="E30" s="2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.7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15.75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15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5.75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15.7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15.75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15.75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15.7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15.75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15.75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15.75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15.75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15.75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15.75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15.75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15.75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15.75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15.75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15.75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15.75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15.75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15.75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15.75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  <row r="84" spans="1:9" ht="15">
      <c r="A84" s="1"/>
      <c r="B84" s="1"/>
      <c r="C84" s="1"/>
      <c r="D84" s="1"/>
      <c r="E84" s="1"/>
      <c r="F84" s="1"/>
      <c r="G84" s="1"/>
      <c r="H84" s="1"/>
      <c r="I84" s="1"/>
    </row>
    <row r="85" spans="1:9" ht="15">
      <c r="A85" s="1"/>
      <c r="B85" s="1"/>
      <c r="C85" s="1"/>
      <c r="D85" s="1"/>
      <c r="E85" s="1"/>
      <c r="F85" s="1"/>
      <c r="G85" s="1"/>
      <c r="H85" s="1"/>
      <c r="I85" s="1"/>
    </row>
    <row r="86" spans="1:9" ht="15">
      <c r="A86" s="1"/>
      <c r="B86" s="1"/>
      <c r="C86" s="1"/>
      <c r="D86" s="1"/>
      <c r="E86" s="1"/>
      <c r="F86" s="1"/>
      <c r="G86" s="1"/>
      <c r="H86" s="1"/>
      <c r="I86" s="1"/>
    </row>
    <row r="87" spans="1:9" ht="15">
      <c r="A87" s="1"/>
      <c r="B87" s="1"/>
      <c r="C87" s="1"/>
      <c r="D87" s="1"/>
      <c r="E87" s="1"/>
      <c r="F87" s="1"/>
      <c r="G87" s="1"/>
      <c r="H87" s="1"/>
      <c r="I87" s="1"/>
    </row>
    <row r="88" spans="1:9" ht="15">
      <c r="A88" s="1"/>
      <c r="B88" s="1"/>
      <c r="C88" s="1"/>
      <c r="D88" s="1"/>
      <c r="E88" s="1"/>
      <c r="F88" s="1"/>
      <c r="G88" s="1"/>
      <c r="H88" s="1"/>
      <c r="I88" s="1"/>
    </row>
  </sheetData>
  <phoneticPr fontId="15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Chapter 27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App #1</vt:lpstr>
      <vt:lpstr>App #2</vt:lpstr>
      <vt:lpstr>App #3</vt:lpstr>
      <vt:lpstr>App #4</vt:lpstr>
      <vt:lpstr>App #5</vt:lpstr>
      <vt:lpstr>App #6</vt:lpstr>
      <vt:lpstr>App #7</vt:lpstr>
      <vt:lpstr>App #8</vt:lpstr>
      <vt:lpstr>App #9</vt:lpstr>
      <vt:lpstr>App #10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2004-10-13T19:45:50Z</cp:lastPrinted>
  <dcterms:created xsi:type="dcterms:W3CDTF">2002-05-23T19:55:20Z</dcterms:created>
  <dcterms:modified xsi:type="dcterms:W3CDTF">2012-11-06T11:00:53Z</dcterms:modified>
</cp:coreProperties>
</file>