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295" windowHeight="7260"/>
  </bookViews>
  <sheets>
    <sheet name="Chapter 28" sheetId="23" r:id="rId1"/>
    <sheet name="#1" sheetId="24" r:id="rId2"/>
    <sheet name="#2" sheetId="4" r:id="rId3"/>
    <sheet name="#3" sheetId="25" r:id="rId4"/>
    <sheet name="#4" sheetId="6" r:id="rId5"/>
    <sheet name="#5" sheetId="26" r:id="rId6"/>
    <sheet name="#6" sheetId="8" r:id="rId7"/>
    <sheet name="#7" sheetId="9" r:id="rId8"/>
    <sheet name="#8" sheetId="10" r:id="rId9"/>
    <sheet name="#9" sheetId="11" r:id="rId10"/>
    <sheet name="#10" sheetId="12" r:id="rId11"/>
    <sheet name="#11" sheetId="28" r:id="rId12"/>
    <sheet name="#12" sheetId="29" r:id="rId13"/>
    <sheet name="#13" sheetId="15" r:id="rId14"/>
    <sheet name="#14" sheetId="17" r:id="rId15"/>
    <sheet name="#15" sheetId="18" r:id="rId16"/>
    <sheet name="#16" sheetId="38" r:id="rId17"/>
    <sheet name="#17" sheetId="35" r:id="rId18"/>
    <sheet name="#18" sheetId="20" r:id="rId19"/>
    <sheet name="#19" sheetId="21" r:id="rId20"/>
    <sheet name="#20" sheetId="22" r:id="rId21"/>
    <sheet name="#21" sheetId="39" r:id="rId22"/>
    <sheet name="#22" sheetId="40" r:id="rId23"/>
    <sheet name="App #1" sheetId="36" r:id="rId24"/>
    <sheet name="App #2" sheetId="31" r:id="rId25"/>
    <sheet name="App #3" sheetId="32" r:id="rId26"/>
    <sheet name="App #4" sheetId="37" r:id="rId27"/>
    <sheet name="App #5" sheetId="34" r:id="rId28"/>
  </sheets>
  <definedNames>
    <definedName name="_xlnm.Print_Area" localSheetId="16">'#16'!$A$1:$E$23</definedName>
    <definedName name="_xlnm.Print_Area" localSheetId="26">'App #4'!$A$1:$G$34</definedName>
    <definedName name="solver_adj" localSheetId="17" hidden="1">'#17'!$F$12</definedName>
    <definedName name="solver_cvg" localSheetId="17" hidden="1">0.0001</definedName>
    <definedName name="solver_drv" localSheetId="17" hidden="1">1</definedName>
    <definedName name="solver_est" localSheetId="17" hidden="1">1</definedName>
    <definedName name="solver_itr" localSheetId="17" hidden="1">100</definedName>
    <definedName name="solver_lin" localSheetId="17" hidden="1">2</definedName>
    <definedName name="solver_neg" localSheetId="17" hidden="1">2</definedName>
    <definedName name="solver_num" localSheetId="17" hidden="1">0</definedName>
    <definedName name="solver_nwt" localSheetId="17" hidden="1">1</definedName>
    <definedName name="solver_opt" localSheetId="17" hidden="1">'#17'!#REF!</definedName>
    <definedName name="solver_pre" localSheetId="17" hidden="1">0.000001</definedName>
    <definedName name="solver_scl" localSheetId="17" hidden="1">2</definedName>
    <definedName name="solver_sho" localSheetId="17" hidden="1">2</definedName>
    <definedName name="solver_tim" localSheetId="17" hidden="1">100</definedName>
    <definedName name="solver_tol" localSheetId="17" hidden="1">0.05</definedName>
    <definedName name="solver_typ" localSheetId="17" hidden="1">3</definedName>
    <definedName name="solver_val" localSheetId="17" hidden="1">0</definedName>
  </definedNames>
  <calcPr calcId="114210"/>
</workbook>
</file>

<file path=xl/calcChain.xml><?xml version="1.0" encoding="utf-8"?>
<calcChain xmlns="http://schemas.openxmlformats.org/spreadsheetml/2006/main">
  <c r="D17" i="28"/>
  <c r="D12" i="40"/>
  <c r="D10"/>
  <c r="D9"/>
  <c r="D8"/>
  <c r="D7"/>
  <c r="D19"/>
  <c r="D21"/>
  <c r="C22"/>
  <c r="D18" i="39"/>
  <c r="D20"/>
  <c r="C21"/>
  <c r="D18" i="12"/>
  <c r="D32" i="37"/>
  <c r="C25" i="32"/>
  <c r="D15" i="22"/>
  <c r="D17"/>
  <c r="D17" i="38"/>
  <c r="D18"/>
  <c r="D15" i="6"/>
  <c r="D17"/>
  <c r="C33" i="37"/>
  <c r="D29"/>
  <c r="D30"/>
  <c r="D22"/>
  <c r="D23"/>
  <c r="C25"/>
  <c r="C24"/>
  <c r="D27" i="32"/>
  <c r="D26"/>
  <c r="D22"/>
  <c r="D19"/>
  <c r="C20"/>
  <c r="G28" i="31"/>
  <c r="G29"/>
  <c r="G31"/>
  <c r="D19"/>
  <c r="F26"/>
  <c r="G27"/>
  <c r="G21"/>
  <c r="H19"/>
  <c r="F19"/>
  <c r="D20" i="36"/>
  <c r="D19"/>
  <c r="D21"/>
  <c r="D23"/>
  <c r="D11" i="21"/>
  <c r="D13"/>
  <c r="F12"/>
  <c r="D12"/>
  <c r="F13"/>
  <c r="D8"/>
  <c r="F11"/>
  <c r="D7"/>
  <c r="D10" i="20"/>
  <c r="D12"/>
  <c r="D11"/>
  <c r="F11"/>
  <c r="D7"/>
  <c r="D10" i="35"/>
  <c r="D12"/>
  <c r="D11"/>
  <c r="D7"/>
  <c r="F10"/>
  <c r="F11"/>
  <c r="F12"/>
  <c r="F10" i="20"/>
  <c r="D19" i="18"/>
  <c r="D20"/>
  <c r="D21"/>
  <c r="D23"/>
  <c r="D19" i="17"/>
  <c r="D18"/>
  <c r="D18" i="29"/>
  <c r="D19"/>
  <c r="D16"/>
  <c r="D17"/>
  <c r="D18" i="28"/>
  <c r="D22"/>
  <c r="D16"/>
  <c r="D20"/>
  <c r="D19" i="12"/>
  <c r="D22" i="11"/>
  <c r="C23"/>
  <c r="D24"/>
  <c r="D20"/>
  <c r="D17"/>
  <c r="C18"/>
  <c r="D15" i="10"/>
  <c r="D16"/>
  <c r="D17"/>
  <c r="D20" i="9"/>
  <c r="D21"/>
  <c r="D20" i="26"/>
  <c r="D17"/>
  <c r="D18"/>
  <c r="D19"/>
  <c r="D18" i="25"/>
  <c r="D23"/>
  <c r="D20"/>
  <c r="D17" i="24"/>
  <c r="D18"/>
  <c r="D22"/>
  <c r="D24"/>
  <c r="D20"/>
  <c r="D21"/>
  <c r="D25"/>
  <c r="D21" i="12"/>
  <c r="D15" i="4"/>
  <c r="D17"/>
  <c r="D15" i="8"/>
  <c r="D16"/>
  <c r="D19" i="9"/>
  <c r="D20" i="38"/>
  <c r="C22"/>
  <c r="D20" i="17"/>
  <c r="D22"/>
  <c r="D21" i="29"/>
  <c r="D23"/>
  <c r="D22"/>
  <c r="D21" i="28"/>
  <c r="D22" i="9"/>
  <c r="D21" i="25"/>
  <c r="D18" i="35"/>
  <c r="D19" i="21"/>
  <c r="D18" i="20"/>
</calcChain>
</file>

<file path=xl/sharedStrings.xml><?xml version="1.0" encoding="utf-8"?>
<sst xmlns="http://schemas.openxmlformats.org/spreadsheetml/2006/main" count="421" uniqueCount="207">
  <si>
    <t>Question 1</t>
  </si>
  <si>
    <t>Input Area:</t>
  </si>
  <si>
    <t>Output Area:</t>
  </si>
  <si>
    <t>Unit price</t>
  </si>
  <si>
    <t>Net</t>
  </si>
  <si>
    <t>Remittance</t>
  </si>
  <si>
    <t>Discount</t>
  </si>
  <si>
    <t>Discount period</t>
  </si>
  <si>
    <t>Implicit interest</t>
  </si>
  <si>
    <t>Days of credit</t>
  </si>
  <si>
    <t>Question 2</t>
  </si>
  <si>
    <t>Annual sales</t>
  </si>
  <si>
    <t>Collection period</t>
  </si>
  <si>
    <t>Receivable turnover</t>
  </si>
  <si>
    <t># days per year</t>
  </si>
  <si>
    <t>Question 3</t>
  </si>
  <si>
    <t>ACP</t>
  </si>
  <si>
    <t>Discount used %</t>
  </si>
  <si>
    <t>Question 4</t>
  </si>
  <si>
    <t>Credit sales</t>
  </si>
  <si>
    <t>Cost of production (% of sales)</t>
  </si>
  <si>
    <t>Average A/R</t>
  </si>
  <si>
    <t>Question 5</t>
  </si>
  <si>
    <t>EAR</t>
  </si>
  <si>
    <t>Question 6</t>
  </si>
  <si>
    <t>Daily investment in receivables</t>
  </si>
  <si>
    <t>Receivables turnover</t>
  </si>
  <si>
    <t>Annual credit sales</t>
  </si>
  <si>
    <t>Question 7</t>
  </si>
  <si>
    <t>Units sold</t>
  </si>
  <si>
    <t>Total credit sales</t>
  </si>
  <si>
    <t>Average receivables</t>
  </si>
  <si>
    <t>Question 8</t>
  </si>
  <si>
    <t>Average days past due</t>
  </si>
  <si>
    <t>Receivables</t>
  </si>
  <si>
    <t>Question 9</t>
  </si>
  <si>
    <t>Variable costs</t>
  </si>
  <si>
    <t>Credit price</t>
  </si>
  <si>
    <t>Uncollected orders</t>
  </si>
  <si>
    <t>Required return</t>
  </si>
  <si>
    <t>NPV (per unit)</t>
  </si>
  <si>
    <t>It is assumed that if a person has paid</t>
  </si>
  <si>
    <t xml:space="preserve">his or her bills in the past, then they will </t>
  </si>
  <si>
    <t>pay their bills in the future.  This implies</t>
  </si>
  <si>
    <t xml:space="preserve">that if someone doesn't default when </t>
  </si>
  <si>
    <t xml:space="preserve">credit is first granted, then they will be a </t>
  </si>
  <si>
    <t xml:space="preserve">good customer far into the future, and </t>
  </si>
  <si>
    <t xml:space="preserve">the possible gains from the future </t>
  </si>
  <si>
    <t>business outweigh the possible losses</t>
  </si>
  <si>
    <t>from granting credit the first time.</t>
  </si>
  <si>
    <t>Question 10</t>
  </si>
  <si>
    <t>New Policy</t>
  </si>
  <si>
    <t>Current Policy</t>
  </si>
  <si>
    <t>Price per unit</t>
  </si>
  <si>
    <t>Cost per unit</t>
  </si>
  <si>
    <t>Unit sales per month</t>
  </si>
  <si>
    <t>Cost of switching</t>
  </si>
  <si>
    <t>Perpetual benefit of switching</t>
  </si>
  <si>
    <t>NPV</t>
  </si>
  <si>
    <t xml:space="preserve">The firm will have to bear the cost of sales for one </t>
  </si>
  <si>
    <t>month before they receive any revenue from credit</t>
  </si>
  <si>
    <t>sales, which is why the initial cost is for one month.</t>
  </si>
  <si>
    <t xml:space="preserve">Receivables will grow over the one month credit </t>
  </si>
  <si>
    <t xml:space="preserve">period, and then will remain about stable with </t>
  </si>
  <si>
    <t>payments and new sales offsetting one another.</t>
  </si>
  <si>
    <t>Question 11</t>
  </si>
  <si>
    <t>Carrying cost</t>
  </si>
  <si>
    <t>EOQ</t>
  </si>
  <si>
    <t>Question 12</t>
  </si>
  <si>
    <t>the number of orders.</t>
  </si>
  <si>
    <t>Question 13</t>
  </si>
  <si>
    <t>Carrying costs = (Q/2)*CC</t>
  </si>
  <si>
    <t>Restocking costs = F*(T/Q)</t>
  </si>
  <si>
    <t>Question 14</t>
  </si>
  <si>
    <t>Incremental cash flow</t>
  </si>
  <si>
    <t>Question 15</t>
  </si>
  <si>
    <t>Question 16</t>
  </si>
  <si>
    <t>Cash flow from old policy:</t>
  </si>
  <si>
    <t>Cash flow from new policy:</t>
  </si>
  <si>
    <t>Question 17</t>
  </si>
  <si>
    <t>Question 18</t>
  </si>
  <si>
    <t>Question 19</t>
  </si>
  <si>
    <t># sold per week</t>
  </si>
  <si>
    <t>Safety stock</t>
  </si>
  <si>
    <t>Input boxes in tan</t>
  </si>
  <si>
    <t>Output boxes in yellow</t>
  </si>
  <si>
    <t>Given data in blue</t>
  </si>
  <si>
    <t>Calculations in red</t>
  </si>
  <si>
    <t>Answers in green</t>
  </si>
  <si>
    <t>Units</t>
  </si>
  <si>
    <t>Terms</t>
  </si>
  <si>
    <t>/</t>
  </si>
  <si>
    <t>a.</t>
  </si>
  <si>
    <t>Days until account</t>
  </si>
  <si>
    <t>is overdue</t>
  </si>
  <si>
    <t>b.</t>
  </si>
  <si>
    <t>c.</t>
  </si>
  <si>
    <t>Percentage taking discount</t>
  </si>
  <si>
    <t>Sales price</t>
  </si>
  <si>
    <t>Units sold per period</t>
  </si>
  <si>
    <t>Periods per year</t>
  </si>
  <si>
    <t>Total annual sales</t>
  </si>
  <si>
    <t>Average receivables balance</t>
  </si>
  <si>
    <t>New discount</t>
  </si>
  <si>
    <t>New credit period</t>
  </si>
  <si>
    <t>New discount period</t>
  </si>
  <si>
    <t>EAR (original terms)</t>
  </si>
  <si>
    <t>New terms</t>
  </si>
  <si>
    <t>New net</t>
  </si>
  <si>
    <t xml:space="preserve">If the firm increases the cash discount, then more </t>
  </si>
  <si>
    <t>people will pay sooner, thus lowering the average</t>
  </si>
  <si>
    <t>collection period. If the ACP declines, receivables</t>
  </si>
  <si>
    <t>turnover increases, which will lead to a decrease</t>
  </si>
  <si>
    <t>in average receivables.</t>
  </si>
  <si>
    <t>Quantity ordered</t>
  </si>
  <si>
    <t>p</t>
  </si>
  <si>
    <t>Number of items used</t>
  </si>
  <si>
    <t>Carrying cost per unit</t>
  </si>
  <si>
    <t>Fixed order cost</t>
  </si>
  <si>
    <t>Output:</t>
  </si>
  <si>
    <t>Order cost</t>
  </si>
  <si>
    <t>Frequency of order</t>
  </si>
  <si>
    <t>The firm's ordering policy is</t>
  </si>
  <si>
    <t xml:space="preserve">The company should </t>
  </si>
  <si>
    <t>the order size and</t>
  </si>
  <si>
    <t>Number of orders per year</t>
  </si>
  <si>
    <r>
      <t>Q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= 2*F*(T/CC)</t>
    </r>
  </si>
  <si>
    <t>Old Cashflow</t>
  </si>
  <si>
    <t>= (P – v)Q</t>
  </si>
  <si>
    <t xml:space="preserve">New Cashflow </t>
  </si>
  <si>
    <r>
      <t xml:space="preserve">= (P – v)(1 – 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>)Q</t>
    </r>
    <r>
      <rPr>
        <sz val="11"/>
        <rFont val="Symbol"/>
        <family val="1"/>
        <charset val="2"/>
      </rPr>
      <t>¢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+ 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>Q</t>
    </r>
    <r>
      <rPr>
        <sz val="11"/>
        <rFont val="Symbol"/>
        <family val="1"/>
        <charset val="2"/>
      </rPr>
      <t>¢</t>
    </r>
    <r>
      <rPr>
        <sz val="11"/>
        <rFont val="Times New Roman"/>
        <family val="1"/>
      </rPr>
      <t xml:space="preserve"> [(1 – </t>
    </r>
    <r>
      <rPr>
        <sz val="11"/>
        <rFont val="Symbol"/>
        <family val="1"/>
        <charset val="2"/>
      </rPr>
      <t>p</t>
    </r>
    <r>
      <rPr>
        <sz val="11"/>
        <rFont val="Times New Roman"/>
        <family val="1"/>
      </rPr>
      <t>)P</t>
    </r>
    <r>
      <rPr>
        <sz val="11"/>
        <rFont val="Symbol"/>
        <family val="1"/>
        <charset val="2"/>
      </rPr>
      <t>¢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– v]     </t>
    </r>
  </si>
  <si>
    <r>
      <t>= (P – v)(Q</t>
    </r>
    <r>
      <rPr>
        <sz val="11"/>
        <rFont val="Symbol"/>
        <family val="1"/>
        <charset val="2"/>
      </rPr>
      <t>¢</t>
    </r>
    <r>
      <rPr>
        <sz val="11"/>
        <rFont val="Times New Roman"/>
        <family val="1"/>
      </rPr>
      <t xml:space="preserve"> – Q) + 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>Q</t>
    </r>
    <r>
      <rPr>
        <sz val="11"/>
        <rFont val="Symbol"/>
        <family val="1"/>
        <charset val="2"/>
      </rPr>
      <t>¢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[(1 – </t>
    </r>
    <r>
      <rPr>
        <sz val="11"/>
        <rFont val="Symbol"/>
        <family val="1"/>
        <charset val="2"/>
      </rPr>
      <t>p</t>
    </r>
    <r>
      <rPr>
        <sz val="11"/>
        <rFont val="Times New Roman"/>
        <family val="1"/>
      </rPr>
      <t>)P</t>
    </r>
    <r>
      <rPr>
        <sz val="11"/>
        <rFont val="Symbol"/>
        <family val="1"/>
        <charset val="2"/>
      </rPr>
      <t>¢</t>
    </r>
    <r>
      <rPr>
        <sz val="11"/>
        <rFont val="Times New Roman"/>
        <family val="1"/>
      </rPr>
      <t xml:space="preserve"> – P]</t>
    </r>
  </si>
  <si>
    <t xml:space="preserve">Incremental Cashflow </t>
  </si>
  <si>
    <r>
      <t xml:space="preserve">= –(P – v)Q + (P – v)(1 – 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>)Q</t>
    </r>
    <r>
      <rPr>
        <sz val="11"/>
        <rFont val="Symbol"/>
        <family val="1"/>
        <charset val="2"/>
      </rPr>
      <t>¢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+ 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>Q</t>
    </r>
    <r>
      <rPr>
        <sz val="11"/>
        <rFont val="Symbol"/>
        <family val="1"/>
        <charset val="2"/>
      </rPr>
      <t>¢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[(1 – </t>
    </r>
    <r>
      <rPr>
        <sz val="11"/>
        <rFont val="Symbol"/>
        <family val="1"/>
        <charset val="2"/>
      </rPr>
      <t>p</t>
    </r>
    <r>
      <rPr>
        <sz val="11"/>
        <rFont val="Times New Roman"/>
        <family val="1"/>
      </rPr>
      <t>)P</t>
    </r>
    <r>
      <rPr>
        <sz val="11"/>
        <rFont val="Symbol"/>
        <family val="1"/>
        <charset val="2"/>
      </rPr>
      <t>¢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– v]</t>
    </r>
  </si>
  <si>
    <r>
      <t>= (P – v)(Q</t>
    </r>
    <r>
      <rPr>
        <sz val="11"/>
        <rFont val="Symbol"/>
        <family val="1"/>
        <charset val="2"/>
      </rPr>
      <t>¢</t>
    </r>
    <r>
      <rPr>
        <sz val="11"/>
        <rFont val="Times New Roman"/>
        <family val="1"/>
      </rPr>
      <t xml:space="preserve"> – Q) – 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>PQ</t>
    </r>
    <r>
      <rPr>
        <sz val="11"/>
        <rFont val="Symbol"/>
        <family val="1"/>
        <charset val="2"/>
      </rPr>
      <t>¢</t>
    </r>
    <r>
      <rPr>
        <sz val="11"/>
        <rFont val="Times New Roman"/>
        <family val="1"/>
      </rPr>
      <t xml:space="preserve"> + </t>
    </r>
  </si>
  <si>
    <t xml:space="preserve">Thus, NPV </t>
  </si>
  <si>
    <t>Breakeven quantity</t>
  </si>
  <si>
    <t>Breakeven price</t>
  </si>
  <si>
    <t>Unit sales per period</t>
  </si>
  <si>
    <t>New unit sales per period</t>
  </si>
  <si>
    <t>New price per unit</t>
  </si>
  <si>
    <t>Current price per unit</t>
  </si>
  <si>
    <t>Uncollectible sales</t>
  </si>
  <si>
    <t>Required return per period</t>
  </si>
  <si>
    <t>Quantity sold</t>
  </si>
  <si>
    <t>Cash price</t>
  </si>
  <si>
    <t>Days' credit</t>
  </si>
  <si>
    <t>d.</t>
  </si>
  <si>
    <t>Default rate</t>
  </si>
  <si>
    <t>net</t>
  </si>
  <si>
    <t>Maximum accounts receivable</t>
  </si>
  <si>
    <t>Since the quantity sold does not change, variable cost is the same</t>
  </si>
  <si>
    <t>under either plan.</t>
  </si>
  <si>
    <r>
      <t xml:space="preserve">No, because d - </t>
    </r>
    <r>
      <rPr>
        <sz val="12"/>
        <rFont val="Symbol"/>
        <family val="1"/>
        <charset val="2"/>
      </rPr>
      <t>p</t>
    </r>
    <r>
      <rPr>
        <sz val="12"/>
        <rFont val="Arial"/>
        <family val="2"/>
      </rPr>
      <t xml:space="preserve"> = </t>
    </r>
  </si>
  <si>
    <t>, the NPV will be negative.</t>
  </si>
  <si>
    <t>Breakeven credit price</t>
  </si>
  <si>
    <t>The breakeven credit price is</t>
  </si>
  <si>
    <t xml:space="preserve">, which implies </t>
  </si>
  <si>
    <t>the breakeven discount is</t>
  </si>
  <si>
    <t>The NPV at this discount rate is</t>
  </si>
  <si>
    <t>Current price</t>
  </si>
  <si>
    <t>Variable cost</t>
  </si>
  <si>
    <t>Units ordered</t>
  </si>
  <si>
    <t>Payment period</t>
  </si>
  <si>
    <t>Default probability</t>
  </si>
  <si>
    <t>Breakeven probability</t>
  </si>
  <si>
    <t>Effectively, the cash discount is</t>
  </si>
  <si>
    <t>Since the discount</t>
  </si>
  <si>
    <t xml:space="preserve">rate is </t>
  </si>
  <si>
    <t>the default rate, credit</t>
  </si>
  <si>
    <t>be granted.</t>
  </si>
  <si>
    <t>Required return per month</t>
  </si>
  <si>
    <t>Refuse Credit</t>
  </si>
  <si>
    <t>Grant Credit</t>
  </si>
  <si>
    <t>Quantity sold per quarter</t>
  </si>
  <si>
    <t>Probability of payment</t>
  </si>
  <si>
    <t xml:space="preserve">Cash discount </t>
  </si>
  <si>
    <t>Due to the increase in both quantity sold and credit price when credit</t>
  </si>
  <si>
    <t>is granted, an additional incremental cost is incurred.</t>
  </si>
  <si>
    <t>Additional incremental cost</t>
  </si>
  <si>
    <t>Cost of credit report</t>
  </si>
  <si>
    <t>Daily sales</t>
  </si>
  <si>
    <t>Sales</t>
  </si>
  <si>
    <t>Probablity of default</t>
  </si>
  <si>
    <t>Initial charge to subscribe</t>
  </si>
  <si>
    <t>Cost of each credit report</t>
  </si>
  <si>
    <t>Cost of subscription</t>
  </si>
  <si>
    <t>Savings from credit reports</t>
  </si>
  <si>
    <t xml:space="preserve">Net savings </t>
  </si>
  <si>
    <t>Question 20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</si>
  <si>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</si>
  <si>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</si>
  <si>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</si>
  <si>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</si>
  <si>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Orders per year</t>
  </si>
  <si>
    <t>Suits sold per year</t>
  </si>
  <si>
    <r>
      <t>Q = [2F*(T/CC)]</t>
    </r>
    <r>
      <rPr>
        <vertAlign val="superscript"/>
        <sz val="12"/>
        <rFont val="Arial"/>
        <family val="2"/>
      </rPr>
      <t xml:space="preserve">1/2 </t>
    </r>
    <r>
      <rPr>
        <sz val="12"/>
        <rFont val="Arial"/>
        <family val="2"/>
      </rPr>
      <t>= EOQ</t>
    </r>
  </si>
  <si>
    <t>Chapter 28</t>
  </si>
  <si>
    <t>Chapter 28 - Appendix</t>
  </si>
  <si>
    <t>Chapter 28- Appendix</t>
  </si>
  <si>
    <t>Question 21</t>
  </si>
  <si>
    <t>Percentage of repeat</t>
  </si>
  <si>
    <t xml:space="preserve">   customers</t>
  </si>
  <si>
    <t>Initial cost</t>
  </si>
  <si>
    <t xml:space="preserve">NPV </t>
  </si>
  <si>
    <t>Question 22</t>
  </si>
  <si>
    <t>Problems 1-22, Appendix 1-5</t>
  </si>
</sst>
</file>

<file path=xl/styles.xml><?xml version="1.0" encoding="utf-8"?>
<styleSheet xmlns="http://schemas.openxmlformats.org/spreadsheetml/2006/main">
  <numFmts count="1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0.0000"/>
    <numFmt numFmtId="168" formatCode="0.000"/>
    <numFmt numFmtId="169" formatCode="_(* #,##0.000_);_(* \(#,##0.000\);_(* &quot;-&quot;??_);_(@_)"/>
    <numFmt numFmtId="170" formatCode="_(* #,##0.0000_);_(* \(#,##0.0000\);_(* &quot;-&quot;??_);_(@_)"/>
    <numFmt numFmtId="171" formatCode="_(* #,##0.0000_);_(* \(#,##0.0000\);_(* &quot;-&quot;????_);_(@_)"/>
    <numFmt numFmtId="172" formatCode="0.0%"/>
    <numFmt numFmtId="173" formatCode="_(* #,##0.00000_);_(* \(#,##0.00000\);_(* &quot;-&quot;??_);_(@_)"/>
    <numFmt numFmtId="174" formatCode="_(* #,##0.00_);_(* \(#,##0.00\);_(* &quot;-&quot;_);_(@_)"/>
    <numFmt numFmtId="175" formatCode="&quot;$&quot;#,##0.00"/>
    <numFmt numFmtId="176" formatCode="_(&quot;$&quot;* #,##0.000000_);_(&quot;$&quot;* \(#,##0.000000\);_(&quot;$&quot;* &quot;-&quot;??_);_(@_)"/>
  </numFmts>
  <fonts count="28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12"/>
      <color indexed="48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name val="Symbol"/>
      <family val="1"/>
      <charset val="2"/>
    </font>
    <font>
      <vertAlign val="superscript"/>
      <sz val="12"/>
      <name val="Arial"/>
      <family val="2"/>
    </font>
    <font>
      <sz val="11"/>
      <name val="Times New Roman"/>
      <family val="1"/>
    </font>
    <font>
      <sz val="11"/>
      <name val="Symbol"/>
      <family val="1"/>
      <charset val="2"/>
    </font>
    <font>
      <b/>
      <sz val="11"/>
      <name val="Times New Roman"/>
      <family val="1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4" fillId="2" borderId="0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6" fillId="3" borderId="0" xfId="0" applyFont="1" applyFill="1" applyBorder="1"/>
    <xf numFmtId="165" fontId="5" fillId="2" borderId="0" xfId="2" applyNumberFormat="1" applyFont="1" applyFill="1" applyBorder="1"/>
    <xf numFmtId="165" fontId="6" fillId="3" borderId="0" xfId="2" applyNumberFormat="1" applyFont="1" applyFill="1" applyBorder="1"/>
    <xf numFmtId="168" fontId="6" fillId="3" borderId="0" xfId="0" applyNumberFormat="1" applyFont="1" applyFill="1" applyBorder="1"/>
    <xf numFmtId="165" fontId="7" fillId="3" borderId="0" xfId="2" applyNumberFormat="1" applyFont="1" applyFill="1" applyBorder="1"/>
    <xf numFmtId="165" fontId="7" fillId="3" borderId="9" xfId="2" applyNumberFormat="1" applyFont="1" applyFill="1" applyBorder="1"/>
    <xf numFmtId="43" fontId="7" fillId="3" borderId="0" xfId="1" applyFont="1" applyFill="1" applyBorder="1"/>
    <xf numFmtId="10" fontId="7" fillId="3" borderId="9" xfId="4" applyNumberFormat="1" applyFont="1" applyFill="1" applyBorder="1"/>
    <xf numFmtId="44" fontId="7" fillId="3" borderId="9" xfId="2" applyFont="1" applyFill="1" applyBorder="1"/>
    <xf numFmtId="0" fontId="2" fillId="2" borderId="0" xfId="0" applyFont="1" applyFill="1" applyBorder="1"/>
    <xf numFmtId="169" fontId="6" fillId="3" borderId="0" xfId="0" applyNumberFormat="1" applyFont="1" applyFill="1" applyBorder="1"/>
    <xf numFmtId="44" fontId="6" fillId="3" borderId="0" xfId="2" applyFont="1" applyFill="1" applyBorder="1"/>
    <xf numFmtId="10" fontId="7" fillId="3" borderId="0" xfId="4" applyNumberFormat="1" applyFont="1" applyFill="1" applyBorder="1"/>
    <xf numFmtId="165" fontId="4" fillId="2" borderId="0" xfId="2" applyNumberFormat="1" applyFont="1" applyFill="1" applyBorder="1"/>
    <xf numFmtId="44" fontId="6" fillId="3" borderId="0" xfId="2" applyNumberFormat="1" applyFont="1" applyFill="1" applyBorder="1"/>
    <xf numFmtId="0" fontId="2" fillId="0" borderId="0" xfId="0" applyFont="1" applyFill="1" applyBorder="1"/>
    <xf numFmtId="165" fontId="5" fillId="0" borderId="0" xfId="2" applyNumberFormat="1" applyFont="1" applyFill="1" applyBorder="1"/>
    <xf numFmtId="166" fontId="7" fillId="3" borderId="9" xfId="1" applyNumberFormat="1" applyFont="1" applyFill="1" applyBorder="1"/>
    <xf numFmtId="9" fontId="7" fillId="3" borderId="9" xfId="0" applyNumberFormat="1" applyFont="1" applyFill="1" applyBorder="1"/>
    <xf numFmtId="166" fontId="7" fillId="3" borderId="9" xfId="0" applyNumberFormat="1" applyFont="1" applyFill="1" applyBorder="1"/>
    <xf numFmtId="0" fontId="8" fillId="4" borderId="0" xfId="0" applyFont="1" applyFill="1" applyBorder="1"/>
    <xf numFmtId="0" fontId="8" fillId="4" borderId="0" xfId="0" applyFont="1" applyFill="1"/>
    <xf numFmtId="0" fontId="0" fillId="4" borderId="0" xfId="0" applyFill="1"/>
    <xf numFmtId="2" fontId="9" fillId="4" borderId="0" xfId="0" applyNumberFormat="1" applyFont="1" applyFill="1" applyBorder="1" applyAlignment="1"/>
    <xf numFmtId="0" fontId="10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4" fillId="4" borderId="0" xfId="0" applyFont="1" applyFill="1" applyBorder="1"/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7" fillId="4" borderId="0" xfId="0" applyFont="1" applyFill="1" applyBorder="1"/>
    <xf numFmtId="0" fontId="0" fillId="4" borderId="0" xfId="0" applyFill="1" applyBorder="1"/>
    <xf numFmtId="41" fontId="16" fillId="2" borderId="0" xfId="0" applyNumberFormat="1" applyFont="1" applyFill="1" applyBorder="1"/>
    <xf numFmtId="165" fontId="16" fillId="2" borderId="0" xfId="2" applyNumberFormat="1" applyFont="1" applyFill="1" applyBorder="1"/>
    <xf numFmtId="9" fontId="16" fillId="2" borderId="0" xfId="4" applyNumberFormat="1" applyFont="1" applyFill="1" applyBorder="1"/>
    <xf numFmtId="41" fontId="16" fillId="2" borderId="0" xfId="4" applyNumberFormat="1" applyFont="1" applyFill="1" applyBorder="1"/>
    <xf numFmtId="0" fontId="3" fillId="3" borderId="4" xfId="0" applyFont="1" applyFill="1" applyBorder="1"/>
    <xf numFmtId="41" fontId="7" fillId="3" borderId="9" xfId="0" applyNumberFormat="1" applyFont="1" applyFill="1" applyBorder="1"/>
    <xf numFmtId="41" fontId="7" fillId="3" borderId="0" xfId="0" applyNumberFormat="1" applyFont="1" applyFill="1" applyBorder="1"/>
    <xf numFmtId="9" fontId="7" fillId="3" borderId="0" xfId="0" applyNumberFormat="1" applyFont="1" applyFill="1" applyBorder="1"/>
    <xf numFmtId="166" fontId="7" fillId="3" borderId="0" xfId="0" applyNumberFormat="1" applyFont="1" applyFill="1" applyBorder="1"/>
    <xf numFmtId="166" fontId="7" fillId="3" borderId="0" xfId="1" applyNumberFormat="1" applyFont="1" applyFill="1" applyBorder="1"/>
    <xf numFmtId="166" fontId="16" fillId="2" borderId="0" xfId="1" applyNumberFormat="1" applyFont="1" applyFill="1" applyBorder="1"/>
    <xf numFmtId="168" fontId="17" fillId="3" borderId="0" xfId="0" applyNumberFormat="1" applyFont="1" applyFill="1" applyBorder="1"/>
    <xf numFmtId="9" fontId="16" fillId="2" borderId="0" xfId="4" applyFont="1" applyFill="1" applyBorder="1"/>
    <xf numFmtId="0" fontId="3" fillId="3" borderId="1" xfId="0" applyFont="1" applyFill="1" applyBorder="1"/>
    <xf numFmtId="43" fontId="7" fillId="3" borderId="9" xfId="0" applyNumberFormat="1" applyFont="1" applyFill="1" applyBorder="1"/>
    <xf numFmtId="43" fontId="7" fillId="3" borderId="0" xfId="0" applyNumberFormat="1" applyFont="1" applyFill="1" applyBorder="1"/>
    <xf numFmtId="43" fontId="17" fillId="3" borderId="10" xfId="0" applyNumberFormat="1" applyFont="1" applyFill="1" applyBorder="1"/>
    <xf numFmtId="43" fontId="17" fillId="3" borderId="0" xfId="0" applyNumberFormat="1" applyFont="1" applyFill="1" applyBorder="1"/>
    <xf numFmtId="42" fontId="17" fillId="3" borderId="0" xfId="0" applyNumberFormat="1" applyFont="1" applyFill="1" applyBorder="1"/>
    <xf numFmtId="171" fontId="17" fillId="3" borderId="0" xfId="0" applyNumberFormat="1" applyFont="1" applyFill="1" applyBorder="1"/>
    <xf numFmtId="43" fontId="17" fillId="3" borderId="11" xfId="0" applyNumberFormat="1" applyFont="1" applyFill="1" applyBorder="1"/>
    <xf numFmtId="44" fontId="7" fillId="3" borderId="9" xfId="2" applyNumberFormat="1" applyFont="1" applyFill="1" applyBorder="1"/>
    <xf numFmtId="44" fontId="7" fillId="3" borderId="0" xfId="2" applyNumberFormat="1" applyFont="1" applyFill="1" applyBorder="1"/>
    <xf numFmtId="0" fontId="3" fillId="3" borderId="6" xfId="0" applyFont="1" applyFill="1" applyBorder="1"/>
    <xf numFmtId="0" fontId="3" fillId="2" borderId="4" xfId="0" applyFont="1" applyFill="1" applyBorder="1"/>
    <xf numFmtId="44" fontId="7" fillId="3" borderId="0" xfId="2" applyFont="1" applyFill="1" applyBorder="1"/>
    <xf numFmtId="0" fontId="16" fillId="2" borderId="5" xfId="0" applyFont="1" applyFill="1" applyBorder="1"/>
    <xf numFmtId="42" fontId="16" fillId="2" borderId="0" xfId="2" applyNumberFormat="1" applyFont="1" applyFill="1" applyBorder="1"/>
    <xf numFmtId="166" fontId="16" fillId="2" borderId="0" xfId="2" applyNumberFormat="1" applyFont="1" applyFill="1" applyBorder="1"/>
    <xf numFmtId="9" fontId="16" fillId="2" borderId="0" xfId="4" applyFont="1" applyFill="1" applyBorder="1" applyAlignment="1">
      <alignment horizontal="center"/>
    </xf>
    <xf numFmtId="165" fontId="17" fillId="3" borderId="0" xfId="2" applyNumberFormat="1" applyFont="1" applyFill="1" applyBorder="1"/>
    <xf numFmtId="169" fontId="17" fillId="3" borderId="0" xfId="0" applyNumberFormat="1" applyFont="1" applyFill="1" applyBorder="1"/>
    <xf numFmtId="167" fontId="17" fillId="3" borderId="0" xfId="0" applyNumberFormat="1" applyFont="1" applyFill="1" applyBorder="1"/>
    <xf numFmtId="43" fontId="17" fillId="3" borderId="0" xfId="1" applyNumberFormat="1" applyFont="1" applyFill="1" applyBorder="1"/>
    <xf numFmtId="165" fontId="17" fillId="2" borderId="0" xfId="2" applyNumberFormat="1" applyFont="1" applyFill="1" applyBorder="1"/>
    <xf numFmtId="173" fontId="16" fillId="2" borderId="0" xfId="1" applyNumberFormat="1" applyFont="1" applyFill="1" applyBorder="1"/>
    <xf numFmtId="0" fontId="17" fillId="3" borderId="0" xfId="0" applyFont="1" applyFill="1" applyBorder="1"/>
    <xf numFmtId="0" fontId="16" fillId="2" borderId="0" xfId="0" applyFont="1" applyFill="1" applyBorder="1"/>
    <xf numFmtId="172" fontId="16" fillId="2" borderId="0" xfId="4" applyNumberFormat="1" applyFont="1" applyFill="1" applyBorder="1"/>
    <xf numFmtId="0" fontId="18" fillId="3" borderId="0" xfId="0" applyFont="1" applyFill="1" applyBorder="1"/>
    <xf numFmtId="43" fontId="7" fillId="3" borderId="0" xfId="2" applyNumberFormat="1" applyFont="1" applyFill="1" applyBorder="1"/>
    <xf numFmtId="0" fontId="2" fillId="0" borderId="0" xfId="0" applyFont="1" applyFill="1"/>
    <xf numFmtId="41" fontId="16" fillId="2" borderId="0" xfId="2" applyNumberFormat="1" applyFont="1" applyFill="1" applyBorder="1"/>
    <xf numFmtId="44" fontId="16" fillId="2" borderId="0" xfId="2" applyNumberFormat="1" applyFont="1" applyFill="1" applyBorder="1"/>
    <xf numFmtId="44" fontId="16" fillId="2" borderId="0" xfId="4" applyNumberFormat="1" applyFont="1" applyFill="1" applyBorder="1"/>
    <xf numFmtId="44" fontId="7" fillId="3" borderId="12" xfId="2" applyNumberFormat="1" applyFont="1" applyFill="1" applyBorder="1"/>
    <xf numFmtId="43" fontId="7" fillId="3" borderId="9" xfId="2" applyNumberFormat="1" applyFont="1" applyFill="1" applyBorder="1"/>
    <xf numFmtId="0" fontId="6" fillId="3" borderId="7" xfId="0" applyFont="1" applyFill="1" applyBorder="1"/>
    <xf numFmtId="43" fontId="17" fillId="3" borderId="0" xfId="2" applyNumberFormat="1" applyFont="1" applyFill="1" applyBorder="1"/>
    <xf numFmtId="0" fontId="17" fillId="2" borderId="0" xfId="0" applyFont="1" applyFill="1" applyBorder="1"/>
    <xf numFmtId="0" fontId="20" fillId="3" borderId="0" xfId="0" applyFont="1" applyFill="1" applyBorder="1"/>
    <xf numFmtId="0" fontId="0" fillId="3" borderId="0" xfId="0" applyFill="1" applyBorder="1"/>
    <xf numFmtId="172" fontId="17" fillId="2" borderId="0" xfId="4" applyNumberFormat="1" applyFont="1" applyFill="1" applyBorder="1"/>
    <xf numFmtId="165" fontId="4" fillId="2" borderId="0" xfId="2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41" fontId="17" fillId="2" borderId="0" xfId="2" applyNumberFormat="1" applyFont="1" applyFill="1" applyBorder="1"/>
    <xf numFmtId="41" fontId="17" fillId="2" borderId="0" xfId="0" applyNumberFormat="1" applyFont="1" applyFill="1" applyBorder="1"/>
    <xf numFmtId="44" fontId="16" fillId="2" borderId="0" xfId="0" applyNumberFormat="1" applyFont="1" applyFill="1" applyBorder="1"/>
    <xf numFmtId="44" fontId="16" fillId="2" borderId="0" xfId="2" applyFont="1" applyFill="1" applyBorder="1"/>
    <xf numFmtId="165" fontId="2" fillId="3" borderId="0" xfId="2" applyNumberFormat="1" applyFont="1" applyFill="1" applyBorder="1" applyAlignment="1">
      <alignment horizontal="center"/>
    </xf>
    <xf numFmtId="1" fontId="17" fillId="3" borderId="0" xfId="0" applyNumberFormat="1" applyFont="1" applyFill="1" applyBorder="1"/>
    <xf numFmtId="0" fontId="17" fillId="3" borderId="0" xfId="0" quotePrefix="1" applyFont="1" applyFill="1" applyBorder="1"/>
    <xf numFmtId="41" fontId="17" fillId="3" borderId="0" xfId="0" quotePrefix="1" applyNumberFormat="1" applyFont="1" applyFill="1" applyBorder="1"/>
    <xf numFmtId="41" fontId="17" fillId="3" borderId="0" xfId="0" applyNumberFormat="1" applyFont="1" applyFill="1" applyBorder="1"/>
    <xf numFmtId="1" fontId="7" fillId="3" borderId="13" xfId="0" applyNumberFormat="1" applyFont="1" applyFill="1" applyBorder="1"/>
    <xf numFmtId="0" fontId="7" fillId="3" borderId="14" xfId="0" quotePrefix="1" applyFont="1" applyFill="1" applyBorder="1"/>
    <xf numFmtId="41" fontId="7" fillId="3" borderId="14" xfId="0" quotePrefix="1" applyNumberFormat="1" applyFont="1" applyFill="1" applyBorder="1"/>
    <xf numFmtId="165" fontId="2" fillId="3" borderId="14" xfId="2" applyNumberFormat="1" applyFont="1" applyFill="1" applyBorder="1" applyAlignment="1">
      <alignment horizontal="center"/>
    </xf>
    <xf numFmtId="41" fontId="7" fillId="3" borderId="15" xfId="0" applyNumberFormat="1" applyFont="1" applyFill="1" applyBorder="1"/>
    <xf numFmtId="165" fontId="7" fillId="3" borderId="9" xfId="2" applyNumberFormat="1" applyFont="1" applyFill="1" applyBorder="1" applyAlignment="1">
      <alignment horizontal="center"/>
    </xf>
    <xf numFmtId="9" fontId="17" fillId="3" borderId="0" xfId="4" applyFont="1" applyFill="1" applyBorder="1"/>
    <xf numFmtId="9" fontId="2" fillId="3" borderId="0" xfId="4" applyFont="1" applyFill="1" applyBorder="1" applyAlignment="1">
      <alignment horizontal="left"/>
    </xf>
    <xf numFmtId="44" fontId="7" fillId="3" borderId="9" xfId="4" applyNumberFormat="1" applyFont="1" applyFill="1" applyBorder="1" applyAlignment="1">
      <alignment horizontal="left"/>
    </xf>
    <xf numFmtId="10" fontId="7" fillId="3" borderId="9" xfId="4" applyNumberFormat="1" applyFont="1" applyFill="1" applyBorder="1" applyAlignment="1">
      <alignment horizontal="right"/>
    </xf>
    <xf numFmtId="175" fontId="17" fillId="3" borderId="0" xfId="4" applyNumberFormat="1" applyFont="1" applyFill="1" applyBorder="1" applyAlignment="1">
      <alignment horizontal="right"/>
    </xf>
    <xf numFmtId="42" fontId="16" fillId="2" borderId="0" xfId="0" applyNumberFormat="1" applyFont="1" applyFill="1" applyBorder="1"/>
    <xf numFmtId="42" fontId="16" fillId="2" borderId="0" xfId="1" applyNumberFormat="1" applyFont="1" applyFill="1" applyBorder="1"/>
    <xf numFmtId="10" fontId="7" fillId="3" borderId="9" xfId="0" applyNumberFormat="1" applyFont="1" applyFill="1" applyBorder="1"/>
    <xf numFmtId="44" fontId="7" fillId="3" borderId="9" xfId="0" applyNumberFormat="1" applyFont="1" applyFill="1" applyBorder="1"/>
    <xf numFmtId="10" fontId="17" fillId="3" borderId="0" xfId="4" applyNumberFormat="1" applyFont="1" applyFill="1" applyBorder="1" applyAlignment="1">
      <alignment horizontal="center"/>
    </xf>
    <xf numFmtId="165" fontId="2" fillId="3" borderId="0" xfId="2" applyNumberFormat="1" applyFont="1" applyFill="1" applyBorder="1" applyAlignment="1">
      <alignment horizontal="left"/>
    </xf>
    <xf numFmtId="44" fontId="17" fillId="3" borderId="0" xfId="2" applyNumberFormat="1" applyFont="1" applyFill="1" applyBorder="1"/>
    <xf numFmtId="10" fontId="16" fillId="2" borderId="0" xfId="4" applyNumberFormat="1" applyFont="1" applyFill="1" applyBorder="1"/>
    <xf numFmtId="164" fontId="16" fillId="2" borderId="0" xfId="2" applyNumberFormat="1" applyFont="1" applyFill="1" applyBorder="1"/>
    <xf numFmtId="164" fontId="16" fillId="2" borderId="0" xfId="0" applyNumberFormat="1" applyFont="1" applyFill="1" applyBorder="1"/>
    <xf numFmtId="165" fontId="2" fillId="3" borderId="0" xfId="2" applyNumberFormat="1" applyFont="1" applyFill="1" applyBorder="1"/>
    <xf numFmtId="10" fontId="17" fillId="3" borderId="0" xfId="0" applyNumberFormat="1" applyFont="1" applyFill="1" applyBorder="1"/>
    <xf numFmtId="0" fontId="7" fillId="3" borderId="0" xfId="0" applyFont="1" applyFill="1" applyBorder="1"/>
    <xf numFmtId="0" fontId="23" fillId="0" borderId="0" xfId="0" applyFont="1"/>
    <xf numFmtId="44" fontId="17" fillId="3" borderId="0" xfId="0" applyNumberFormat="1" applyFont="1" applyFill="1" applyBorder="1"/>
    <xf numFmtId="170" fontId="7" fillId="3" borderId="9" xfId="1" applyNumberFormat="1" applyFont="1" applyFill="1" applyBorder="1"/>
    <xf numFmtId="9" fontId="17" fillId="3" borderId="0" xfId="4" applyNumberFormat="1" applyFont="1" applyFill="1" applyBorder="1"/>
    <xf numFmtId="42" fontId="7" fillId="3" borderId="9" xfId="4" applyNumberFormat="1" applyFont="1" applyFill="1" applyBorder="1" applyAlignment="1">
      <alignment horizontal="left"/>
    </xf>
    <xf numFmtId="42" fontId="16" fillId="2" borderId="0" xfId="4" applyNumberFormat="1" applyFont="1" applyFill="1" applyBorder="1"/>
    <xf numFmtId="44" fontId="2" fillId="0" borderId="0" xfId="0" applyNumberFormat="1" applyFont="1"/>
    <xf numFmtId="176" fontId="2" fillId="0" borderId="0" xfId="0" applyNumberFormat="1" applyFont="1" applyFill="1" applyBorder="1"/>
    <xf numFmtId="0" fontId="24" fillId="4" borderId="0" xfId="0" applyFont="1" applyFill="1" applyBorder="1"/>
    <xf numFmtId="41" fontId="25" fillId="3" borderId="0" xfId="0" applyNumberFormat="1" applyFont="1" applyFill="1" applyBorder="1"/>
    <xf numFmtId="44" fontId="26" fillId="3" borderId="9" xfId="2" applyNumberFormat="1" applyFont="1" applyFill="1" applyBorder="1"/>
    <xf numFmtId="174" fontId="26" fillId="3" borderId="9" xfId="0" applyNumberFormat="1" applyFont="1" applyFill="1" applyBorder="1"/>
    <xf numFmtId="41" fontId="2" fillId="0" borderId="0" xfId="0" applyNumberFormat="1" applyFont="1"/>
    <xf numFmtId="10" fontId="17" fillId="2" borderId="0" xfId="4" applyNumberFormat="1" applyFont="1" applyFill="1" applyBorder="1"/>
    <xf numFmtId="43" fontId="2" fillId="0" borderId="0" xfId="0" applyNumberFormat="1" applyFont="1"/>
    <xf numFmtId="43" fontId="2" fillId="0" borderId="0" xfId="1" applyFont="1"/>
    <xf numFmtId="174" fontId="2" fillId="0" borderId="0" xfId="0" applyNumberFormat="1" applyFont="1"/>
    <xf numFmtId="166" fontId="2" fillId="0" borderId="0" xfId="1" applyNumberFormat="1" applyFont="1"/>
    <xf numFmtId="43" fontId="2" fillId="0" borderId="0" xfId="1" applyNumberFormat="1" applyFont="1"/>
    <xf numFmtId="0" fontId="2" fillId="0" borderId="0" xfId="3" applyFont="1"/>
    <xf numFmtId="0" fontId="23" fillId="0" borderId="0" xfId="3" applyFont="1"/>
    <xf numFmtId="0" fontId="1" fillId="0" borderId="0" xfId="3"/>
    <xf numFmtId="0" fontId="3" fillId="0" borderId="0" xfId="3" applyFont="1"/>
    <xf numFmtId="0" fontId="2" fillId="2" borderId="1" xfId="3" applyFont="1" applyFill="1" applyBorder="1"/>
    <xf numFmtId="0" fontId="2" fillId="2" borderId="2" xfId="3" applyFont="1" applyFill="1" applyBorder="1"/>
    <xf numFmtId="0" fontId="2" fillId="2" borderId="3" xfId="3" applyFont="1" applyFill="1" applyBorder="1"/>
    <xf numFmtId="0" fontId="2" fillId="2" borderId="4" xfId="3" applyFont="1" applyFill="1" applyBorder="1"/>
    <xf numFmtId="0" fontId="2" fillId="2" borderId="0" xfId="3" applyFont="1" applyFill="1" applyBorder="1"/>
    <xf numFmtId="0" fontId="2" fillId="2" borderId="5" xfId="3" applyFont="1" applyFill="1" applyBorder="1"/>
    <xf numFmtId="0" fontId="2" fillId="2" borderId="6" xfId="3" applyFont="1" applyFill="1" applyBorder="1"/>
    <xf numFmtId="0" fontId="2" fillId="2" borderId="7" xfId="3" applyFont="1" applyFill="1" applyBorder="1"/>
    <xf numFmtId="0" fontId="2" fillId="2" borderId="8" xfId="3" applyFont="1" applyFill="1" applyBorder="1"/>
    <xf numFmtId="0" fontId="2" fillId="3" borderId="1" xfId="3" applyFont="1" applyFill="1" applyBorder="1"/>
    <xf numFmtId="0" fontId="2" fillId="3" borderId="2" xfId="3" applyFont="1" applyFill="1" applyBorder="1"/>
    <xf numFmtId="0" fontId="2" fillId="3" borderId="3" xfId="3" applyFont="1" applyFill="1" applyBorder="1"/>
    <xf numFmtId="0" fontId="2" fillId="3" borderId="4" xfId="3" applyFont="1" applyFill="1" applyBorder="1"/>
    <xf numFmtId="0" fontId="2" fillId="3" borderId="0" xfId="3" applyFont="1" applyFill="1" applyBorder="1"/>
    <xf numFmtId="165" fontId="25" fillId="3" borderId="0" xfId="3" applyNumberFormat="1" applyFont="1" applyFill="1" applyBorder="1"/>
    <xf numFmtId="0" fontId="2" fillId="3" borderId="5" xfId="3" applyFont="1" applyFill="1" applyBorder="1"/>
    <xf numFmtId="0" fontId="3" fillId="3" borderId="4" xfId="3" applyFont="1" applyFill="1" applyBorder="1"/>
    <xf numFmtId="0" fontId="17" fillId="3" borderId="0" xfId="3" applyFont="1" applyFill="1" applyBorder="1"/>
    <xf numFmtId="0" fontId="6" fillId="3" borderId="0" xfId="3" applyFont="1" applyFill="1" applyBorder="1"/>
    <xf numFmtId="0" fontId="2" fillId="3" borderId="6" xfId="3" applyFont="1" applyFill="1" applyBorder="1"/>
    <xf numFmtId="0" fontId="2" fillId="3" borderId="7" xfId="3" applyFont="1" applyFill="1" applyBorder="1"/>
    <xf numFmtId="0" fontId="2" fillId="3" borderId="8" xfId="3" applyFont="1" applyFill="1" applyBorder="1"/>
    <xf numFmtId="166" fontId="25" fillId="2" borderId="0" xfId="1" applyNumberFormat="1" applyFont="1" applyFill="1" applyBorder="1"/>
    <xf numFmtId="165" fontId="25" fillId="2" borderId="0" xfId="2" applyNumberFormat="1" applyFont="1" applyFill="1" applyBorder="1"/>
    <xf numFmtId="172" fontId="25" fillId="2" borderId="0" xfId="4" applyNumberFormat="1" applyFont="1" applyFill="1" applyBorder="1"/>
    <xf numFmtId="9" fontId="25" fillId="2" borderId="0" xfId="4" applyNumberFormat="1" applyFont="1" applyFill="1" applyBorder="1"/>
    <xf numFmtId="165" fontId="16" fillId="2" borderId="0" xfId="4" applyNumberFormat="1" applyFont="1" applyFill="1" applyBorder="1"/>
    <xf numFmtId="0" fontId="23" fillId="0" borderId="0" xfId="0" applyFont="1" applyAlignment="1">
      <alignment horizontal="left"/>
    </xf>
  </cellXfs>
  <cellStyles count="5">
    <cellStyle name="Comma" xfId="1" builtinId="3"/>
    <cellStyle name="Currency" xfId="2" builtinId="4"/>
    <cellStyle name="Normal" xfId="0" builtinId="0"/>
    <cellStyle name="Normal 2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4"/>
  <sheetViews>
    <sheetView tabSelected="1" workbookViewId="0"/>
  </sheetViews>
  <sheetFormatPr defaultRowHeight="12.75"/>
  <cols>
    <col min="1" max="3" width="9.140625" style="43"/>
    <col min="4" max="4" width="42.5703125" style="43" customWidth="1"/>
    <col min="5" max="16384" width="9.140625" style="43"/>
  </cols>
  <sheetData>
    <row r="1" spans="1:29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</row>
    <row r="2" spans="1:29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</row>
    <row r="3" spans="1:29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</row>
    <row r="4" spans="1:29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</row>
    <row r="5" spans="1:29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</row>
    <row r="7" spans="1:29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</row>
    <row r="8" spans="1:2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</row>
    <row r="9" spans="1:29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</row>
    <row r="10" spans="1:29" ht="59.25">
      <c r="A10" s="41"/>
      <c r="B10" s="41"/>
      <c r="C10" s="41"/>
      <c r="D10" s="44" t="s">
        <v>197</v>
      </c>
      <c r="E10" s="41"/>
      <c r="F10" s="45"/>
      <c r="G10" s="41"/>
      <c r="H10" s="41"/>
      <c r="I10" s="41"/>
      <c r="J10" s="41"/>
      <c r="K10" s="41"/>
      <c r="L10" s="41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2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</row>
    <row r="12" spans="1:29" ht="23.25">
      <c r="A12" s="41"/>
      <c r="B12" s="41"/>
      <c r="C12" s="41"/>
      <c r="D12" s="46" t="s">
        <v>206</v>
      </c>
      <c r="E12" s="41"/>
      <c r="F12" s="41"/>
      <c r="G12" s="41"/>
      <c r="H12" s="41"/>
      <c r="I12" s="41"/>
      <c r="J12" s="41"/>
      <c r="K12" s="41"/>
      <c r="L12" s="41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</row>
    <row r="13" spans="1:29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</row>
    <row r="14" spans="1:29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</row>
    <row r="15" spans="1:29" ht="15">
      <c r="A15" s="41"/>
      <c r="B15" s="41"/>
      <c r="C15" s="41"/>
      <c r="D15" s="47"/>
      <c r="E15" s="41"/>
      <c r="F15" s="41"/>
      <c r="G15" s="41"/>
      <c r="H15" s="41"/>
      <c r="I15" s="41"/>
      <c r="J15" s="41"/>
      <c r="K15" s="41"/>
      <c r="L15" s="41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</row>
    <row r="16" spans="1:29" ht="15.75">
      <c r="A16" s="41"/>
      <c r="B16" s="41"/>
      <c r="C16" s="41"/>
      <c r="D16" s="48" t="s">
        <v>84</v>
      </c>
      <c r="E16" s="41"/>
      <c r="F16" s="41"/>
      <c r="G16" s="41"/>
      <c r="H16" s="41"/>
      <c r="I16" s="41"/>
      <c r="J16" s="41"/>
      <c r="K16" s="41"/>
      <c r="L16" s="41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</row>
    <row r="17" spans="1:29" ht="15.75">
      <c r="A17" s="41"/>
      <c r="B17" s="41"/>
      <c r="C17" s="41"/>
      <c r="D17" s="49" t="s">
        <v>85</v>
      </c>
      <c r="E17" s="41"/>
      <c r="F17" s="41"/>
      <c r="G17" s="41"/>
      <c r="H17" s="41"/>
      <c r="I17" s="41"/>
      <c r="J17" s="41"/>
      <c r="K17" s="41"/>
      <c r="L17" s="41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</row>
    <row r="18" spans="1:29" ht="15.75">
      <c r="A18" s="41"/>
      <c r="B18" s="41"/>
      <c r="C18" s="41"/>
      <c r="D18" s="50" t="s">
        <v>86</v>
      </c>
      <c r="E18" s="41"/>
      <c r="F18" s="41"/>
      <c r="G18" s="41"/>
      <c r="H18" s="41"/>
      <c r="I18" s="41"/>
      <c r="J18" s="41"/>
      <c r="K18" s="41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</row>
    <row r="19" spans="1:29" ht="15.75">
      <c r="A19" s="41"/>
      <c r="B19" s="41"/>
      <c r="C19" s="41"/>
      <c r="D19" s="51" t="s">
        <v>87</v>
      </c>
      <c r="E19" s="41"/>
      <c r="F19" s="41"/>
      <c r="G19" s="41"/>
      <c r="H19" s="41"/>
      <c r="I19" s="41"/>
      <c r="J19" s="41"/>
      <c r="K19" s="41"/>
      <c r="L19" s="41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</row>
    <row r="20" spans="1:29" ht="15.75">
      <c r="A20" s="41"/>
      <c r="B20" s="41"/>
      <c r="C20" s="41"/>
      <c r="D20" s="52" t="s">
        <v>88</v>
      </c>
      <c r="E20" s="41"/>
      <c r="F20" s="41"/>
      <c r="G20" s="41"/>
      <c r="H20" s="41"/>
      <c r="I20" s="41"/>
      <c r="J20" s="41"/>
      <c r="K20" s="41"/>
      <c r="L20" s="41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</row>
    <row r="21" spans="1:29" ht="15">
      <c r="A21" s="41"/>
      <c r="B21" s="41"/>
      <c r="C21" s="41"/>
      <c r="D21" s="47"/>
      <c r="E21" s="41"/>
      <c r="F21" s="41"/>
      <c r="G21" s="41"/>
      <c r="H21" s="41"/>
      <c r="I21" s="41"/>
      <c r="J21" s="41"/>
      <c r="K21" s="41"/>
      <c r="L21" s="41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</row>
    <row r="22" spans="1:29">
      <c r="A22" s="41"/>
      <c r="B22" s="41"/>
      <c r="C22" s="41"/>
      <c r="D22" s="151" t="s">
        <v>190</v>
      </c>
      <c r="E22" s="41"/>
      <c r="F22" s="41"/>
      <c r="G22" s="41"/>
      <c r="H22" s="41"/>
      <c r="I22" s="41"/>
      <c r="J22" s="41"/>
      <c r="K22" s="41"/>
      <c r="L22" s="41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</row>
    <row r="23" spans="1:29">
      <c r="A23" s="41"/>
      <c r="B23" s="41"/>
      <c r="C23" s="41"/>
      <c r="D23" s="151" t="s">
        <v>191</v>
      </c>
      <c r="E23" s="41"/>
      <c r="F23" s="41"/>
      <c r="G23" s="41"/>
      <c r="H23" s="41"/>
      <c r="I23" s="41"/>
      <c r="J23" s="41"/>
      <c r="K23" s="41"/>
      <c r="L23" s="41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</row>
    <row r="24" spans="1:29">
      <c r="A24" s="41"/>
      <c r="B24" s="41"/>
      <c r="C24" s="41"/>
      <c r="D24" s="151" t="s">
        <v>192</v>
      </c>
      <c r="E24" s="41"/>
      <c r="F24" s="41"/>
      <c r="G24" s="41"/>
      <c r="H24" s="41"/>
      <c r="I24" s="41"/>
      <c r="J24" s="41"/>
      <c r="K24" s="41"/>
      <c r="L24" s="41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</row>
    <row r="25" spans="1:29">
      <c r="A25" s="41"/>
      <c r="B25" s="41"/>
      <c r="C25" s="41"/>
      <c r="D25" s="151" t="s">
        <v>193</v>
      </c>
      <c r="E25" s="41"/>
      <c r="F25" s="41"/>
      <c r="G25" s="41"/>
      <c r="H25" s="41"/>
      <c r="I25" s="41"/>
      <c r="J25" s="41"/>
      <c r="K25" s="41"/>
      <c r="L25" s="41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</row>
    <row r="26" spans="1:29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</row>
    <row r="27" spans="1:29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</row>
    <row r="28" spans="1:29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</row>
    <row r="29" spans="1:29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</row>
    <row r="30" spans="1:29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</row>
    <row r="31" spans="1:29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</row>
    <row r="32" spans="1:29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</row>
    <row r="33" spans="1:29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</row>
    <row r="34" spans="1:29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</row>
    <row r="35" spans="1:29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</row>
    <row r="36" spans="1:29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</row>
    <row r="37" spans="1:29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</row>
    <row r="38" spans="1:29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</row>
    <row r="39" spans="1:29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</row>
    <row r="40" spans="1:29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</row>
    <row r="41" spans="1:29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</row>
    <row r="42" spans="1:29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</row>
    <row r="43" spans="1:29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</row>
    <row r="44" spans="1:29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</row>
    <row r="45" spans="1:29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</row>
    <row r="46" spans="1:29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</row>
    <row r="47" spans="1:29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</row>
    <row r="48" spans="1:29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</row>
    <row r="49" spans="1:1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</row>
    <row r="50" spans="1:1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</row>
    <row r="51" spans="1:1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</row>
    <row r="52" spans="1:1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</row>
    <row r="54" spans="1:1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</row>
    <row r="55" spans="1:1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</row>
    <row r="56" spans="1:1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</row>
    <row r="57" spans="1:12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</row>
    <row r="58" spans="1:1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</row>
    <row r="59" spans="1:12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</row>
    <row r="60" spans="1:12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</row>
    <row r="61" spans="1:12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</row>
    <row r="62" spans="1:12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</row>
    <row r="63" spans="1:1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</row>
    <row r="64" spans="1:12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</row>
    <row r="65" spans="1:1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</row>
    <row r="67" spans="1:1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</row>
    <row r="68" spans="1:1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</row>
    <row r="69" spans="1:1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</row>
    <row r="70" spans="1:1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1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</row>
    <row r="72" spans="1:1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</row>
    <row r="73" spans="1:1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</row>
    <row r="74" spans="1:1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</row>
    <row r="75" spans="1:12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</row>
    <row r="76" spans="1:1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</row>
    <row r="77" spans="1:12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</row>
    <row r="78" spans="1:12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</row>
    <row r="79" spans="1:12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</row>
    <row r="80" spans="1:12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</row>
    <row r="81" spans="1:12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</row>
    <row r="82" spans="1:12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</row>
    <row r="83" spans="1:12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</row>
    <row r="84" spans="1:12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</row>
    <row r="85" spans="1:12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</row>
    <row r="86" spans="1:12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</row>
    <row r="87" spans="1:12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</row>
    <row r="88" spans="1:12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</row>
    <row r="89" spans="1:12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</row>
    <row r="90" spans="1:12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</row>
    <row r="91" spans="1:12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</row>
    <row r="92" spans="1:12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</row>
    <row r="93" spans="1:12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</row>
    <row r="94" spans="1:12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</row>
    <row r="95" spans="1:12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</row>
    <row r="96" spans="1:12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</row>
    <row r="97" spans="1:12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</row>
    <row r="98" spans="1:12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</row>
    <row r="99" spans="1:12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</row>
    <row r="100" spans="1:12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</row>
    <row r="101" spans="1:12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</row>
    <row r="102" spans="1:12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</row>
    <row r="103" spans="1:12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</row>
    <row r="104" spans="1:12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39"/>
  <sheetViews>
    <sheetView workbookViewId="0"/>
  </sheetViews>
  <sheetFormatPr defaultRowHeight="12.75"/>
  <cols>
    <col min="2" max="2" width="3" customWidth="1"/>
    <col min="3" max="3" width="19.42578125" customWidth="1"/>
    <col min="4" max="4" width="18.85546875" bestFit="1" customWidth="1"/>
    <col min="5" max="5" width="3.140625" customWidth="1"/>
    <col min="6" max="6" width="18.140625" customWidth="1"/>
    <col min="7" max="7" width="18.28515625" customWidth="1"/>
    <col min="8" max="8" width="3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">
      <c r="A2" s="1"/>
      <c r="B2" s="1"/>
      <c r="C2" s="1" t="s">
        <v>35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1"/>
      <c r="G6" s="1"/>
      <c r="H6" s="1"/>
    </row>
    <row r="7" spans="1:8" ht="15">
      <c r="A7" s="1"/>
      <c r="B7" s="6"/>
      <c r="C7" s="30" t="s">
        <v>114</v>
      </c>
      <c r="D7" s="64">
        <v>8</v>
      </c>
      <c r="E7" s="7"/>
      <c r="F7" s="1"/>
      <c r="G7" s="1"/>
      <c r="H7" s="1"/>
    </row>
    <row r="8" spans="1:8" ht="15">
      <c r="A8" s="1"/>
      <c r="B8" s="6"/>
      <c r="C8" s="30" t="s">
        <v>36</v>
      </c>
      <c r="D8" s="55">
        <v>2400000</v>
      </c>
      <c r="E8" s="7"/>
      <c r="F8" s="1"/>
      <c r="G8" s="1"/>
      <c r="H8" s="1"/>
    </row>
    <row r="9" spans="1:8" ht="15">
      <c r="A9" s="1"/>
      <c r="B9" s="6"/>
      <c r="C9" s="30" t="s">
        <v>37</v>
      </c>
      <c r="D9" s="55">
        <v>2625000</v>
      </c>
      <c r="E9" s="7"/>
      <c r="F9" s="1"/>
      <c r="G9" s="1"/>
      <c r="H9" s="1"/>
    </row>
    <row r="10" spans="1:8" ht="15">
      <c r="A10" s="1"/>
      <c r="B10" s="6"/>
      <c r="C10" s="30" t="s">
        <v>38</v>
      </c>
      <c r="D10" s="89">
        <v>5.0000000000000001E-3</v>
      </c>
      <c r="E10" s="7"/>
      <c r="F10" s="1"/>
      <c r="G10" s="1"/>
      <c r="H10" s="1"/>
    </row>
    <row r="11" spans="1:8" ht="15">
      <c r="A11" s="1"/>
      <c r="B11" s="6"/>
      <c r="C11" s="30" t="s">
        <v>39</v>
      </c>
      <c r="D11" s="92">
        <v>2.9000000000000001E-2</v>
      </c>
      <c r="E11" s="7"/>
      <c r="F11" s="1"/>
      <c r="G11" s="1"/>
      <c r="H11" s="1"/>
    </row>
    <row r="12" spans="1:8" ht="15.75" thickBot="1">
      <c r="A12" s="1"/>
      <c r="B12" s="8"/>
      <c r="C12" s="9"/>
      <c r="D12" s="9"/>
      <c r="E12" s="10"/>
      <c r="F12" s="1"/>
      <c r="G12" s="1"/>
      <c r="H12" s="1"/>
    </row>
    <row r="13" spans="1:8" ht="15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"/>
      <c r="C14" s="2" t="s">
        <v>2</v>
      </c>
      <c r="D14" s="1"/>
      <c r="E14" s="1"/>
      <c r="F14" s="1"/>
      <c r="G14" s="1"/>
      <c r="H14" s="1"/>
    </row>
    <row r="15" spans="1:8" ht="15.75" thickBot="1">
      <c r="A15" s="1"/>
      <c r="B15" s="1"/>
      <c r="C15" s="1"/>
      <c r="D15" s="1"/>
      <c r="E15" s="1"/>
      <c r="F15" s="1"/>
      <c r="G15" s="1"/>
      <c r="H15" s="1"/>
    </row>
    <row r="16" spans="1:8" ht="15">
      <c r="A16" s="1"/>
      <c r="B16" s="12"/>
      <c r="C16" s="13"/>
      <c r="D16" s="13"/>
      <c r="E16" s="14"/>
      <c r="F16" s="1"/>
      <c r="G16" s="1"/>
      <c r="H16" s="1"/>
    </row>
    <row r="17" spans="1:8" ht="15.75">
      <c r="A17" s="1"/>
      <c r="B17" s="58" t="s">
        <v>92</v>
      </c>
      <c r="C17" s="16" t="s">
        <v>40</v>
      </c>
      <c r="D17" s="29">
        <f>-$D$8+((1-$D$10)*($D$9))/(1+$D$11)</f>
        <v>138265.30612244923</v>
      </c>
      <c r="E17" s="17"/>
      <c r="F17" s="1"/>
      <c r="G17" s="1"/>
      <c r="H17" s="1"/>
    </row>
    <row r="18" spans="1:8" ht="15">
      <c r="A18" s="1"/>
      <c r="B18" s="58"/>
      <c r="C18" s="90" t="str">
        <f>IF(D17&gt;0,"Fill the order","Do not fill the order")</f>
        <v>Fill the order</v>
      </c>
      <c r="D18" s="21"/>
      <c r="E18" s="17"/>
      <c r="F18" s="1"/>
      <c r="G18" s="1"/>
      <c r="H18" s="1"/>
    </row>
    <row r="19" spans="1:8" ht="15">
      <c r="A19" s="1"/>
      <c r="B19" s="58"/>
      <c r="C19" s="16"/>
      <c r="D19" s="21"/>
      <c r="E19" s="17"/>
      <c r="F19" s="1"/>
      <c r="G19" s="1"/>
      <c r="H19" s="1"/>
    </row>
    <row r="20" spans="1:8" ht="15.75">
      <c r="A20" s="1"/>
      <c r="B20" s="58" t="s">
        <v>95</v>
      </c>
      <c r="C20" s="93" t="s">
        <v>115</v>
      </c>
      <c r="D20" s="28">
        <f>-(((D8*(1+D11))/D9)-1)</f>
        <v>5.920000000000003E-2</v>
      </c>
      <c r="E20" s="17"/>
      <c r="F20" s="1"/>
      <c r="G20" s="1"/>
      <c r="H20" s="1"/>
    </row>
    <row r="21" spans="1:8" ht="15">
      <c r="A21" s="1"/>
      <c r="B21" s="58"/>
      <c r="C21" s="16"/>
      <c r="D21" s="21"/>
      <c r="E21" s="17"/>
      <c r="F21" s="1"/>
      <c r="G21" s="1"/>
      <c r="H21" s="1"/>
    </row>
    <row r="22" spans="1:8" ht="15.75">
      <c r="A22" s="1"/>
      <c r="B22" s="58" t="s">
        <v>96</v>
      </c>
      <c r="C22" s="16" t="s">
        <v>40</v>
      </c>
      <c r="D22" s="75">
        <f>-D8+((1-D10)*(D9-D8))/(D11)</f>
        <v>5319827.5862068962</v>
      </c>
      <c r="E22" s="17"/>
      <c r="F22" s="1"/>
      <c r="G22" s="1"/>
      <c r="H22" s="1"/>
    </row>
    <row r="23" spans="1:8" ht="15">
      <c r="A23" s="1"/>
      <c r="B23" s="58"/>
      <c r="C23" s="90" t="str">
        <f>IF(D22&gt;0,"Fill the order","Do not fill the order")</f>
        <v>Fill the order</v>
      </c>
      <c r="D23" s="23"/>
      <c r="E23" s="17"/>
      <c r="F23" s="1"/>
      <c r="G23" s="1"/>
      <c r="H23" s="1"/>
    </row>
    <row r="24" spans="1:8" ht="15.75">
      <c r="A24" s="1"/>
      <c r="B24" s="58"/>
      <c r="C24" s="93" t="s">
        <v>115</v>
      </c>
      <c r="D24" s="28">
        <f>-((D8*D11)/(D9-D8)-1)</f>
        <v>0.69066666666666665</v>
      </c>
      <c r="E24" s="17"/>
      <c r="F24" s="1"/>
      <c r="G24" s="1"/>
      <c r="H24" s="1"/>
    </row>
    <row r="25" spans="1:8" ht="15.75">
      <c r="A25" s="1"/>
      <c r="B25" s="58"/>
      <c r="C25" s="16"/>
      <c r="D25" s="33"/>
      <c r="E25" s="17"/>
      <c r="F25" s="1"/>
      <c r="G25" s="1"/>
      <c r="H25" s="1"/>
    </row>
    <row r="26" spans="1:8" ht="15.75">
      <c r="A26" s="1"/>
      <c r="B26" s="58"/>
      <c r="C26" s="16" t="s">
        <v>41</v>
      </c>
      <c r="D26" s="33"/>
      <c r="E26" s="17"/>
      <c r="F26" s="1"/>
      <c r="G26" s="1"/>
      <c r="H26" s="1"/>
    </row>
    <row r="27" spans="1:8" ht="15.75">
      <c r="A27" s="1"/>
      <c r="B27" s="15"/>
      <c r="C27" s="16" t="s">
        <v>42</v>
      </c>
      <c r="D27" s="33"/>
      <c r="E27" s="17"/>
      <c r="F27" s="1"/>
      <c r="G27" s="1"/>
      <c r="H27" s="1"/>
    </row>
    <row r="28" spans="1:8" ht="15.75">
      <c r="A28" s="1"/>
      <c r="B28" s="15"/>
      <c r="C28" s="16" t="s">
        <v>43</v>
      </c>
      <c r="D28" s="33"/>
      <c r="E28" s="17"/>
      <c r="F28" s="1"/>
      <c r="G28" s="1"/>
      <c r="H28" s="1"/>
    </row>
    <row r="29" spans="1:8" ht="15.75">
      <c r="A29" s="1"/>
      <c r="B29" s="15"/>
      <c r="C29" s="16" t="s">
        <v>44</v>
      </c>
      <c r="D29" s="33"/>
      <c r="E29" s="17"/>
      <c r="F29" s="1"/>
      <c r="G29" s="1"/>
      <c r="H29" s="1"/>
    </row>
    <row r="30" spans="1:8" ht="15">
      <c r="A30" s="1"/>
      <c r="B30" s="15"/>
      <c r="C30" s="16" t="s">
        <v>45</v>
      </c>
      <c r="D30" s="32"/>
      <c r="E30" s="17"/>
      <c r="F30" s="1"/>
      <c r="G30" s="1"/>
      <c r="H30" s="1"/>
    </row>
    <row r="31" spans="1:8" ht="15">
      <c r="A31" s="1"/>
      <c r="B31" s="15"/>
      <c r="C31" s="16" t="s">
        <v>46</v>
      </c>
      <c r="D31" s="32"/>
      <c r="E31" s="17"/>
      <c r="F31" s="1"/>
      <c r="G31" s="1"/>
      <c r="H31" s="1"/>
    </row>
    <row r="32" spans="1:8" ht="15">
      <c r="A32" s="1"/>
      <c r="B32" s="15"/>
      <c r="C32" s="16" t="s">
        <v>47</v>
      </c>
      <c r="D32" s="32"/>
      <c r="E32" s="17"/>
      <c r="F32" s="1"/>
      <c r="G32" s="1"/>
      <c r="H32" s="1"/>
    </row>
    <row r="33" spans="1:8" ht="15">
      <c r="A33" s="1"/>
      <c r="B33" s="15"/>
      <c r="C33" s="16" t="s">
        <v>48</v>
      </c>
      <c r="D33" s="32"/>
      <c r="E33" s="17"/>
      <c r="F33" s="1"/>
      <c r="G33" s="1"/>
      <c r="H33" s="1"/>
    </row>
    <row r="34" spans="1:8" ht="15">
      <c r="A34" s="1"/>
      <c r="B34" s="15"/>
      <c r="C34" s="16" t="s">
        <v>49</v>
      </c>
      <c r="D34" s="32"/>
      <c r="E34" s="17"/>
      <c r="F34" s="1"/>
      <c r="G34" s="1"/>
      <c r="H34" s="1"/>
    </row>
    <row r="35" spans="1:8" ht="15.75" thickBot="1">
      <c r="A35" s="1"/>
      <c r="B35" s="18"/>
      <c r="C35" s="19"/>
      <c r="D35" s="19"/>
      <c r="E35" s="20"/>
      <c r="F35" s="1"/>
      <c r="G35" s="1"/>
      <c r="H35" s="1"/>
    </row>
    <row r="36" spans="1:8" ht="15">
      <c r="A36" s="1"/>
      <c r="B36" s="1"/>
      <c r="C36" s="1"/>
      <c r="D36" s="1"/>
      <c r="E36" s="1"/>
      <c r="F36" s="1"/>
      <c r="G36" s="1"/>
      <c r="H36" s="1"/>
    </row>
    <row r="37" spans="1:8" ht="15">
      <c r="A37" s="1"/>
      <c r="B37" s="1"/>
      <c r="C37" s="1"/>
      <c r="D37" s="1"/>
      <c r="E37" s="1"/>
      <c r="F37" s="1"/>
      <c r="G37" s="1"/>
      <c r="H37" s="1"/>
    </row>
    <row r="38" spans="1:8" ht="15">
      <c r="A38" s="1"/>
      <c r="B38" s="1"/>
      <c r="C38" s="1"/>
      <c r="D38" s="1"/>
      <c r="E38" s="1"/>
      <c r="F38" s="1"/>
      <c r="G38" s="1"/>
      <c r="H38" s="1"/>
    </row>
    <row r="39" spans="1:8" ht="15">
      <c r="A39" s="1"/>
      <c r="B39" s="1"/>
      <c r="C39" s="1"/>
      <c r="D39" s="1"/>
      <c r="E39" s="1"/>
      <c r="F39" s="1"/>
      <c r="G39" s="1"/>
      <c r="H3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33"/>
  <sheetViews>
    <sheetView workbookViewId="0"/>
  </sheetViews>
  <sheetFormatPr defaultRowHeight="12.75"/>
  <cols>
    <col min="2" max="2" width="3" customWidth="1"/>
    <col min="3" max="3" width="30.28515625" bestFit="1" customWidth="1"/>
    <col min="4" max="4" width="18.140625" customWidth="1"/>
    <col min="5" max="5" width="3.140625" customWidth="1"/>
    <col min="6" max="6" width="18.140625" customWidth="1"/>
    <col min="7" max="7" width="3.140625" customWidth="1"/>
    <col min="8" max="8" width="18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">
      <c r="A2" s="1"/>
      <c r="B2" s="1"/>
      <c r="C2" s="1" t="s">
        <v>50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4"/>
      <c r="F6" s="4"/>
      <c r="G6" s="5"/>
      <c r="H6" s="1"/>
    </row>
    <row r="7" spans="1:8" ht="15">
      <c r="A7" s="1"/>
      <c r="B7" s="6"/>
      <c r="C7" s="30" t="s">
        <v>39</v>
      </c>
      <c r="D7" s="137">
        <v>9.4999999999999998E-3</v>
      </c>
      <c r="E7" s="30"/>
      <c r="F7" s="30"/>
      <c r="G7" s="7"/>
      <c r="H7" s="1"/>
    </row>
    <row r="8" spans="1:8" ht="15">
      <c r="A8" s="1"/>
      <c r="B8" s="6"/>
      <c r="C8" s="30"/>
      <c r="D8" s="22"/>
      <c r="E8" s="30"/>
      <c r="F8" s="30"/>
      <c r="G8" s="7"/>
      <c r="H8" s="1"/>
    </row>
    <row r="9" spans="1:8" ht="15">
      <c r="A9" s="1"/>
      <c r="B9" s="6"/>
      <c r="C9" s="30"/>
      <c r="D9" s="34" t="s">
        <v>52</v>
      </c>
      <c r="E9" s="30"/>
      <c r="F9" s="30" t="s">
        <v>51</v>
      </c>
      <c r="G9" s="7"/>
      <c r="H9" s="1"/>
    </row>
    <row r="10" spans="1:8" ht="15">
      <c r="A10" s="1"/>
      <c r="B10" s="6"/>
      <c r="C10" s="30" t="s">
        <v>53</v>
      </c>
      <c r="D10" s="55">
        <v>720</v>
      </c>
      <c r="E10" s="91"/>
      <c r="F10" s="55">
        <v>720</v>
      </c>
      <c r="G10" s="7"/>
      <c r="H10" s="1"/>
    </row>
    <row r="11" spans="1:8" ht="15">
      <c r="A11" s="1"/>
      <c r="B11" s="6"/>
      <c r="C11" s="30" t="s">
        <v>54</v>
      </c>
      <c r="D11" s="55">
        <v>495</v>
      </c>
      <c r="E11" s="91"/>
      <c r="F11" s="55">
        <v>495</v>
      </c>
      <c r="G11" s="7"/>
      <c r="H11" s="1"/>
    </row>
    <row r="12" spans="1:8" ht="15">
      <c r="A12" s="1"/>
      <c r="B12" s="6"/>
      <c r="C12" s="11" t="s">
        <v>55</v>
      </c>
      <c r="D12" s="96">
        <v>1100</v>
      </c>
      <c r="E12" s="54"/>
      <c r="F12" s="96">
        <v>1140</v>
      </c>
      <c r="G12" s="7"/>
      <c r="H12" s="1"/>
    </row>
    <row r="13" spans="1:8" ht="15.75" thickBot="1">
      <c r="A13" s="1"/>
      <c r="B13" s="8"/>
      <c r="C13" s="9"/>
      <c r="D13" s="9"/>
      <c r="E13" s="9"/>
      <c r="F13" s="9"/>
      <c r="G13" s="10"/>
      <c r="H13" s="1"/>
    </row>
    <row r="14" spans="1:8" ht="15">
      <c r="A14" s="1"/>
      <c r="B14" s="1"/>
      <c r="C14" s="1"/>
      <c r="D14" s="1"/>
      <c r="E14" s="1"/>
      <c r="F14" s="1"/>
      <c r="G14" s="1"/>
      <c r="H14" s="1"/>
    </row>
    <row r="15" spans="1:8" ht="15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thickBot="1">
      <c r="A16" s="1"/>
      <c r="B16" s="1"/>
      <c r="C16" s="1"/>
      <c r="D16" s="1"/>
      <c r="E16" s="1"/>
      <c r="F16" s="1"/>
      <c r="G16" s="1"/>
      <c r="H16" s="1"/>
    </row>
    <row r="17" spans="1:8" ht="15">
      <c r="A17" s="1"/>
      <c r="B17" s="12"/>
      <c r="C17" s="13"/>
      <c r="D17" s="13"/>
      <c r="E17" s="14"/>
      <c r="F17" s="1"/>
      <c r="G17" s="1"/>
      <c r="H17" s="1"/>
    </row>
    <row r="18" spans="1:8" ht="15">
      <c r="A18" s="1"/>
      <c r="B18" s="15"/>
      <c r="C18" s="16" t="s">
        <v>56</v>
      </c>
      <c r="D18" s="136">
        <f>(D10*D12)+(D11*(F12-D12))</f>
        <v>811800</v>
      </c>
      <c r="E18" s="17"/>
      <c r="F18" s="1"/>
      <c r="G18" s="1"/>
      <c r="H18" s="1"/>
    </row>
    <row r="19" spans="1:8" ht="15">
      <c r="A19" s="1"/>
      <c r="B19" s="15"/>
      <c r="C19" s="16" t="s">
        <v>57</v>
      </c>
      <c r="D19" s="136">
        <f>((D10-D11)*(F12-D12))</f>
        <v>9000</v>
      </c>
      <c r="E19" s="17"/>
      <c r="F19" s="1"/>
      <c r="G19" s="1"/>
      <c r="H19" s="1"/>
    </row>
    <row r="20" spans="1:8" ht="15">
      <c r="A20" s="1"/>
      <c r="B20" s="15"/>
      <c r="C20" s="16"/>
      <c r="D20" s="23"/>
      <c r="E20" s="17"/>
      <c r="F20" s="1"/>
      <c r="G20" s="1"/>
      <c r="H20" s="1"/>
    </row>
    <row r="21" spans="1:8" ht="15.75">
      <c r="A21" s="1"/>
      <c r="B21" s="15"/>
      <c r="C21" s="16" t="s">
        <v>58</v>
      </c>
      <c r="D21" s="75">
        <f>-(D18)+((D19/D7))</f>
        <v>135568.42105263157</v>
      </c>
      <c r="E21" s="17"/>
      <c r="F21" s="1"/>
      <c r="G21" s="1"/>
      <c r="H21" s="1"/>
    </row>
    <row r="22" spans="1:8" ht="15.75">
      <c r="A22" s="1"/>
      <c r="B22" s="15"/>
      <c r="C22" s="16"/>
      <c r="D22" s="33"/>
      <c r="E22" s="17"/>
      <c r="F22" s="1"/>
      <c r="G22" s="1"/>
      <c r="H22" s="1"/>
    </row>
    <row r="23" spans="1:8" ht="15">
      <c r="A23" s="1"/>
      <c r="B23" s="15"/>
      <c r="C23" s="16" t="s">
        <v>59</v>
      </c>
      <c r="D23" s="21"/>
      <c r="E23" s="17"/>
      <c r="F23" s="1"/>
      <c r="G23" s="1"/>
      <c r="H23" s="1"/>
    </row>
    <row r="24" spans="1:8" ht="15.75">
      <c r="A24" s="1"/>
      <c r="B24" s="15"/>
      <c r="C24" s="16" t="s">
        <v>60</v>
      </c>
      <c r="D24" s="25"/>
      <c r="E24" s="17"/>
      <c r="F24" s="1"/>
      <c r="G24" s="1"/>
      <c r="H24" s="1"/>
    </row>
    <row r="25" spans="1:8" ht="15">
      <c r="A25" s="1"/>
      <c r="B25" s="15"/>
      <c r="C25" s="16" t="s">
        <v>61</v>
      </c>
      <c r="D25" s="23"/>
      <c r="E25" s="17"/>
      <c r="F25" s="1"/>
      <c r="G25" s="1"/>
      <c r="H25" s="1"/>
    </row>
    <row r="26" spans="1:8" ht="15.75">
      <c r="A26" s="1"/>
      <c r="B26" s="15"/>
      <c r="C26" s="16" t="s">
        <v>62</v>
      </c>
      <c r="D26" s="33"/>
      <c r="E26" s="17"/>
      <c r="F26" s="1"/>
      <c r="G26" s="1"/>
      <c r="H26" s="1"/>
    </row>
    <row r="27" spans="1:8" ht="15.75">
      <c r="A27" s="1"/>
      <c r="B27" s="15"/>
      <c r="C27" s="16" t="s">
        <v>63</v>
      </c>
      <c r="D27" s="33"/>
      <c r="E27" s="17"/>
      <c r="F27" s="1"/>
      <c r="G27" s="1"/>
      <c r="H27" s="1"/>
    </row>
    <row r="28" spans="1:8" ht="15.75">
      <c r="A28" s="1"/>
      <c r="B28" s="15"/>
      <c r="C28" s="16" t="s">
        <v>64</v>
      </c>
      <c r="D28" s="33"/>
      <c r="E28" s="17"/>
      <c r="F28" s="1"/>
      <c r="G28" s="1"/>
      <c r="H28" s="1"/>
    </row>
    <row r="29" spans="1:8" ht="15.75" thickBot="1">
      <c r="A29" s="1"/>
      <c r="B29" s="18"/>
      <c r="C29" s="19"/>
      <c r="D29" s="19"/>
      <c r="E29" s="20"/>
      <c r="F29" s="1"/>
      <c r="G29" s="1"/>
      <c r="H29" s="1"/>
    </row>
    <row r="30" spans="1:8" ht="15">
      <c r="A30" s="1"/>
      <c r="B30" s="1"/>
      <c r="C30" s="1"/>
      <c r="D30" s="1"/>
      <c r="E30" s="1"/>
      <c r="F30" s="1"/>
      <c r="G30" s="1"/>
      <c r="H30" s="1"/>
    </row>
    <row r="31" spans="1:8" ht="15">
      <c r="A31" s="1"/>
      <c r="B31" s="1"/>
      <c r="C31" s="1"/>
      <c r="D31" s="1"/>
      <c r="E31" s="1"/>
      <c r="F31" s="1"/>
      <c r="G31" s="1"/>
      <c r="H31" s="1"/>
    </row>
    <row r="32" spans="1:8" ht="15">
      <c r="A32" s="1"/>
      <c r="B32" s="1"/>
      <c r="C32" s="1"/>
      <c r="D32" s="1"/>
      <c r="E32" s="1"/>
      <c r="F32" s="1"/>
      <c r="G32" s="1"/>
      <c r="H32" s="1"/>
    </row>
    <row r="33" spans="1:8" ht="15">
      <c r="A33" s="1"/>
      <c r="B33" s="1"/>
      <c r="C33" s="1"/>
      <c r="D33" s="1"/>
      <c r="E33" s="1"/>
      <c r="F33" s="1"/>
      <c r="G33" s="1"/>
      <c r="H33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82"/>
  <sheetViews>
    <sheetView workbookViewId="0"/>
  </sheetViews>
  <sheetFormatPr defaultRowHeight="12.75"/>
  <cols>
    <col min="2" max="2" width="3.140625" customWidth="1"/>
    <col min="3" max="3" width="28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143" t="s">
        <v>197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65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95"/>
      <c r="C5" s="95"/>
      <c r="D5" s="95"/>
      <c r="E5" s="95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1"/>
      <c r="G6" s="1"/>
      <c r="H6" s="1"/>
      <c r="I6" s="1"/>
    </row>
    <row r="7" spans="1:9" ht="15">
      <c r="A7" s="1"/>
      <c r="B7" s="6"/>
      <c r="C7" s="30" t="s">
        <v>116</v>
      </c>
      <c r="D7" s="57">
        <v>1700</v>
      </c>
      <c r="E7" s="7"/>
      <c r="F7" s="1"/>
      <c r="G7" s="1"/>
      <c r="H7" s="1"/>
      <c r="I7" s="1"/>
    </row>
    <row r="8" spans="1:9" ht="15">
      <c r="A8" s="1"/>
      <c r="B8" s="6"/>
      <c r="C8" s="30" t="s">
        <v>121</v>
      </c>
      <c r="D8" s="96">
        <v>52</v>
      </c>
      <c r="E8" s="7"/>
      <c r="F8" s="1"/>
      <c r="G8" s="1"/>
      <c r="H8" s="1"/>
      <c r="I8" s="1"/>
    </row>
    <row r="9" spans="1:9" ht="15">
      <c r="A9" s="1"/>
      <c r="B9" s="6"/>
      <c r="C9" s="30" t="s">
        <v>117</v>
      </c>
      <c r="D9" s="97">
        <v>7</v>
      </c>
      <c r="E9" s="7"/>
      <c r="F9" s="1"/>
      <c r="G9" s="1"/>
      <c r="H9" s="1"/>
      <c r="I9" s="1"/>
    </row>
    <row r="10" spans="1:9" ht="15">
      <c r="A10" s="1"/>
      <c r="B10" s="6"/>
      <c r="C10" s="30" t="s">
        <v>118</v>
      </c>
      <c r="D10" s="192">
        <v>725</v>
      </c>
      <c r="E10" s="7"/>
      <c r="F10" s="1"/>
      <c r="G10" s="1"/>
      <c r="H10" s="1"/>
      <c r="I10" s="1"/>
    </row>
    <row r="11" spans="1:9" ht="15.75" thickBot="1">
      <c r="A11" s="1"/>
      <c r="B11" s="8"/>
      <c r="C11" s="9"/>
      <c r="D11" s="9"/>
      <c r="E11" s="10"/>
      <c r="F11" s="1"/>
      <c r="G11" s="1"/>
      <c r="H11" s="1"/>
      <c r="I11" s="1"/>
    </row>
    <row r="12" spans="1:9" ht="15">
      <c r="A12" s="1"/>
      <c r="B12" s="1"/>
      <c r="C12" s="1"/>
      <c r="D12" s="1"/>
      <c r="E12" s="1"/>
      <c r="F12" s="1"/>
      <c r="G12" s="1"/>
      <c r="H12" s="1"/>
      <c r="I12" s="1"/>
    </row>
    <row r="13" spans="1:9" ht="15">
      <c r="A13" s="1"/>
      <c r="B13" s="1"/>
      <c r="C13" s="2" t="s">
        <v>119</v>
      </c>
      <c r="D13" s="1"/>
      <c r="E13" s="1"/>
      <c r="F13" s="1"/>
      <c r="G13" s="1"/>
      <c r="H13" s="1"/>
      <c r="I13" s="1"/>
    </row>
    <row r="14" spans="1:9" ht="15.75" thickBot="1">
      <c r="A14" s="1"/>
      <c r="B14" s="1"/>
      <c r="C14" s="1"/>
      <c r="D14" s="1"/>
      <c r="E14" s="1"/>
      <c r="F14" s="1"/>
      <c r="G14" s="1"/>
      <c r="H14" s="1"/>
      <c r="I14" s="1"/>
    </row>
    <row r="15" spans="1:9" ht="15">
      <c r="A15" s="1"/>
      <c r="B15" s="12"/>
      <c r="C15" s="13"/>
      <c r="D15" s="13"/>
      <c r="E15" s="14"/>
      <c r="F15" s="1"/>
      <c r="G15" s="1"/>
      <c r="H15" s="1"/>
      <c r="I15" s="1"/>
    </row>
    <row r="16" spans="1:9" ht="15.75">
      <c r="A16" s="1"/>
      <c r="B16" s="15"/>
      <c r="C16" s="16" t="s">
        <v>66</v>
      </c>
      <c r="D16" s="99">
        <f>(D7/2)*D9</f>
        <v>5950</v>
      </c>
      <c r="E16" s="17"/>
      <c r="F16" s="1"/>
      <c r="G16" s="1"/>
      <c r="H16" s="1"/>
      <c r="I16" s="1"/>
    </row>
    <row r="17" spans="1:9" ht="15.75">
      <c r="A17" s="1"/>
      <c r="B17" s="15"/>
      <c r="C17" s="16" t="s">
        <v>120</v>
      </c>
      <c r="D17" s="75">
        <f>D8*D10</f>
        <v>37700</v>
      </c>
      <c r="E17" s="17"/>
      <c r="F17" s="1"/>
      <c r="G17" s="1"/>
      <c r="H17" s="1"/>
      <c r="I17" s="1"/>
    </row>
    <row r="18" spans="1:9" ht="15.75">
      <c r="A18" s="1"/>
      <c r="B18" s="15"/>
      <c r="C18" s="16" t="s">
        <v>67</v>
      </c>
      <c r="D18" s="100">
        <f>((2*D8*D7*D10)/D9)^(1/2)</f>
        <v>4279.1855032737913</v>
      </c>
      <c r="E18" s="17"/>
      <c r="F18" s="1"/>
      <c r="G18" s="1"/>
      <c r="H18" s="1"/>
      <c r="I18" s="1"/>
    </row>
    <row r="19" spans="1:9" ht="15.75">
      <c r="A19" s="1"/>
      <c r="B19" s="15"/>
      <c r="C19" s="16"/>
      <c r="D19" s="94"/>
      <c r="E19" s="17"/>
      <c r="F19" s="1"/>
      <c r="G19" s="1"/>
      <c r="H19" s="1"/>
      <c r="I19" s="1"/>
    </row>
    <row r="20" spans="1:9" ht="15">
      <c r="A20" s="1"/>
      <c r="B20" s="15"/>
      <c r="C20" s="16" t="s">
        <v>122</v>
      </c>
      <c r="D20" s="102" t="str">
        <f>IF(D17=D16,"optimal","not optimal")</f>
        <v>not optimal</v>
      </c>
      <c r="E20" s="17"/>
      <c r="F20" s="1"/>
      <c r="G20" s="1"/>
      <c r="H20" s="1"/>
      <c r="I20" s="1"/>
    </row>
    <row r="21" spans="1:9" ht="15">
      <c r="A21" s="1"/>
      <c r="B21" s="15"/>
      <c r="C21" s="16" t="s">
        <v>123</v>
      </c>
      <c r="D21" s="102" t="str">
        <f>IF(D18&gt;D7,"increase","decrease")</f>
        <v>increase</v>
      </c>
      <c r="E21" s="17"/>
      <c r="F21" s="1"/>
      <c r="G21" s="1"/>
      <c r="H21" s="1"/>
      <c r="I21" s="1"/>
    </row>
    <row r="22" spans="1:9" ht="15">
      <c r="A22" s="1"/>
      <c r="B22" s="15"/>
      <c r="C22" s="16" t="s">
        <v>124</v>
      </c>
      <c r="D22" s="102" t="str">
        <f>IF(D18&gt;D7,"decrease","increase")</f>
        <v>decrease</v>
      </c>
      <c r="E22" s="17"/>
      <c r="F22" s="1"/>
      <c r="G22" s="1"/>
      <c r="H22" s="1"/>
      <c r="I22" s="1"/>
    </row>
    <row r="23" spans="1:9" ht="15.75">
      <c r="A23" s="1"/>
      <c r="B23" s="15"/>
      <c r="C23" s="16" t="s">
        <v>69</v>
      </c>
      <c r="D23" s="94"/>
      <c r="E23" s="17"/>
      <c r="F23" s="1"/>
      <c r="G23" s="1"/>
      <c r="H23" s="1"/>
      <c r="I23" s="1"/>
    </row>
    <row r="24" spans="1:9" ht="15.75" thickBot="1">
      <c r="A24" s="1"/>
      <c r="B24" s="18"/>
      <c r="C24" s="19"/>
      <c r="D24" s="101"/>
      <c r="E24" s="20"/>
      <c r="F24" s="1"/>
      <c r="G24" s="1"/>
      <c r="H24" s="1"/>
      <c r="I24" s="1"/>
    </row>
    <row r="25" spans="1:9" ht="15">
      <c r="A25" s="1"/>
      <c r="B25" s="1"/>
      <c r="C25" s="1"/>
      <c r="D25" s="1"/>
      <c r="E25" s="1"/>
      <c r="F25" s="1"/>
      <c r="G25" s="1"/>
      <c r="H25" s="1"/>
      <c r="I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83"/>
  <sheetViews>
    <sheetView workbookViewId="0"/>
  </sheetViews>
  <sheetFormatPr defaultRowHeight="12.75"/>
  <cols>
    <col min="2" max="2" width="3.140625" customWidth="1"/>
    <col min="3" max="3" width="28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143" t="s">
        <v>197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68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95"/>
      <c r="C5" s="95"/>
      <c r="D5" s="95"/>
      <c r="E5" s="95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1"/>
      <c r="G6" s="1"/>
      <c r="H6" s="1"/>
      <c r="I6" s="1"/>
    </row>
    <row r="7" spans="1:9" ht="15">
      <c r="A7" s="1"/>
      <c r="B7" s="6"/>
      <c r="C7" s="30" t="s">
        <v>116</v>
      </c>
      <c r="D7" s="57">
        <v>750</v>
      </c>
      <c r="E7" s="7"/>
      <c r="F7" s="1"/>
      <c r="G7" s="1"/>
      <c r="H7" s="1"/>
      <c r="I7" s="1"/>
    </row>
    <row r="8" spans="1:9" ht="15">
      <c r="A8" s="1"/>
      <c r="B8" s="6"/>
      <c r="C8" s="30" t="s">
        <v>121</v>
      </c>
      <c r="D8" s="96">
        <v>52</v>
      </c>
      <c r="E8" s="7"/>
      <c r="F8" s="1"/>
      <c r="G8" s="1"/>
      <c r="H8" s="1"/>
      <c r="I8" s="1"/>
    </row>
    <row r="9" spans="1:9" ht="15">
      <c r="A9" s="1"/>
      <c r="B9" s="6"/>
      <c r="C9" s="30" t="s">
        <v>117</v>
      </c>
      <c r="D9" s="97">
        <v>65</v>
      </c>
      <c r="E9" s="7"/>
      <c r="F9" s="1"/>
      <c r="G9" s="1"/>
      <c r="H9" s="1"/>
      <c r="I9" s="1"/>
    </row>
    <row r="10" spans="1:9" ht="15">
      <c r="A10" s="1"/>
      <c r="B10" s="6"/>
      <c r="C10" s="30" t="s">
        <v>118</v>
      </c>
      <c r="D10" s="98">
        <v>395</v>
      </c>
      <c r="E10" s="7"/>
      <c r="F10" s="1"/>
      <c r="G10" s="1"/>
      <c r="H10" s="1"/>
      <c r="I10" s="1"/>
    </row>
    <row r="11" spans="1:9" ht="15.75" thickBot="1">
      <c r="A11" s="1"/>
      <c r="B11" s="8"/>
      <c r="C11" s="9"/>
      <c r="D11" s="9"/>
      <c r="E11" s="10"/>
      <c r="F11" s="1"/>
      <c r="G11" s="1"/>
      <c r="H11" s="1"/>
      <c r="I11" s="1"/>
    </row>
    <row r="12" spans="1:9" ht="15">
      <c r="A12" s="1"/>
      <c r="B12" s="1"/>
      <c r="C12" s="1"/>
      <c r="D12" s="1"/>
      <c r="E12" s="1"/>
      <c r="F12" s="1"/>
      <c r="G12" s="1"/>
      <c r="H12" s="1"/>
      <c r="I12" s="1"/>
    </row>
    <row r="13" spans="1:9" ht="15">
      <c r="A13" s="1"/>
      <c r="B13" s="1"/>
      <c r="C13" s="2" t="s">
        <v>119</v>
      </c>
      <c r="D13" s="1"/>
      <c r="E13" s="1"/>
      <c r="F13" s="1"/>
      <c r="G13" s="1"/>
      <c r="H13" s="1"/>
      <c r="I13" s="1"/>
    </row>
    <row r="14" spans="1:9" ht="15.75" thickBot="1">
      <c r="A14" s="1"/>
      <c r="B14" s="1"/>
      <c r="C14" s="1"/>
      <c r="D14" s="1"/>
      <c r="E14" s="1"/>
      <c r="F14" s="1"/>
      <c r="G14" s="1"/>
      <c r="H14" s="1"/>
      <c r="I14" s="1"/>
    </row>
    <row r="15" spans="1:9" ht="15">
      <c r="A15" s="1"/>
      <c r="B15" s="12"/>
      <c r="C15" s="13"/>
      <c r="D15" s="13"/>
      <c r="E15" s="14"/>
      <c r="F15" s="1"/>
      <c r="G15" s="1"/>
      <c r="H15" s="1"/>
      <c r="I15" s="1"/>
    </row>
    <row r="16" spans="1:9" ht="15.75">
      <c r="A16" s="1"/>
      <c r="B16" s="15"/>
      <c r="C16" s="16" t="s">
        <v>66</v>
      </c>
      <c r="D16" s="99">
        <f>(D7/2)*D9</f>
        <v>24375</v>
      </c>
      <c r="E16" s="17"/>
      <c r="F16" s="1"/>
      <c r="G16" s="1"/>
      <c r="H16" s="1"/>
      <c r="I16" s="1"/>
    </row>
    <row r="17" spans="1:9" ht="15.75">
      <c r="A17" s="1"/>
      <c r="B17" s="15"/>
      <c r="C17" s="16" t="s">
        <v>120</v>
      </c>
      <c r="D17" s="75">
        <f>D8*D10</f>
        <v>20540</v>
      </c>
      <c r="E17" s="17"/>
      <c r="F17" s="1"/>
      <c r="G17" s="1"/>
      <c r="H17" s="1"/>
      <c r="I17" s="1"/>
    </row>
    <row r="18" spans="1:9" ht="15.75">
      <c r="A18" s="1"/>
      <c r="B18" s="15"/>
      <c r="C18" s="16" t="s">
        <v>67</v>
      </c>
      <c r="D18" s="100">
        <f>((2*D8*D7*D10)/D9)^(1/2)</f>
        <v>688.47657912234024</v>
      </c>
      <c r="E18" s="17"/>
      <c r="F18" s="1"/>
      <c r="G18" s="1"/>
      <c r="H18" s="1"/>
      <c r="I18" s="1"/>
    </row>
    <row r="19" spans="1:9" ht="15.75">
      <c r="A19" s="1"/>
      <c r="B19" s="15"/>
      <c r="C19" s="16" t="s">
        <v>125</v>
      </c>
      <c r="D19" s="100">
        <f>(D7*D8)/D18</f>
        <v>56.646807142977359</v>
      </c>
      <c r="E19" s="17"/>
      <c r="F19" s="1"/>
      <c r="G19" s="1"/>
      <c r="H19" s="1"/>
      <c r="I19" s="1"/>
    </row>
    <row r="20" spans="1:9" ht="15.75">
      <c r="A20" s="1"/>
      <c r="B20" s="15"/>
      <c r="C20" s="16"/>
      <c r="D20" s="94"/>
      <c r="E20" s="17"/>
      <c r="F20" s="1"/>
      <c r="G20" s="1"/>
      <c r="H20" s="1"/>
      <c r="I20" s="1"/>
    </row>
    <row r="21" spans="1:9" ht="15">
      <c r="A21" s="1"/>
      <c r="B21" s="15"/>
      <c r="C21" s="16" t="s">
        <v>122</v>
      </c>
      <c r="D21" s="102" t="str">
        <f>IF(D17=D16,"optimal","not optimal")</f>
        <v>not optimal</v>
      </c>
      <c r="E21" s="17"/>
      <c r="F21" s="1"/>
      <c r="G21" s="1"/>
      <c r="H21" s="1"/>
      <c r="I21" s="1"/>
    </row>
    <row r="22" spans="1:9" ht="15">
      <c r="A22" s="1"/>
      <c r="B22" s="15"/>
      <c r="C22" s="16" t="s">
        <v>123</v>
      </c>
      <c r="D22" s="102" t="str">
        <f>IF(D18&gt;D7,"increase","decrease")</f>
        <v>decrease</v>
      </c>
      <c r="E22" s="17"/>
      <c r="F22" s="1"/>
      <c r="G22" s="1"/>
      <c r="H22" s="1"/>
      <c r="I22" s="1"/>
    </row>
    <row r="23" spans="1:9" ht="15">
      <c r="A23" s="1"/>
      <c r="B23" s="15"/>
      <c r="C23" s="16" t="s">
        <v>124</v>
      </c>
      <c r="D23" s="102" t="str">
        <f>IF(D18&gt;D7,"decrease","increase")</f>
        <v>increase</v>
      </c>
      <c r="E23" s="17"/>
      <c r="F23" s="1"/>
      <c r="G23" s="1"/>
      <c r="H23" s="1"/>
      <c r="I23" s="1"/>
    </row>
    <row r="24" spans="1:9" ht="15.75">
      <c r="A24" s="1"/>
      <c r="B24" s="15"/>
      <c r="C24" s="16" t="s">
        <v>69</v>
      </c>
      <c r="D24" s="94"/>
      <c r="E24" s="17"/>
      <c r="F24" s="1"/>
      <c r="G24" s="1"/>
      <c r="H24" s="1"/>
      <c r="I24" s="1"/>
    </row>
    <row r="25" spans="1:9" ht="15.75" thickBot="1">
      <c r="A25" s="1"/>
      <c r="B25" s="18"/>
      <c r="C25" s="19"/>
      <c r="D25" s="101"/>
      <c r="E25" s="20"/>
      <c r="F25" s="1"/>
      <c r="G25" s="1"/>
      <c r="H25" s="1"/>
      <c r="I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38"/>
  <sheetViews>
    <sheetView workbookViewId="0"/>
  </sheetViews>
  <sheetFormatPr defaultRowHeight="12.75"/>
  <cols>
    <col min="2" max="2" width="3" customWidth="1"/>
    <col min="3" max="3" width="22.140625" customWidth="1"/>
    <col min="4" max="4" width="18.140625" customWidth="1"/>
    <col min="5" max="5" width="3.140625" customWidth="1"/>
    <col min="6" max="8" width="18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70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2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12"/>
      <c r="C6" s="13"/>
      <c r="D6" s="13"/>
      <c r="E6" s="14"/>
      <c r="F6" s="1"/>
      <c r="G6" s="1"/>
      <c r="H6" s="1"/>
    </row>
    <row r="7" spans="1:8" ht="15.75" customHeight="1">
      <c r="A7" s="1"/>
      <c r="B7" s="15"/>
      <c r="C7" s="16" t="s">
        <v>71</v>
      </c>
      <c r="D7" s="23"/>
      <c r="E7" s="17"/>
      <c r="F7" s="1"/>
      <c r="G7" s="1"/>
      <c r="H7" s="1"/>
    </row>
    <row r="8" spans="1:8" ht="15.75" customHeight="1">
      <c r="A8" s="1"/>
      <c r="B8" s="15"/>
      <c r="C8" s="16" t="s">
        <v>72</v>
      </c>
      <c r="D8" s="23"/>
      <c r="E8" s="17"/>
      <c r="F8" s="1"/>
      <c r="G8" s="1"/>
      <c r="H8" s="1"/>
    </row>
    <row r="9" spans="1:8" ht="15.75" customHeight="1">
      <c r="A9" s="1"/>
      <c r="B9" s="15"/>
      <c r="C9" s="16" t="s">
        <v>126</v>
      </c>
      <c r="D9" s="35"/>
      <c r="E9" s="17"/>
      <c r="F9" s="1"/>
      <c r="G9" s="1"/>
      <c r="H9" s="1"/>
    </row>
    <row r="10" spans="1:8" ht="15.75" customHeight="1">
      <c r="A10" s="1"/>
      <c r="B10" s="15"/>
      <c r="C10" s="16" t="s">
        <v>196</v>
      </c>
      <c r="D10" s="35"/>
      <c r="E10" s="17"/>
      <c r="F10" s="1"/>
      <c r="G10" s="1"/>
      <c r="H10" s="1"/>
    </row>
    <row r="11" spans="1:8" ht="15.75" customHeight="1" thickBot="1">
      <c r="A11" s="1"/>
      <c r="B11" s="18"/>
      <c r="C11" s="19"/>
      <c r="D11" s="19"/>
      <c r="E11" s="20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1"/>
      <c r="D13" s="1"/>
      <c r="E13" s="1"/>
      <c r="F13" s="1"/>
      <c r="G13" s="1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1"/>
      <c r="D15" s="1"/>
      <c r="E15" s="1"/>
      <c r="F15" s="1"/>
      <c r="G15" s="1"/>
      <c r="H15" s="1"/>
    </row>
    <row r="16" spans="1:8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45"/>
  <sheetViews>
    <sheetView workbookViewId="0"/>
  </sheetViews>
  <sheetFormatPr defaultRowHeight="12.75"/>
  <cols>
    <col min="2" max="2" width="3" customWidth="1"/>
    <col min="3" max="3" width="37.7109375" customWidth="1"/>
    <col min="4" max="4" width="18.140625" customWidth="1"/>
    <col min="5" max="5" width="3.140625" customWidth="1"/>
    <col min="6" max="6" width="18.140625" customWidth="1"/>
    <col min="7" max="7" width="3.140625" customWidth="1"/>
    <col min="8" max="8" width="18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73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4"/>
      <c r="F6" s="4"/>
      <c r="G6" s="5"/>
      <c r="H6" s="1"/>
    </row>
    <row r="7" spans="1:8" ht="15.75" customHeight="1">
      <c r="A7" s="1"/>
      <c r="B7" s="6"/>
      <c r="C7" s="30" t="s">
        <v>39</v>
      </c>
      <c r="D7" s="92">
        <v>2.5000000000000001E-2</v>
      </c>
      <c r="E7" s="30"/>
      <c r="F7" s="30"/>
      <c r="G7" s="7"/>
      <c r="H7" s="1"/>
    </row>
    <row r="8" spans="1:8" ht="15.75" customHeight="1">
      <c r="A8" s="1"/>
      <c r="B8" s="6"/>
      <c r="C8" s="30"/>
      <c r="D8" s="22"/>
      <c r="E8" s="30"/>
      <c r="F8" s="30"/>
      <c r="G8" s="7"/>
      <c r="H8" s="1"/>
    </row>
    <row r="9" spans="1:8" ht="15.75" customHeight="1">
      <c r="A9" s="1"/>
      <c r="B9" s="6"/>
      <c r="C9" s="30"/>
      <c r="D9" s="107" t="s">
        <v>52</v>
      </c>
      <c r="E9" s="108"/>
      <c r="F9" s="108" t="s">
        <v>51</v>
      </c>
      <c r="G9" s="7"/>
      <c r="H9" s="1"/>
    </row>
    <row r="10" spans="1:8" ht="15.75" customHeight="1">
      <c r="A10" s="1"/>
      <c r="B10" s="6"/>
      <c r="C10" s="30" t="s">
        <v>53</v>
      </c>
      <c r="D10" s="55">
        <v>104</v>
      </c>
      <c r="E10" s="91"/>
      <c r="F10" s="55">
        <v>108</v>
      </c>
      <c r="G10" s="7"/>
      <c r="H10" s="1"/>
    </row>
    <row r="11" spans="1:8" ht="15.75" customHeight="1">
      <c r="A11" s="1"/>
      <c r="B11" s="6"/>
      <c r="C11" s="30" t="s">
        <v>54</v>
      </c>
      <c r="D11" s="55">
        <v>47</v>
      </c>
      <c r="E11" s="91"/>
      <c r="F11" s="55">
        <v>47</v>
      </c>
      <c r="G11" s="7"/>
      <c r="H11" s="1"/>
    </row>
    <row r="12" spans="1:8" ht="15.75" customHeight="1">
      <c r="A12" s="1"/>
      <c r="B12" s="6"/>
      <c r="C12" s="11" t="s">
        <v>55</v>
      </c>
      <c r="D12" s="96">
        <v>3240</v>
      </c>
      <c r="E12" s="54"/>
      <c r="F12" s="96">
        <v>3295</v>
      </c>
      <c r="G12" s="7"/>
      <c r="H12" s="1"/>
    </row>
    <row r="13" spans="1:8" ht="15.75" customHeight="1" thickBot="1">
      <c r="A13" s="1"/>
      <c r="B13" s="8"/>
      <c r="C13" s="9"/>
      <c r="D13" s="9"/>
      <c r="E13" s="9"/>
      <c r="F13" s="9"/>
      <c r="G13" s="10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customHeight="1" thickBot="1">
      <c r="A16" s="1"/>
      <c r="B16" s="1"/>
      <c r="C16" s="1"/>
      <c r="D16" s="1"/>
      <c r="E16" s="1"/>
      <c r="F16" s="1"/>
      <c r="G16" s="1"/>
      <c r="H16" s="1"/>
    </row>
    <row r="17" spans="1:8" ht="15.75" customHeight="1">
      <c r="A17" s="1"/>
      <c r="B17" s="12"/>
      <c r="C17" s="13"/>
      <c r="D17" s="13"/>
      <c r="E17" s="14"/>
      <c r="F17" s="1"/>
      <c r="G17" s="1"/>
      <c r="H17" s="1"/>
    </row>
    <row r="18" spans="1:8" ht="15.75" customHeight="1">
      <c r="A18" s="1"/>
      <c r="B18" s="15"/>
      <c r="C18" s="109" t="s">
        <v>77</v>
      </c>
      <c r="D18" s="84">
        <f>(D10-D11)*D12</f>
        <v>184680</v>
      </c>
      <c r="E18" s="17"/>
      <c r="F18" s="1"/>
      <c r="G18" s="1"/>
      <c r="H18" s="1"/>
    </row>
    <row r="19" spans="1:8" ht="15.75" customHeight="1">
      <c r="A19" s="1"/>
      <c r="B19" s="15"/>
      <c r="C19" s="109" t="s">
        <v>78</v>
      </c>
      <c r="D19" s="84">
        <f>(F10-F11)*F12</f>
        <v>200995</v>
      </c>
      <c r="E19" s="17"/>
      <c r="F19" s="1"/>
      <c r="G19" s="1"/>
      <c r="H19" s="1"/>
    </row>
    <row r="20" spans="1:8" ht="15.75" customHeight="1">
      <c r="A20" s="1"/>
      <c r="B20" s="15"/>
      <c r="C20" s="109" t="s">
        <v>74</v>
      </c>
      <c r="D20" s="84">
        <f>D19-D18</f>
        <v>16315</v>
      </c>
      <c r="E20" s="17"/>
      <c r="F20" s="1"/>
      <c r="G20" s="1"/>
      <c r="H20" s="1"/>
    </row>
    <row r="21" spans="1:8" ht="15.75" customHeight="1">
      <c r="A21" s="1"/>
      <c r="B21" s="15"/>
      <c r="C21" s="109"/>
      <c r="D21" s="84"/>
      <c r="E21" s="17"/>
      <c r="F21" s="1"/>
      <c r="G21" s="1"/>
      <c r="H21" s="1"/>
    </row>
    <row r="22" spans="1:8" ht="15.75" customHeight="1">
      <c r="A22" s="1"/>
      <c r="B22" s="15"/>
      <c r="C22" s="109" t="s">
        <v>58</v>
      </c>
      <c r="D22" s="75">
        <f>-((D10*D12)+(D11*(F12-D12)))+(D20/D7)</f>
        <v>313055</v>
      </c>
      <c r="E22" s="17"/>
      <c r="F22" s="1"/>
      <c r="G22" s="1"/>
      <c r="H22" s="1"/>
    </row>
    <row r="23" spans="1:8" ht="15.75" customHeight="1" thickBot="1">
      <c r="A23" s="1"/>
      <c r="B23" s="18"/>
      <c r="C23" s="19"/>
      <c r="D23" s="19"/>
      <c r="E23" s="20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299"/>
  <sheetViews>
    <sheetView workbookViewId="0"/>
  </sheetViews>
  <sheetFormatPr defaultRowHeight="12.75"/>
  <cols>
    <col min="2" max="2" width="3" customWidth="1"/>
    <col min="3" max="3" width="37.7109375" customWidth="1"/>
    <col min="4" max="4" width="18.140625" customWidth="1"/>
    <col min="5" max="5" width="3.140625" customWidth="1"/>
    <col min="6" max="6" width="18.140625" customWidth="1"/>
    <col min="7" max="7" width="3.140625" customWidth="1"/>
    <col min="8" max="8" width="18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75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4"/>
      <c r="F6" s="4"/>
      <c r="G6" s="5"/>
      <c r="H6" s="1"/>
    </row>
    <row r="7" spans="1:8" ht="15.75" customHeight="1">
      <c r="A7" s="1"/>
      <c r="B7" s="6"/>
      <c r="C7" s="30" t="s">
        <v>4</v>
      </c>
      <c r="D7" s="91">
        <v>30</v>
      </c>
      <c r="E7" s="30"/>
      <c r="F7" s="30"/>
      <c r="G7" s="7"/>
      <c r="H7" s="1"/>
    </row>
    <row r="8" spans="1:8" ht="15.75" customHeight="1">
      <c r="A8" s="1"/>
      <c r="B8" s="6"/>
      <c r="C8" s="30" t="s">
        <v>39</v>
      </c>
      <c r="D8" s="137">
        <v>9.4999999999999998E-3</v>
      </c>
      <c r="E8" s="30"/>
      <c r="F8" s="30"/>
      <c r="G8" s="7"/>
      <c r="H8" s="1"/>
    </row>
    <row r="9" spans="1:8" ht="15.75" customHeight="1">
      <c r="A9" s="1"/>
      <c r="B9" s="6"/>
      <c r="C9" s="30"/>
      <c r="D9" s="22"/>
      <c r="E9" s="30"/>
      <c r="F9" s="30"/>
      <c r="G9" s="7"/>
      <c r="H9" s="1"/>
    </row>
    <row r="10" spans="1:8" ht="15.75" customHeight="1">
      <c r="A10" s="1"/>
      <c r="B10" s="6"/>
      <c r="C10" s="30"/>
      <c r="D10" s="107" t="s">
        <v>52</v>
      </c>
      <c r="E10" s="108"/>
      <c r="F10" s="108" t="s">
        <v>51</v>
      </c>
      <c r="G10" s="7"/>
      <c r="H10" s="1"/>
    </row>
    <row r="11" spans="1:8" ht="15.75" customHeight="1">
      <c r="A11" s="1"/>
      <c r="B11" s="6"/>
      <c r="C11" s="30" t="s">
        <v>53</v>
      </c>
      <c r="D11" s="55">
        <v>295</v>
      </c>
      <c r="E11" s="91"/>
      <c r="F11" s="55">
        <v>302</v>
      </c>
      <c r="G11" s="7"/>
      <c r="H11" s="1"/>
    </row>
    <row r="12" spans="1:8" ht="15.75" customHeight="1">
      <c r="A12" s="1"/>
      <c r="B12" s="6"/>
      <c r="C12" s="30" t="s">
        <v>54</v>
      </c>
      <c r="D12" s="55">
        <v>230</v>
      </c>
      <c r="E12" s="91"/>
      <c r="F12" s="55">
        <v>234</v>
      </c>
      <c r="G12" s="7"/>
      <c r="H12" s="1"/>
    </row>
    <row r="13" spans="1:8" ht="15.75" customHeight="1">
      <c r="A13" s="1"/>
      <c r="B13" s="6"/>
      <c r="C13" s="11" t="s">
        <v>55</v>
      </c>
      <c r="D13" s="96">
        <v>1105</v>
      </c>
      <c r="E13" s="54"/>
      <c r="F13" s="96">
        <v>1125</v>
      </c>
      <c r="G13" s="7"/>
      <c r="H13" s="1"/>
    </row>
    <row r="14" spans="1:8" ht="15.75" customHeight="1" thickBot="1">
      <c r="A14" s="1"/>
      <c r="B14" s="8"/>
      <c r="C14" s="9"/>
      <c r="D14" s="9"/>
      <c r="E14" s="9"/>
      <c r="F14" s="9"/>
      <c r="G14" s="10"/>
      <c r="H14" s="1"/>
    </row>
    <row r="15" spans="1:8" ht="15.75" customHeight="1">
      <c r="A15" s="1"/>
      <c r="B15" s="1"/>
      <c r="C15" s="1"/>
      <c r="D15" s="1"/>
      <c r="E15" s="1"/>
      <c r="F15" s="1"/>
      <c r="G15" s="1"/>
      <c r="H15" s="1"/>
    </row>
    <row r="16" spans="1:8" ht="15.75" customHeight="1">
      <c r="A16" s="1"/>
      <c r="B16" s="1"/>
      <c r="C16" s="2" t="s">
        <v>2</v>
      </c>
      <c r="D16" s="1"/>
      <c r="E16" s="1"/>
      <c r="F16" s="1"/>
      <c r="G16" s="1"/>
      <c r="H16" s="1"/>
    </row>
    <row r="17" spans="1:8" ht="15.75" customHeight="1" thickBot="1">
      <c r="A17" s="1"/>
      <c r="B17" s="1"/>
      <c r="C17" s="1"/>
      <c r="D17" s="1"/>
      <c r="E17" s="1"/>
      <c r="F17" s="1"/>
      <c r="G17" s="1"/>
      <c r="H17" s="1"/>
    </row>
    <row r="18" spans="1:8" ht="15.75" customHeight="1">
      <c r="A18" s="1"/>
      <c r="B18" s="12"/>
      <c r="C18" s="13"/>
      <c r="D18" s="13"/>
      <c r="E18" s="14"/>
      <c r="F18" s="1"/>
      <c r="G18" s="1"/>
      <c r="H18" s="1"/>
    </row>
    <row r="19" spans="1:8" ht="15.75" customHeight="1">
      <c r="A19" s="1"/>
      <c r="B19" s="15"/>
      <c r="C19" s="16" t="s">
        <v>77</v>
      </c>
      <c r="D19" s="84">
        <f>(D11-D12)*D13</f>
        <v>71825</v>
      </c>
      <c r="E19" s="17"/>
      <c r="F19" s="1"/>
      <c r="G19" s="1"/>
      <c r="H19" s="1"/>
    </row>
    <row r="20" spans="1:8" ht="15.75" customHeight="1">
      <c r="A20" s="1"/>
      <c r="B20" s="15"/>
      <c r="C20" s="16" t="s">
        <v>78</v>
      </c>
      <c r="D20" s="84">
        <f>(F11-F12)*F13</f>
        <v>76500</v>
      </c>
      <c r="E20" s="17"/>
      <c r="F20" s="1"/>
      <c r="G20" s="1"/>
      <c r="H20" s="1"/>
    </row>
    <row r="21" spans="1:8" ht="15.75" customHeight="1">
      <c r="A21" s="1"/>
      <c r="B21" s="15"/>
      <c r="C21" s="16" t="s">
        <v>74</v>
      </c>
      <c r="D21" s="84">
        <f>D20-D19</f>
        <v>4675</v>
      </c>
      <c r="E21" s="17"/>
      <c r="F21" s="1"/>
      <c r="G21" s="1"/>
      <c r="H21" s="1"/>
    </row>
    <row r="22" spans="1:8" ht="15.75" customHeight="1">
      <c r="A22" s="1"/>
      <c r="B22" s="15"/>
      <c r="C22" s="16"/>
      <c r="D22" s="23"/>
      <c r="E22" s="17"/>
      <c r="F22" s="1"/>
      <c r="G22" s="1"/>
      <c r="H22" s="1"/>
    </row>
    <row r="23" spans="1:8" ht="15.75" customHeight="1">
      <c r="A23" s="1"/>
      <c r="B23" s="15"/>
      <c r="C23" s="16" t="s">
        <v>58</v>
      </c>
      <c r="D23" s="75">
        <f>-((D11*D13)+((F12-D12)*D13)+(F12*(F13-D13)))+((D21/D8))</f>
        <v>157030.26315789478</v>
      </c>
      <c r="E23" s="17"/>
      <c r="F23" s="1"/>
      <c r="G23" s="1"/>
      <c r="H23" s="1"/>
    </row>
    <row r="24" spans="1:8" ht="15.75" customHeight="1" thickBot="1">
      <c r="A24" s="1"/>
      <c r="B24" s="18"/>
      <c r="C24" s="19"/>
      <c r="D24" s="19"/>
      <c r="E24" s="20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298"/>
  <sheetViews>
    <sheetView zoomScaleNormal="100" workbookViewId="0"/>
  </sheetViews>
  <sheetFormatPr defaultRowHeight="12.75"/>
  <cols>
    <col min="2" max="2" width="3" customWidth="1"/>
    <col min="3" max="3" width="39" customWidth="1"/>
    <col min="4" max="4" width="18.5703125" customWidth="1"/>
    <col min="5" max="5" width="3.140625" customWidth="1"/>
    <col min="6" max="6" width="18.140625" customWidth="1"/>
  </cols>
  <sheetData>
    <row r="1" spans="1:6" ht="18">
      <c r="A1" s="1"/>
      <c r="B1" s="1"/>
      <c r="C1" s="143" t="s">
        <v>197</v>
      </c>
      <c r="D1" s="1"/>
      <c r="E1" s="1"/>
      <c r="F1" s="1"/>
    </row>
    <row r="2" spans="1:6" ht="15.75" customHeight="1">
      <c r="A2" s="1"/>
      <c r="B2" s="1"/>
      <c r="C2" s="1" t="s">
        <v>76</v>
      </c>
      <c r="D2" s="1"/>
      <c r="E2" s="1"/>
      <c r="F2" s="1"/>
    </row>
    <row r="3" spans="1:6" ht="15.75" customHeight="1">
      <c r="A3" s="1"/>
      <c r="B3" s="1"/>
      <c r="C3" s="1"/>
      <c r="D3" s="1"/>
      <c r="E3" s="1"/>
      <c r="F3" s="1"/>
    </row>
    <row r="4" spans="1:6" ht="15.75" customHeight="1">
      <c r="A4" s="1"/>
      <c r="B4" s="1"/>
      <c r="C4" s="2" t="s">
        <v>1</v>
      </c>
      <c r="D4" s="1"/>
      <c r="E4" s="1"/>
      <c r="F4" s="1"/>
    </row>
    <row r="5" spans="1:6" ht="15.75" customHeight="1" thickBot="1">
      <c r="A5" s="1"/>
      <c r="B5" s="1"/>
      <c r="C5" s="1"/>
      <c r="D5" s="1"/>
      <c r="E5" s="1"/>
      <c r="F5" s="1"/>
    </row>
    <row r="6" spans="1:6" ht="15.75" customHeight="1">
      <c r="A6" s="1"/>
      <c r="B6" s="3"/>
      <c r="C6" s="4"/>
      <c r="D6" s="4"/>
      <c r="E6" s="5"/>
      <c r="F6" s="1"/>
    </row>
    <row r="7" spans="1:6" ht="15.75" customHeight="1">
      <c r="A7" s="1"/>
      <c r="B7" s="6"/>
      <c r="C7" s="30" t="s">
        <v>182</v>
      </c>
      <c r="D7" s="54">
        <v>600</v>
      </c>
      <c r="E7" s="7"/>
      <c r="F7" s="1"/>
    </row>
    <row r="8" spans="1:6" ht="15.75" customHeight="1">
      <c r="A8" s="1"/>
      <c r="B8" s="6"/>
      <c r="C8" s="30" t="s">
        <v>54</v>
      </c>
      <c r="D8" s="148">
        <v>525</v>
      </c>
      <c r="E8" s="7"/>
      <c r="F8" s="1"/>
    </row>
    <row r="9" spans="1:6" ht="15.75" customHeight="1">
      <c r="A9" s="1"/>
      <c r="B9" s="6"/>
      <c r="C9" s="30" t="s">
        <v>183</v>
      </c>
      <c r="D9" s="66">
        <v>0.04</v>
      </c>
      <c r="E9" s="7"/>
      <c r="F9" s="1"/>
    </row>
    <row r="10" spans="1:6" ht="15.75" customHeight="1">
      <c r="A10" s="1"/>
      <c r="B10" s="6"/>
      <c r="C10" s="30" t="s">
        <v>184</v>
      </c>
      <c r="D10" s="55">
        <v>750</v>
      </c>
      <c r="E10" s="7"/>
      <c r="F10" s="1"/>
    </row>
    <row r="11" spans="1:6" ht="15.75" customHeight="1">
      <c r="A11" s="1"/>
      <c r="B11" s="78"/>
      <c r="C11" s="11" t="s">
        <v>185</v>
      </c>
      <c r="D11" s="113">
        <v>10</v>
      </c>
      <c r="E11" s="7"/>
      <c r="F11" s="1"/>
    </row>
    <row r="12" spans="1:6" ht="15.75" customHeight="1" thickBot="1">
      <c r="A12" s="1"/>
      <c r="B12" s="8"/>
      <c r="C12" s="9"/>
      <c r="D12" s="9"/>
      <c r="E12" s="10"/>
      <c r="F12" s="1"/>
    </row>
    <row r="13" spans="1:6" ht="15.75" customHeight="1">
      <c r="A13" s="1"/>
      <c r="B13" s="1"/>
      <c r="C13" s="1"/>
      <c r="D13" s="1"/>
      <c r="E13" s="1"/>
      <c r="F13" s="1"/>
    </row>
    <row r="14" spans="1:6" ht="15.75" customHeight="1">
      <c r="A14" s="1"/>
      <c r="B14" s="1"/>
      <c r="C14" s="2" t="s">
        <v>2</v>
      </c>
      <c r="D14" s="1"/>
      <c r="E14" s="1"/>
      <c r="F14" s="1"/>
    </row>
    <row r="15" spans="1:6" ht="15.75" customHeight="1" thickBot="1">
      <c r="A15" s="1"/>
      <c r="B15" s="1"/>
      <c r="C15" s="1"/>
      <c r="D15" s="1"/>
      <c r="E15" s="1"/>
      <c r="F15" s="1"/>
    </row>
    <row r="16" spans="1:6" ht="15.75" customHeight="1">
      <c r="A16" s="1"/>
      <c r="B16" s="12"/>
      <c r="C16" s="13"/>
      <c r="D16" s="13"/>
      <c r="E16" s="14"/>
      <c r="F16" s="1"/>
    </row>
    <row r="17" spans="1:6" ht="15.75" customHeight="1">
      <c r="A17" s="1"/>
      <c r="B17" s="58"/>
      <c r="C17" s="16" t="s">
        <v>186</v>
      </c>
      <c r="D17" s="144">
        <f>D10+(D11*D7)</f>
        <v>6750</v>
      </c>
      <c r="E17" s="17"/>
      <c r="F17" s="1"/>
    </row>
    <row r="18" spans="1:6" ht="15.75" customHeight="1">
      <c r="A18" s="1"/>
      <c r="B18" s="58"/>
      <c r="C18" s="16" t="s">
        <v>187</v>
      </c>
      <c r="D18" s="144">
        <f>D8*D7*D9</f>
        <v>12600</v>
      </c>
      <c r="E18" s="17"/>
      <c r="F18" s="1"/>
    </row>
    <row r="19" spans="1:6" ht="15.75" customHeight="1">
      <c r="A19" s="1"/>
      <c r="B19" s="58"/>
      <c r="C19" s="16"/>
      <c r="D19" s="16"/>
      <c r="E19" s="17"/>
      <c r="F19" s="1"/>
    </row>
    <row r="20" spans="1:6" ht="15.75" customHeight="1">
      <c r="A20" s="1"/>
      <c r="B20" s="58"/>
      <c r="C20" s="16" t="s">
        <v>188</v>
      </c>
      <c r="D20" s="144">
        <f>D18-D17</f>
        <v>5850</v>
      </c>
      <c r="E20" s="17"/>
      <c r="F20" s="1"/>
    </row>
    <row r="21" spans="1:6" ht="15.75" customHeight="1">
      <c r="A21" s="1"/>
      <c r="B21" s="58"/>
      <c r="C21" s="16"/>
      <c r="D21" s="16"/>
      <c r="E21" s="17"/>
      <c r="F21" s="1"/>
    </row>
    <row r="22" spans="1:6" ht="15.75" customHeight="1">
      <c r="A22" s="1"/>
      <c r="B22" s="58"/>
      <c r="C22" s="142" t="str">
        <f>IF(D20&gt;0,"The shop should subscribe to the credit agency.","The shop should not subscribe to the credit agency.")</f>
        <v>The shop should subscribe to the credit agency.</v>
      </c>
      <c r="D22" s="140"/>
      <c r="E22" s="17"/>
      <c r="F22" s="1"/>
    </row>
    <row r="23" spans="1:6" ht="15.75" customHeight="1" thickBot="1">
      <c r="A23" s="1"/>
      <c r="B23" s="18"/>
      <c r="C23" s="19"/>
      <c r="D23" s="19"/>
      <c r="E23" s="20"/>
      <c r="F23" s="1"/>
    </row>
    <row r="24" spans="1:6" ht="15.75" customHeight="1">
      <c r="A24" s="1"/>
      <c r="B24" s="1"/>
      <c r="C24" s="1"/>
      <c r="D24" s="1"/>
      <c r="E24" s="1"/>
      <c r="F24" s="1"/>
    </row>
    <row r="25" spans="1:6" ht="15.75" customHeight="1">
      <c r="A25" s="1"/>
      <c r="B25" s="1"/>
      <c r="C25" s="1"/>
      <c r="D25" s="1"/>
      <c r="E25" s="1"/>
      <c r="F25" s="1"/>
    </row>
    <row r="26" spans="1:6" ht="15.75" customHeight="1">
      <c r="A26" s="1"/>
      <c r="B26" s="1"/>
      <c r="C26" s="1"/>
      <c r="D26" s="1"/>
      <c r="E26" s="1"/>
      <c r="F26" s="1"/>
    </row>
    <row r="27" spans="1:6" ht="15.75" customHeight="1">
      <c r="A27" s="1"/>
      <c r="B27" s="1"/>
      <c r="C27" s="1"/>
      <c r="D27" s="1"/>
      <c r="E27" s="1"/>
      <c r="F27" s="1"/>
    </row>
    <row r="28" spans="1:6" ht="15.75" customHeight="1"/>
    <row r="29" spans="1:6" ht="15.75" customHeight="1"/>
    <row r="30" spans="1:6" ht="15.75" customHeight="1"/>
    <row r="31" spans="1:6" ht="15.75" customHeight="1"/>
    <row r="32" spans="1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</sheetData>
  <phoneticPr fontId="0" type="noConversion"/>
  <pageMargins left="0.75" right="0.75" top="1" bottom="1" header="0.5" footer="0.5"/>
  <pageSetup scale="98" orientation="portrait" horizontalDpi="360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48"/>
  <sheetViews>
    <sheetView workbookViewId="0"/>
  </sheetViews>
  <sheetFormatPr defaultRowHeight="12.75"/>
  <cols>
    <col min="2" max="2" width="3" customWidth="1"/>
    <col min="3" max="3" width="26.42578125" customWidth="1"/>
    <col min="4" max="4" width="18.140625" customWidth="1"/>
    <col min="5" max="5" width="3.140625" customWidth="1"/>
    <col min="6" max="6" width="18.140625" customWidth="1"/>
    <col min="7" max="7" width="3.140625" customWidth="1"/>
    <col min="8" max="8" width="18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79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4"/>
      <c r="F6" s="4"/>
      <c r="G6" s="5"/>
      <c r="H6" s="1"/>
    </row>
    <row r="7" spans="1:8" ht="15.75" customHeight="1">
      <c r="A7" s="1"/>
      <c r="B7" s="6"/>
      <c r="C7" s="30" t="s">
        <v>39</v>
      </c>
      <c r="D7" s="106">
        <f ca="1">'#14'!D7</f>
        <v>2.5000000000000001E-2</v>
      </c>
      <c r="E7" s="30"/>
      <c r="F7" s="30"/>
      <c r="G7" s="7"/>
      <c r="H7" s="1"/>
    </row>
    <row r="8" spans="1:8" ht="15.75" customHeight="1">
      <c r="A8" s="1"/>
      <c r="B8" s="6"/>
      <c r="C8" s="30"/>
      <c r="D8" s="22"/>
      <c r="E8" s="30"/>
      <c r="F8" s="30"/>
      <c r="G8" s="7"/>
      <c r="H8" s="1"/>
    </row>
    <row r="9" spans="1:8" ht="15.75" customHeight="1">
      <c r="A9" s="1"/>
      <c r="B9" s="6"/>
      <c r="C9" s="30"/>
      <c r="D9" s="107" t="s">
        <v>52</v>
      </c>
      <c r="E9" s="108"/>
      <c r="F9" s="108" t="s">
        <v>51</v>
      </c>
      <c r="G9" s="7"/>
      <c r="H9" s="1"/>
    </row>
    <row r="10" spans="1:8" ht="15.75" customHeight="1">
      <c r="A10" s="1"/>
      <c r="B10" s="6"/>
      <c r="C10" s="30" t="s">
        <v>53</v>
      </c>
      <c r="D10" s="88">
        <f ca="1">'#14'!D10</f>
        <v>104</v>
      </c>
      <c r="E10" s="103"/>
      <c r="F10" s="88">
        <f ca="1">'#14'!F10</f>
        <v>108</v>
      </c>
      <c r="G10" s="7"/>
      <c r="H10" s="1"/>
    </row>
    <row r="11" spans="1:8" ht="15.75" customHeight="1">
      <c r="A11" s="1"/>
      <c r="B11" s="6"/>
      <c r="C11" s="30" t="s">
        <v>54</v>
      </c>
      <c r="D11" s="88">
        <f ca="1">'#14'!D11</f>
        <v>47</v>
      </c>
      <c r="E11" s="103"/>
      <c r="F11" s="88">
        <f ca="1">'#14'!F11</f>
        <v>47</v>
      </c>
      <c r="G11" s="7"/>
      <c r="H11" s="1"/>
    </row>
    <row r="12" spans="1:8" ht="15.75" customHeight="1">
      <c r="A12" s="1"/>
      <c r="B12" s="6"/>
      <c r="C12" s="11" t="s">
        <v>55</v>
      </c>
      <c r="D12" s="110">
        <f ca="1">'#14'!D12</f>
        <v>3240</v>
      </c>
      <c r="E12" s="111"/>
      <c r="F12" s="110">
        <f ca="1">'#14'!F12</f>
        <v>3295</v>
      </c>
      <c r="G12" s="7"/>
      <c r="H12" s="1"/>
    </row>
    <row r="13" spans="1:8" ht="15.75" customHeight="1" thickBot="1">
      <c r="A13" s="1"/>
      <c r="B13" s="8"/>
      <c r="C13" s="9"/>
      <c r="D13" s="9"/>
      <c r="E13" s="9"/>
      <c r="F13" s="9"/>
      <c r="G13" s="10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2" t="s">
        <v>2</v>
      </c>
      <c r="D15" s="1"/>
      <c r="E15" s="1"/>
      <c r="F15" s="1"/>
      <c r="G15" s="1"/>
      <c r="H15" s="155"/>
    </row>
    <row r="16" spans="1:8" ht="15.75" customHeight="1" thickBot="1">
      <c r="A16" s="1"/>
      <c r="B16" s="1"/>
      <c r="C16" s="1"/>
      <c r="D16" s="1"/>
      <c r="E16" s="1"/>
      <c r="F16" s="1"/>
      <c r="G16" s="1"/>
      <c r="H16" s="155"/>
    </row>
    <row r="17" spans="1:8" ht="15.75" customHeight="1">
      <c r="A17" s="1"/>
      <c r="B17" s="12"/>
      <c r="C17" s="13"/>
      <c r="D17" s="13"/>
      <c r="E17" s="14"/>
      <c r="F17" s="1"/>
      <c r="G17" s="1"/>
      <c r="H17" s="1"/>
    </row>
    <row r="18" spans="1:8" ht="15.75" customHeight="1">
      <c r="A18" s="1"/>
      <c r="B18" s="15"/>
      <c r="C18" s="109" t="s">
        <v>136</v>
      </c>
      <c r="D18" s="100">
        <f>((D10*D12)-(D11*D12)+(((D10-D11)*D12)/D7))/(((F10-F11)/D7)-F11)</f>
        <v>3164.1788549937319</v>
      </c>
      <c r="E18" s="17"/>
      <c r="F18" s="1"/>
      <c r="G18" s="1"/>
      <c r="H18" s="155"/>
    </row>
    <row r="19" spans="1:8" ht="15.75" customHeight="1" thickBot="1">
      <c r="A19" s="1"/>
      <c r="B19" s="18"/>
      <c r="C19" s="19"/>
      <c r="D19" s="19"/>
      <c r="E19" s="20"/>
      <c r="F19" s="1"/>
      <c r="G19" s="1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/>
    <row r="25" spans="1:8" ht="15.75" customHeight="1"/>
    <row r="26" spans="1:8" ht="15.75" customHeight="1"/>
    <row r="27" spans="1:8" ht="15.75" customHeight="1"/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H47"/>
  <sheetViews>
    <sheetView workbookViewId="0"/>
  </sheetViews>
  <sheetFormatPr defaultRowHeight="12.75"/>
  <cols>
    <col min="2" max="2" width="3" customWidth="1"/>
    <col min="3" max="3" width="24.7109375" customWidth="1"/>
    <col min="4" max="4" width="19.85546875" customWidth="1"/>
    <col min="5" max="5" width="3.5703125" customWidth="1"/>
    <col min="6" max="6" width="18.42578125" customWidth="1"/>
    <col min="7" max="7" width="3.140625" customWidth="1"/>
    <col min="8" max="8" width="18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80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4"/>
      <c r="F6" s="4"/>
      <c r="G6" s="5"/>
      <c r="H6" s="1"/>
    </row>
    <row r="7" spans="1:8" ht="15.75" customHeight="1">
      <c r="A7" s="1"/>
      <c r="B7" s="6"/>
      <c r="C7" s="30" t="s">
        <v>39</v>
      </c>
      <c r="D7" s="106">
        <f ca="1">'#14'!D7</f>
        <v>2.5000000000000001E-2</v>
      </c>
      <c r="E7" s="30"/>
      <c r="F7" s="30"/>
      <c r="G7" s="7"/>
      <c r="H7" s="1"/>
    </row>
    <row r="8" spans="1:8" ht="15.75" customHeight="1">
      <c r="A8" s="1"/>
      <c r="B8" s="6"/>
      <c r="C8" s="30"/>
      <c r="D8" s="22"/>
      <c r="E8" s="30"/>
      <c r="F8" s="30"/>
      <c r="G8" s="7"/>
      <c r="H8" s="1"/>
    </row>
    <row r="9" spans="1:8" ht="15.75" customHeight="1">
      <c r="A9" s="1"/>
      <c r="B9" s="6"/>
      <c r="C9" s="30"/>
      <c r="D9" s="107" t="s">
        <v>52</v>
      </c>
      <c r="E9" s="108"/>
      <c r="F9" s="108" t="s">
        <v>51</v>
      </c>
      <c r="G9" s="7"/>
      <c r="H9" s="1"/>
    </row>
    <row r="10" spans="1:8" ht="15.75" customHeight="1">
      <c r="A10" s="1"/>
      <c r="B10" s="6"/>
      <c r="C10" s="30" t="s">
        <v>53</v>
      </c>
      <c r="D10" s="88">
        <f ca="1">'#14'!D10</f>
        <v>104</v>
      </c>
      <c r="E10" s="103"/>
      <c r="F10" s="88">
        <f ca="1">'#14'!F10</f>
        <v>108</v>
      </c>
      <c r="G10" s="7"/>
      <c r="H10" s="1"/>
    </row>
    <row r="11" spans="1:8" ht="15.75" customHeight="1">
      <c r="A11" s="1"/>
      <c r="B11" s="6"/>
      <c r="C11" s="30" t="s">
        <v>54</v>
      </c>
      <c r="D11" s="88">
        <f ca="1">'#14'!D11</f>
        <v>47</v>
      </c>
      <c r="E11" s="103"/>
      <c r="F11" s="88">
        <f ca="1">'#14'!F11</f>
        <v>47</v>
      </c>
      <c r="G11" s="7"/>
      <c r="H11" s="1"/>
    </row>
    <row r="12" spans="1:8" ht="15.75" customHeight="1">
      <c r="A12" s="1"/>
      <c r="B12" s="6"/>
      <c r="C12" s="11" t="s">
        <v>55</v>
      </c>
      <c r="D12" s="110">
        <f ca="1">'#14'!D12</f>
        <v>3240</v>
      </c>
      <c r="E12" s="111"/>
      <c r="F12" s="96">
        <v>3400</v>
      </c>
      <c r="G12" s="7"/>
      <c r="H12" s="1"/>
    </row>
    <row r="13" spans="1:8" ht="15.75" customHeight="1" thickBot="1">
      <c r="A13" s="1"/>
      <c r="B13" s="8"/>
      <c r="C13" s="9"/>
      <c r="D13" s="9"/>
      <c r="E13" s="9"/>
      <c r="F13" s="9"/>
      <c r="G13" s="10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customHeight="1" thickBot="1">
      <c r="A16" s="1"/>
      <c r="B16" s="1"/>
      <c r="C16" s="1"/>
      <c r="D16" s="1"/>
      <c r="E16" s="1"/>
      <c r="F16" s="1"/>
      <c r="G16" s="1"/>
      <c r="H16" s="1"/>
    </row>
    <row r="17" spans="1:8" ht="15.75" customHeight="1">
      <c r="A17" s="1"/>
      <c r="B17" s="12"/>
      <c r="C17" s="13"/>
      <c r="D17" s="13"/>
      <c r="E17" s="14"/>
      <c r="F17" s="1"/>
      <c r="G17" s="1"/>
      <c r="H17" s="1"/>
    </row>
    <row r="18" spans="1:8" ht="15.75" customHeight="1">
      <c r="A18" s="1"/>
      <c r="B18" s="15"/>
      <c r="C18" s="16" t="s">
        <v>137</v>
      </c>
      <c r="D18" s="75">
        <f>(((D10*D12)+(D11*(F12-D12))+((F11*F12)/D7)+(((D10-D11)*D12)/D7))*D7)/F12</f>
        <v>103.85058823529411</v>
      </c>
      <c r="E18" s="17"/>
      <c r="F18" s="149"/>
      <c r="G18" s="1"/>
      <c r="H18" s="1"/>
    </row>
    <row r="19" spans="1:8" ht="15.75" customHeight="1" thickBot="1">
      <c r="A19" s="1"/>
      <c r="B19" s="18"/>
      <c r="C19" s="19"/>
      <c r="D19" s="19"/>
      <c r="E19" s="20"/>
      <c r="F19" s="1"/>
      <c r="G19" s="1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/>
    <row r="25" spans="1:8" ht="15.75" customHeight="1"/>
    <row r="26" spans="1:8" ht="15.75" customHeight="1"/>
    <row r="27" spans="1:8" ht="15.75" customHeight="1"/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workbookViewId="0"/>
  </sheetViews>
  <sheetFormatPr defaultRowHeight="12.75"/>
  <cols>
    <col min="2" max="2" width="3" customWidth="1"/>
    <col min="3" max="3" width="19.42578125" bestFit="1" customWidth="1"/>
    <col min="4" max="4" width="18.140625" customWidth="1"/>
    <col min="5" max="5" width="2.42578125" customWidth="1"/>
    <col min="6" max="6" width="5.28515625" customWidth="1"/>
    <col min="7" max="7" width="3.140625" customWidth="1"/>
    <col min="8" max="8" width="18.140625" customWidth="1"/>
    <col min="9" max="9" width="18.28515625" customWidth="1"/>
    <col min="10" max="10" width="3.140625" customWidth="1"/>
  </cols>
  <sheetData>
    <row r="1" spans="1:10" ht="18">
      <c r="A1" s="1"/>
      <c r="B1" s="1"/>
      <c r="C1" s="143" t="s">
        <v>197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4"/>
      <c r="E6" s="4"/>
      <c r="F6" s="4"/>
      <c r="G6" s="5"/>
      <c r="H6" s="1"/>
      <c r="I6" s="1"/>
      <c r="J6" s="1"/>
    </row>
    <row r="7" spans="1:10" ht="15">
      <c r="A7" s="1"/>
      <c r="B7" s="6"/>
      <c r="C7" s="11" t="s">
        <v>89</v>
      </c>
      <c r="D7" s="54">
        <v>500</v>
      </c>
      <c r="E7" s="54"/>
      <c r="F7" s="54"/>
      <c r="G7" s="7"/>
      <c r="H7" s="1"/>
      <c r="I7" s="1"/>
      <c r="J7" s="1"/>
    </row>
    <row r="8" spans="1:10" ht="15">
      <c r="A8" s="1"/>
      <c r="B8" s="6"/>
      <c r="C8" s="11" t="s">
        <v>3</v>
      </c>
      <c r="D8" s="55">
        <v>135</v>
      </c>
      <c r="E8" s="55"/>
      <c r="F8" s="55"/>
      <c r="G8" s="7"/>
      <c r="H8" s="1"/>
      <c r="I8" s="1"/>
      <c r="J8" s="1"/>
    </row>
    <row r="9" spans="1:10" ht="15">
      <c r="A9" s="1"/>
      <c r="B9" s="6"/>
      <c r="C9" s="11" t="s">
        <v>90</v>
      </c>
      <c r="D9" s="56">
        <v>0.01</v>
      </c>
      <c r="E9" s="57" t="s">
        <v>91</v>
      </c>
      <c r="F9" s="57">
        <v>10</v>
      </c>
      <c r="G9" s="7"/>
      <c r="H9" s="1"/>
      <c r="I9" s="1"/>
      <c r="J9" s="1"/>
    </row>
    <row r="10" spans="1:10" ht="15">
      <c r="A10" s="1"/>
      <c r="B10" s="6"/>
      <c r="C10" s="11" t="s">
        <v>4</v>
      </c>
      <c r="D10" s="54">
        <v>30</v>
      </c>
      <c r="E10" s="54"/>
      <c r="F10" s="54"/>
      <c r="G10" s="7"/>
      <c r="H10" s="1"/>
      <c r="I10" s="1"/>
      <c r="J10" s="1"/>
    </row>
    <row r="11" spans="1:10" ht="15.75" thickBot="1">
      <c r="A11" s="1"/>
      <c r="B11" s="8"/>
      <c r="C11" s="9"/>
      <c r="D11" s="9"/>
      <c r="E11" s="9"/>
      <c r="F11" s="9"/>
      <c r="G11" s="10"/>
      <c r="H11" s="1"/>
      <c r="I11" s="1"/>
      <c r="J11" s="1"/>
    </row>
    <row r="12" spans="1:10" ht="1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5">
      <c r="A13" s="1"/>
      <c r="B13" s="1"/>
      <c r="C13" s="2" t="s">
        <v>2</v>
      </c>
      <c r="D13" s="1"/>
      <c r="E13" s="1"/>
      <c r="F13" s="1"/>
      <c r="G13" s="1"/>
      <c r="H13" s="1"/>
      <c r="I13" s="1"/>
      <c r="J13" s="1"/>
    </row>
    <row r="14" spans="1:10" ht="15.75" thickBo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>
      <c r="A15" s="1"/>
      <c r="B15" s="12"/>
      <c r="C15" s="13"/>
      <c r="D15" s="13"/>
      <c r="E15" s="13"/>
      <c r="F15" s="13"/>
      <c r="G15" s="14"/>
      <c r="H15" s="1"/>
      <c r="I15" s="1"/>
      <c r="J15" s="1"/>
    </row>
    <row r="16" spans="1:10" ht="15">
      <c r="A16" s="1"/>
      <c r="B16" s="58" t="s">
        <v>92</v>
      </c>
      <c r="C16" s="16" t="s">
        <v>93</v>
      </c>
      <c r="D16" s="21"/>
      <c r="E16" s="21"/>
      <c r="F16" s="21"/>
      <c r="G16" s="17"/>
      <c r="H16" s="1"/>
      <c r="I16" s="1"/>
      <c r="J16" s="1"/>
    </row>
    <row r="17" spans="1:10" ht="15.75">
      <c r="A17" s="1"/>
      <c r="B17" s="58"/>
      <c r="C17" s="16" t="s">
        <v>94</v>
      </c>
      <c r="D17" s="59">
        <f>D10</f>
        <v>30</v>
      </c>
      <c r="E17" s="60"/>
      <c r="F17" s="60"/>
      <c r="G17" s="17"/>
      <c r="H17" s="1"/>
      <c r="I17" s="1"/>
      <c r="J17" s="1"/>
    </row>
    <row r="18" spans="1:10" ht="15.75">
      <c r="A18" s="1"/>
      <c r="B18" s="58"/>
      <c r="C18" s="16" t="s">
        <v>5</v>
      </c>
      <c r="D18" s="26">
        <f>D7*D8</f>
        <v>67500</v>
      </c>
      <c r="E18" s="25"/>
      <c r="F18" s="25"/>
      <c r="G18" s="17"/>
      <c r="H18" s="1"/>
      <c r="I18" s="1"/>
      <c r="J18" s="1"/>
    </row>
    <row r="19" spans="1:10" ht="15">
      <c r="A19" s="1"/>
      <c r="B19" s="58"/>
      <c r="C19" s="16"/>
      <c r="D19" s="21"/>
      <c r="E19" s="21"/>
      <c r="F19" s="21"/>
      <c r="G19" s="17"/>
      <c r="H19" s="1"/>
      <c r="I19" s="1"/>
      <c r="J19" s="1"/>
    </row>
    <row r="20" spans="1:10" ht="15.75">
      <c r="A20" s="1"/>
      <c r="B20" s="58" t="s">
        <v>95</v>
      </c>
      <c r="C20" s="16" t="s">
        <v>6</v>
      </c>
      <c r="D20" s="39">
        <f>D9</f>
        <v>0.01</v>
      </c>
      <c r="E20" s="61"/>
      <c r="F20" s="61"/>
      <c r="G20" s="17"/>
      <c r="H20" s="1"/>
      <c r="I20" s="1"/>
      <c r="J20" s="1"/>
    </row>
    <row r="21" spans="1:10" ht="15.75">
      <c r="A21" s="1"/>
      <c r="B21" s="58"/>
      <c r="C21" s="16" t="s">
        <v>7</v>
      </c>
      <c r="D21" s="40">
        <f>F9</f>
        <v>10</v>
      </c>
      <c r="E21" s="62"/>
      <c r="F21" s="62"/>
      <c r="G21" s="17"/>
      <c r="H21" s="1"/>
      <c r="I21" s="1"/>
      <c r="J21" s="1"/>
    </row>
    <row r="22" spans="1:10" ht="15.75">
      <c r="A22" s="1"/>
      <c r="B22" s="58"/>
      <c r="C22" s="16" t="s">
        <v>5</v>
      </c>
      <c r="D22" s="26">
        <f>D18*(1-D9)</f>
        <v>66825</v>
      </c>
      <c r="E22" s="25"/>
      <c r="F22" s="25"/>
      <c r="G22" s="17"/>
      <c r="H22" s="1"/>
      <c r="I22" s="1"/>
      <c r="J22" s="1"/>
    </row>
    <row r="23" spans="1:10" ht="15">
      <c r="A23" s="1"/>
      <c r="B23" s="58"/>
      <c r="C23" s="16"/>
      <c r="D23" s="23"/>
      <c r="E23" s="23"/>
      <c r="F23" s="23"/>
      <c r="G23" s="17"/>
      <c r="H23" s="1"/>
      <c r="I23" s="1"/>
      <c r="J23" s="1"/>
    </row>
    <row r="24" spans="1:10" ht="15.75">
      <c r="A24" s="1"/>
      <c r="B24" s="58" t="s">
        <v>96</v>
      </c>
      <c r="C24" s="16" t="s">
        <v>8</v>
      </c>
      <c r="D24" s="26">
        <f>D18-D22</f>
        <v>675</v>
      </c>
      <c r="E24" s="25"/>
      <c r="F24" s="25"/>
      <c r="G24" s="17"/>
      <c r="H24" s="1"/>
      <c r="I24" s="1"/>
      <c r="J24" s="1"/>
    </row>
    <row r="25" spans="1:10" ht="15.75">
      <c r="A25" s="1"/>
      <c r="B25" s="58"/>
      <c r="C25" s="16" t="s">
        <v>9</v>
      </c>
      <c r="D25" s="38">
        <f>D10-F9</f>
        <v>20</v>
      </c>
      <c r="E25" s="63"/>
      <c r="F25" s="63"/>
      <c r="G25" s="17"/>
      <c r="H25" s="1"/>
      <c r="I25" s="1"/>
      <c r="J25" s="1"/>
    </row>
    <row r="26" spans="1:10" ht="15.75" thickBot="1">
      <c r="A26" s="1"/>
      <c r="B26" s="18"/>
      <c r="C26" s="19"/>
      <c r="D26" s="19"/>
      <c r="E26" s="19"/>
      <c r="F26" s="19"/>
      <c r="G26" s="20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35"/>
  <sheetViews>
    <sheetView workbookViewId="0"/>
  </sheetViews>
  <sheetFormatPr defaultRowHeight="12.75"/>
  <cols>
    <col min="2" max="2" width="3" customWidth="1"/>
    <col min="3" max="3" width="23.5703125" customWidth="1"/>
    <col min="4" max="4" width="18.140625" customWidth="1"/>
    <col min="5" max="5" width="3.140625" customWidth="1"/>
    <col min="6" max="6" width="18.140625" customWidth="1"/>
    <col min="7" max="7" width="3.140625" customWidth="1"/>
    <col min="8" max="8" width="18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81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57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4"/>
      <c r="F6" s="4"/>
      <c r="G6" s="5"/>
      <c r="H6" s="1"/>
    </row>
    <row r="7" spans="1:8" ht="15.75" customHeight="1">
      <c r="A7" s="1"/>
      <c r="B7" s="6"/>
      <c r="C7" s="30" t="s">
        <v>4</v>
      </c>
      <c r="D7" s="103">
        <f ca="1">'#15'!D7</f>
        <v>30</v>
      </c>
      <c r="E7" s="30"/>
      <c r="F7" s="30"/>
      <c r="G7" s="7"/>
      <c r="H7" s="1"/>
    </row>
    <row r="8" spans="1:8" ht="15.75" customHeight="1">
      <c r="A8" s="1"/>
      <c r="B8" s="6"/>
      <c r="C8" s="30" t="s">
        <v>39</v>
      </c>
      <c r="D8" s="156">
        <f ca="1">'#15'!D8</f>
        <v>9.4999999999999998E-3</v>
      </c>
      <c r="E8" s="30"/>
      <c r="F8" s="30"/>
      <c r="G8" s="7"/>
      <c r="H8" s="1"/>
    </row>
    <row r="9" spans="1:8" ht="15.75" customHeight="1">
      <c r="A9" s="1"/>
      <c r="B9" s="6"/>
      <c r="C9" s="30"/>
      <c r="D9" s="22"/>
      <c r="E9" s="30"/>
      <c r="F9" s="30"/>
      <c r="G9" s="7"/>
      <c r="H9" s="1"/>
    </row>
    <row r="10" spans="1:8" ht="15.75" customHeight="1">
      <c r="A10" s="1"/>
      <c r="B10" s="6"/>
      <c r="C10" s="30"/>
      <c r="D10" s="34" t="s">
        <v>52</v>
      </c>
      <c r="E10" s="30"/>
      <c r="F10" s="30" t="s">
        <v>51</v>
      </c>
      <c r="G10" s="7"/>
      <c r="H10" s="1"/>
    </row>
    <row r="11" spans="1:8" ht="15.75" customHeight="1">
      <c r="A11" s="1"/>
      <c r="B11" s="6"/>
      <c r="C11" s="30" t="s">
        <v>53</v>
      </c>
      <c r="D11" s="88">
        <f ca="1">'#15'!D11</f>
        <v>295</v>
      </c>
      <c r="E11" s="103"/>
      <c r="F11" s="88">
        <f ca="1">'#15'!F11</f>
        <v>302</v>
      </c>
      <c r="G11" s="7"/>
      <c r="H11" s="1"/>
    </row>
    <row r="12" spans="1:8" ht="15.75" customHeight="1">
      <c r="A12" s="1"/>
      <c r="B12" s="6"/>
      <c r="C12" s="30" t="s">
        <v>54</v>
      </c>
      <c r="D12" s="88">
        <f ca="1">'#15'!D12</f>
        <v>230</v>
      </c>
      <c r="E12" s="103"/>
      <c r="F12" s="88">
        <f ca="1">'#15'!F12</f>
        <v>234</v>
      </c>
      <c r="G12" s="7"/>
      <c r="H12" s="1"/>
    </row>
    <row r="13" spans="1:8" ht="15.75" customHeight="1">
      <c r="A13" s="1"/>
      <c r="B13" s="6"/>
      <c r="C13" s="11" t="s">
        <v>55</v>
      </c>
      <c r="D13" s="110">
        <f ca="1">'#15'!D13</f>
        <v>1105</v>
      </c>
      <c r="E13" s="110"/>
      <c r="F13" s="110">
        <f ca="1">'#15'!F13</f>
        <v>1125</v>
      </c>
      <c r="G13" s="7"/>
      <c r="H13" s="1"/>
    </row>
    <row r="14" spans="1:8" ht="15.75" customHeight="1" thickBot="1">
      <c r="A14" s="1"/>
      <c r="B14" s="8"/>
      <c r="C14" s="9"/>
      <c r="D14" s="9"/>
      <c r="E14" s="9"/>
      <c r="F14" s="9"/>
      <c r="G14" s="10"/>
      <c r="H14" s="1"/>
    </row>
    <row r="15" spans="1:8" ht="15.75" customHeight="1">
      <c r="A15" s="1"/>
      <c r="B15" s="1"/>
      <c r="C15" s="1"/>
      <c r="D15" s="1"/>
      <c r="E15" s="1"/>
      <c r="F15" s="1"/>
      <c r="G15" s="1"/>
      <c r="H15" s="155"/>
    </row>
    <row r="16" spans="1:8" ht="15.75" customHeight="1">
      <c r="A16" s="1"/>
      <c r="B16" s="1"/>
      <c r="C16" s="2" t="s">
        <v>2</v>
      </c>
      <c r="D16" s="1"/>
      <c r="E16" s="1"/>
      <c r="F16" s="1"/>
      <c r="G16" s="1"/>
      <c r="H16" s="155"/>
    </row>
    <row r="17" spans="1:8" ht="15.75" customHeight="1" thickBot="1">
      <c r="A17" s="1"/>
      <c r="B17" s="1"/>
      <c r="C17" s="1"/>
      <c r="D17" s="1"/>
      <c r="E17" s="1"/>
      <c r="F17" s="1"/>
      <c r="G17" s="1"/>
      <c r="H17" s="155"/>
    </row>
    <row r="18" spans="1:8" ht="15.75" customHeight="1">
      <c r="A18" s="1"/>
      <c r="B18" s="12"/>
      <c r="C18" s="13"/>
      <c r="D18" s="13"/>
      <c r="E18" s="14"/>
      <c r="F18" s="1"/>
      <c r="G18" s="1"/>
    </row>
    <row r="19" spans="1:8" ht="15.75" customHeight="1">
      <c r="A19" s="1"/>
      <c r="B19" s="15"/>
      <c r="C19" s="16" t="s">
        <v>137</v>
      </c>
      <c r="D19" s="153">
        <f>(((D11*D13)+((F12-D12)*D13)+(F12*(F13-D13))+((F12*F13)/D8)+(((D11-D12)*D13)/D8))*D8)/F13</f>
        <v>300.67396666666667</v>
      </c>
      <c r="E19" s="17"/>
      <c r="F19" s="149"/>
      <c r="G19" s="1"/>
      <c r="H19" s="158"/>
    </row>
    <row r="20" spans="1:8" ht="15.75" customHeight="1" thickBot="1">
      <c r="A20" s="1"/>
      <c r="B20" s="18"/>
      <c r="C20" s="19"/>
      <c r="D20" s="19"/>
      <c r="E20" s="20"/>
      <c r="F20" s="1"/>
      <c r="G20" s="1"/>
      <c r="H20" s="158"/>
    </row>
    <row r="21" spans="1:8" ht="15.75" customHeight="1">
      <c r="A21" s="1"/>
      <c r="B21" s="1"/>
      <c r="C21" s="1"/>
      <c r="D21" s="1"/>
      <c r="E21" s="1"/>
      <c r="F21" s="1"/>
      <c r="G21" s="1"/>
      <c r="H21" s="159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/>
    <row r="26" spans="1:8" ht="15.75" customHeight="1"/>
    <row r="27" spans="1:8" ht="15.75" customHeight="1"/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22"/>
  <sheetViews>
    <sheetView workbookViewId="0"/>
  </sheetViews>
  <sheetFormatPr defaultRowHeight="12.75"/>
  <cols>
    <col min="2" max="2" width="3" customWidth="1"/>
    <col min="3" max="3" width="22.140625" customWidth="1"/>
    <col min="4" max="4" width="18.140625" customWidth="1"/>
    <col min="5" max="5" width="3.140625" customWidth="1"/>
    <col min="6" max="8" width="18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">
      <c r="A2" s="1"/>
      <c r="B2" s="1"/>
      <c r="C2" s="1" t="s">
        <v>189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36"/>
      <c r="G6" s="36"/>
      <c r="H6" s="1"/>
    </row>
    <row r="7" spans="1:8" ht="15">
      <c r="A7" s="1"/>
      <c r="B7" s="6"/>
      <c r="C7" s="30" t="s">
        <v>82</v>
      </c>
      <c r="D7" s="64">
        <v>700</v>
      </c>
      <c r="E7" s="7"/>
      <c r="F7" s="36"/>
      <c r="G7" s="36"/>
      <c r="H7" s="1"/>
    </row>
    <row r="8" spans="1:8" ht="15">
      <c r="A8" s="1"/>
      <c r="B8" s="6"/>
      <c r="C8" s="30" t="s">
        <v>67</v>
      </c>
      <c r="D8" s="64">
        <v>500</v>
      </c>
      <c r="E8" s="7"/>
      <c r="F8" s="36"/>
      <c r="G8" s="36"/>
      <c r="H8" s="1"/>
    </row>
    <row r="9" spans="1:8" ht="15">
      <c r="A9" s="1"/>
      <c r="B9" s="6"/>
      <c r="C9" s="30" t="s">
        <v>83</v>
      </c>
      <c r="D9" s="64">
        <v>100</v>
      </c>
      <c r="E9" s="7"/>
      <c r="F9" s="37"/>
      <c r="G9" s="36"/>
      <c r="H9" s="1"/>
    </row>
    <row r="10" spans="1:8" ht="15.75" thickBot="1">
      <c r="A10" s="1"/>
      <c r="B10" s="8"/>
      <c r="C10" s="9"/>
      <c r="D10" s="9"/>
      <c r="E10" s="10"/>
      <c r="F10" s="36"/>
      <c r="G10" s="36"/>
      <c r="H10" s="1"/>
    </row>
    <row r="11" spans="1:8" ht="15">
      <c r="A11" s="1"/>
      <c r="B11" s="1"/>
      <c r="C11" s="1"/>
      <c r="D11" s="1"/>
      <c r="E11" s="1"/>
      <c r="F11" s="1"/>
      <c r="G11" s="1"/>
      <c r="H11" s="1"/>
    </row>
    <row r="12" spans="1:8" ht="15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thickBot="1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2"/>
      <c r="C14" s="13"/>
      <c r="D14" s="13"/>
      <c r="E14" s="14"/>
      <c r="F14" s="1"/>
      <c r="G14" s="1"/>
      <c r="H14" s="1"/>
    </row>
    <row r="15" spans="1:8" ht="15">
      <c r="A15" s="1"/>
      <c r="B15" s="15"/>
      <c r="C15" s="16" t="s">
        <v>195</v>
      </c>
      <c r="D15" s="152">
        <f>D7*52</f>
        <v>36400</v>
      </c>
      <c r="E15" s="17"/>
      <c r="F15" s="1"/>
      <c r="G15" s="1"/>
      <c r="H15" s="1"/>
    </row>
    <row r="16" spans="1:8" ht="15">
      <c r="A16" s="1"/>
      <c r="B16" s="15"/>
      <c r="C16" s="16"/>
      <c r="D16" s="152"/>
      <c r="E16" s="17"/>
      <c r="F16" s="1"/>
      <c r="G16" s="1"/>
      <c r="H16" s="1"/>
    </row>
    <row r="17" spans="1:8" ht="15.75">
      <c r="A17" s="1"/>
      <c r="B17" s="15"/>
      <c r="C17" s="16" t="s">
        <v>194</v>
      </c>
      <c r="D17" s="154">
        <f>D15/D8</f>
        <v>72.8</v>
      </c>
      <c r="E17" s="17"/>
      <c r="F17" s="1"/>
      <c r="G17" s="1"/>
      <c r="H17" s="1"/>
    </row>
    <row r="18" spans="1:8" ht="15.75" thickBot="1">
      <c r="A18" s="1"/>
      <c r="B18" s="18"/>
      <c r="C18" s="19"/>
      <c r="D18" s="19"/>
      <c r="E18" s="20"/>
      <c r="F18" s="1"/>
      <c r="G18" s="1"/>
      <c r="H18" s="1"/>
    </row>
    <row r="19" spans="1:8" ht="15">
      <c r="A19" s="1"/>
      <c r="B19" s="1"/>
      <c r="C19" s="1"/>
      <c r="D19" s="1"/>
      <c r="E19" s="1"/>
      <c r="F19" s="1"/>
      <c r="G19" s="1"/>
      <c r="H19" s="1"/>
    </row>
    <row r="20" spans="1:8" ht="15">
      <c r="A20" s="1"/>
      <c r="B20" s="1"/>
      <c r="C20" s="1"/>
      <c r="D20" s="1"/>
      <c r="E20" s="1"/>
      <c r="F20" s="1"/>
      <c r="G20" s="1"/>
      <c r="H20" s="1"/>
    </row>
    <row r="21" spans="1:8" ht="15">
      <c r="A21" s="1"/>
      <c r="B21" s="1"/>
      <c r="C21" s="1"/>
      <c r="D21" s="1"/>
      <c r="E21" s="1"/>
      <c r="F21" s="1"/>
      <c r="G21" s="1"/>
      <c r="H21" s="1"/>
    </row>
    <row r="22" spans="1:8" ht="15">
      <c r="A22" s="1"/>
      <c r="B22" s="1"/>
      <c r="C22" s="1"/>
      <c r="D22" s="1"/>
      <c r="E22" s="1"/>
      <c r="F22" s="1"/>
      <c r="G22" s="1"/>
      <c r="H22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26"/>
  <sheetViews>
    <sheetView workbookViewId="0"/>
  </sheetViews>
  <sheetFormatPr defaultRowHeight="12.75"/>
  <cols>
    <col min="1" max="1" width="9.140625" style="164"/>
    <col min="2" max="2" width="3" style="164" customWidth="1"/>
    <col min="3" max="3" width="23.28515625" style="164" customWidth="1"/>
    <col min="4" max="4" width="20.140625" style="164" bestFit="1" customWidth="1"/>
    <col min="5" max="5" width="3.140625" style="164" customWidth="1"/>
    <col min="6" max="6" width="18.140625" style="164" customWidth="1"/>
    <col min="7" max="7" width="18.28515625" style="164" customWidth="1"/>
    <col min="8" max="8" width="3.140625" style="164" customWidth="1"/>
    <col min="9" max="16384" width="9.140625" style="164"/>
  </cols>
  <sheetData>
    <row r="1" spans="1:8" ht="18">
      <c r="A1" s="162"/>
      <c r="B1" s="162"/>
      <c r="C1" s="163" t="s">
        <v>197</v>
      </c>
      <c r="D1" s="162"/>
      <c r="E1" s="162"/>
      <c r="F1" s="162"/>
      <c r="G1" s="162"/>
      <c r="H1" s="162"/>
    </row>
    <row r="2" spans="1:8" ht="15">
      <c r="A2" s="162"/>
      <c r="B2" s="162"/>
      <c r="C2" s="162" t="s">
        <v>200</v>
      </c>
      <c r="D2" s="162"/>
      <c r="E2" s="162"/>
      <c r="F2" s="162"/>
      <c r="G2" s="162"/>
      <c r="H2" s="162"/>
    </row>
    <row r="3" spans="1:8" ht="15">
      <c r="A3" s="162"/>
      <c r="B3" s="162"/>
      <c r="C3" s="162"/>
      <c r="D3" s="162"/>
      <c r="E3" s="162"/>
      <c r="F3" s="162"/>
      <c r="G3" s="162"/>
      <c r="H3" s="162"/>
    </row>
    <row r="4" spans="1:8" ht="15">
      <c r="A4" s="162"/>
      <c r="B4" s="162"/>
      <c r="C4" s="165" t="s">
        <v>1</v>
      </c>
      <c r="D4" s="162"/>
      <c r="E4" s="162"/>
      <c r="F4" s="162"/>
      <c r="G4" s="162"/>
      <c r="H4" s="162"/>
    </row>
    <row r="5" spans="1:8" ht="15.75" thickBot="1">
      <c r="A5" s="162"/>
      <c r="B5" s="162"/>
      <c r="C5" s="162"/>
      <c r="D5" s="162"/>
      <c r="E5" s="162"/>
      <c r="F5" s="162"/>
      <c r="G5" s="162"/>
      <c r="H5" s="162"/>
    </row>
    <row r="6" spans="1:8" ht="15">
      <c r="A6" s="162"/>
      <c r="B6" s="166"/>
      <c r="C6" s="167"/>
      <c r="D6" s="167"/>
      <c r="E6" s="168"/>
      <c r="F6" s="162"/>
      <c r="G6" s="162"/>
      <c r="H6" s="162"/>
    </row>
    <row r="7" spans="1:8" ht="15">
      <c r="A7" s="162"/>
      <c r="B7" s="169"/>
      <c r="C7" s="170" t="s">
        <v>114</v>
      </c>
      <c r="D7" s="64">
        <v>125</v>
      </c>
      <c r="E7" s="171"/>
      <c r="F7" s="162"/>
      <c r="G7" s="162"/>
      <c r="H7" s="162"/>
    </row>
    <row r="8" spans="1:8" ht="15">
      <c r="A8" s="162"/>
      <c r="B8" s="169"/>
      <c r="C8" s="170" t="s">
        <v>36</v>
      </c>
      <c r="D8" s="55">
        <v>11400</v>
      </c>
      <c r="E8" s="171"/>
      <c r="F8" s="162"/>
      <c r="G8" s="162"/>
      <c r="H8" s="162"/>
    </row>
    <row r="9" spans="1:8" ht="15">
      <c r="A9" s="162"/>
      <c r="B9" s="169"/>
      <c r="C9" s="170" t="s">
        <v>37</v>
      </c>
      <c r="D9" s="55">
        <v>13000</v>
      </c>
      <c r="E9" s="171"/>
      <c r="F9" s="162"/>
      <c r="G9" s="162"/>
      <c r="H9" s="162"/>
    </row>
    <row r="10" spans="1:8" ht="15">
      <c r="A10" s="162"/>
      <c r="B10" s="169"/>
      <c r="C10" s="170" t="s">
        <v>39</v>
      </c>
      <c r="D10" s="92">
        <v>1.9E-2</v>
      </c>
      <c r="E10" s="171"/>
      <c r="F10" s="162"/>
      <c r="G10" s="162"/>
      <c r="H10" s="162"/>
    </row>
    <row r="11" spans="1:8" ht="15">
      <c r="A11" s="162"/>
      <c r="B11" s="169"/>
      <c r="C11" s="170" t="s">
        <v>201</v>
      </c>
      <c r="D11" s="92"/>
      <c r="E11" s="171"/>
      <c r="F11" s="162"/>
      <c r="G11" s="162"/>
      <c r="H11" s="162"/>
    </row>
    <row r="12" spans="1:8" ht="15">
      <c r="A12" s="162"/>
      <c r="B12" s="169"/>
      <c r="C12" s="170" t="s">
        <v>202</v>
      </c>
      <c r="D12" s="56">
        <v>0.3</v>
      </c>
      <c r="E12" s="171"/>
      <c r="F12" s="162"/>
      <c r="G12" s="162"/>
      <c r="H12" s="162"/>
    </row>
    <row r="13" spans="1:8" ht="15.75" thickBot="1">
      <c r="A13" s="162"/>
      <c r="B13" s="172"/>
      <c r="C13" s="173"/>
      <c r="D13" s="173"/>
      <c r="E13" s="174"/>
      <c r="F13" s="162"/>
      <c r="G13" s="162"/>
      <c r="H13" s="162"/>
    </row>
    <row r="14" spans="1:8" ht="15">
      <c r="A14" s="162"/>
      <c r="B14" s="162"/>
      <c r="C14" s="162"/>
      <c r="D14" s="162"/>
      <c r="E14" s="162"/>
      <c r="F14" s="162"/>
      <c r="G14" s="162"/>
      <c r="H14" s="162"/>
    </row>
    <row r="15" spans="1:8" ht="15">
      <c r="A15" s="162"/>
      <c r="B15" s="162"/>
      <c r="C15" s="165" t="s">
        <v>2</v>
      </c>
      <c r="D15" s="162"/>
      <c r="E15" s="162"/>
      <c r="F15" s="162"/>
      <c r="G15" s="162"/>
      <c r="H15" s="162"/>
    </row>
    <row r="16" spans="1:8" ht="15.75" thickBot="1">
      <c r="A16" s="162"/>
      <c r="B16" s="162"/>
      <c r="C16" s="162"/>
      <c r="D16" s="162"/>
      <c r="E16" s="162"/>
      <c r="F16" s="162"/>
      <c r="G16" s="162"/>
      <c r="H16" s="162"/>
    </row>
    <row r="17" spans="1:8" ht="15">
      <c r="A17" s="162"/>
      <c r="B17" s="175"/>
      <c r="C17" s="176"/>
      <c r="D17" s="176"/>
      <c r="E17" s="177"/>
      <c r="F17" s="162"/>
      <c r="G17" s="162"/>
      <c r="H17" s="162"/>
    </row>
    <row r="18" spans="1:8" ht="15">
      <c r="A18" s="162"/>
      <c r="B18" s="178"/>
      <c r="C18" s="179" t="s">
        <v>203</v>
      </c>
      <c r="D18" s="180">
        <f>D7*D8</f>
        <v>1425000</v>
      </c>
      <c r="E18" s="181"/>
      <c r="F18" s="162"/>
      <c r="G18" s="162"/>
      <c r="H18" s="162"/>
    </row>
    <row r="19" spans="1:8" ht="15">
      <c r="A19" s="162"/>
      <c r="B19" s="178"/>
      <c r="C19" s="179"/>
      <c r="D19" s="179"/>
      <c r="E19" s="181"/>
      <c r="F19" s="162"/>
      <c r="G19" s="162"/>
      <c r="H19" s="162"/>
    </row>
    <row r="20" spans="1:8" ht="15.75">
      <c r="A20" s="162"/>
      <c r="B20" s="182"/>
      <c r="C20" s="179" t="s">
        <v>204</v>
      </c>
      <c r="D20" s="29">
        <f>-$D$18+((1-D12)*D7*D9)/(1+D10)+(D12*D7*(D9-D8))/D10</f>
        <v>2849185.2177056968</v>
      </c>
      <c r="E20" s="181"/>
      <c r="F20" s="162"/>
      <c r="G20" s="162"/>
      <c r="H20" s="162"/>
    </row>
    <row r="21" spans="1:8" ht="15">
      <c r="A21" s="162"/>
      <c r="B21" s="182"/>
      <c r="C21" s="183" t="str">
        <f>IF(D20&gt;0,"Fill the order","Do not fill the order")</f>
        <v>Fill the order</v>
      </c>
      <c r="D21" s="184"/>
      <c r="E21" s="181"/>
      <c r="F21" s="162"/>
      <c r="G21" s="162"/>
      <c r="H21" s="162"/>
    </row>
    <row r="22" spans="1:8" ht="15.75" thickBot="1">
      <c r="A22" s="162"/>
      <c r="B22" s="185"/>
      <c r="C22" s="186"/>
      <c r="D22" s="186"/>
      <c r="E22" s="187"/>
      <c r="F22" s="162"/>
      <c r="G22" s="162"/>
      <c r="H22" s="162"/>
    </row>
    <row r="23" spans="1:8" ht="15">
      <c r="A23" s="162"/>
      <c r="B23" s="162"/>
      <c r="C23" s="162"/>
      <c r="D23" s="162"/>
      <c r="E23" s="162"/>
      <c r="F23" s="162"/>
      <c r="G23" s="162"/>
      <c r="H23" s="162"/>
    </row>
    <row r="24" spans="1:8" ht="15">
      <c r="A24" s="162"/>
      <c r="B24" s="162"/>
      <c r="C24" s="162"/>
      <c r="D24" s="162"/>
      <c r="E24" s="162"/>
      <c r="F24" s="162"/>
      <c r="G24" s="162"/>
      <c r="H24" s="162"/>
    </row>
    <row r="25" spans="1:8" ht="15">
      <c r="A25" s="162"/>
      <c r="B25" s="162"/>
      <c r="C25" s="162"/>
      <c r="D25" s="162"/>
      <c r="E25" s="162"/>
      <c r="F25" s="162"/>
      <c r="G25" s="162"/>
      <c r="H25" s="162"/>
    </row>
    <row r="26" spans="1:8" ht="15">
      <c r="A26" s="162"/>
      <c r="B26" s="162"/>
      <c r="C26" s="162"/>
      <c r="D26" s="162"/>
      <c r="E26" s="162"/>
      <c r="F26" s="162"/>
      <c r="G26" s="162"/>
      <c r="H26" s="162"/>
    </row>
  </sheetData>
  <phoneticPr fontId="2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27"/>
  <sheetViews>
    <sheetView workbookViewId="0"/>
  </sheetViews>
  <sheetFormatPr defaultRowHeight="12.75"/>
  <cols>
    <col min="1" max="1" width="9.140625" style="164"/>
    <col min="2" max="2" width="3" style="164" customWidth="1"/>
    <col min="3" max="3" width="23.28515625" style="164" customWidth="1"/>
    <col min="4" max="4" width="20.140625" style="164" bestFit="1" customWidth="1"/>
    <col min="5" max="5" width="3.140625" style="164" customWidth="1"/>
    <col min="6" max="6" width="18.140625" style="164" customWidth="1"/>
    <col min="7" max="7" width="18.28515625" style="164" customWidth="1"/>
    <col min="8" max="8" width="3.140625" style="164" customWidth="1"/>
    <col min="9" max="16384" width="9.140625" style="164"/>
  </cols>
  <sheetData>
    <row r="1" spans="1:8" ht="18">
      <c r="A1" s="162"/>
      <c r="B1" s="162"/>
      <c r="C1" s="163" t="s">
        <v>197</v>
      </c>
      <c r="D1" s="162"/>
      <c r="E1" s="162"/>
      <c r="F1" s="162"/>
      <c r="G1" s="162"/>
      <c r="H1" s="162"/>
    </row>
    <row r="2" spans="1:8" ht="15">
      <c r="A2" s="162"/>
      <c r="B2" s="162"/>
      <c r="C2" s="162" t="s">
        <v>205</v>
      </c>
      <c r="D2" s="162"/>
      <c r="E2" s="162"/>
      <c r="F2" s="162"/>
      <c r="G2" s="162"/>
      <c r="H2" s="162"/>
    </row>
    <row r="3" spans="1:8" ht="15">
      <c r="A3" s="162"/>
      <c r="B3" s="162"/>
      <c r="C3" s="162"/>
      <c r="D3" s="162"/>
      <c r="E3" s="162"/>
      <c r="F3" s="162"/>
      <c r="G3" s="162"/>
      <c r="H3" s="162"/>
    </row>
    <row r="4" spans="1:8" ht="15">
      <c r="A4" s="162"/>
      <c r="B4" s="162"/>
      <c r="C4" s="165" t="s">
        <v>1</v>
      </c>
      <c r="D4" s="162"/>
      <c r="E4" s="162"/>
      <c r="F4" s="162"/>
      <c r="G4" s="162"/>
      <c r="H4" s="162"/>
    </row>
    <row r="5" spans="1:8" ht="15.75" thickBot="1">
      <c r="A5" s="162"/>
      <c r="B5" s="162"/>
      <c r="C5" s="162"/>
      <c r="D5" s="162"/>
      <c r="E5" s="162"/>
      <c r="F5" s="162"/>
      <c r="G5" s="162"/>
      <c r="H5" s="162"/>
    </row>
    <row r="6" spans="1:8" ht="15">
      <c r="A6" s="162"/>
      <c r="B6" s="166"/>
      <c r="C6" s="167"/>
      <c r="D6" s="167"/>
      <c r="E6" s="168"/>
      <c r="F6" s="162"/>
      <c r="G6" s="162"/>
      <c r="H6" s="162"/>
    </row>
    <row r="7" spans="1:8" ht="15">
      <c r="A7" s="162"/>
      <c r="B7" s="169"/>
      <c r="C7" s="170" t="s">
        <v>114</v>
      </c>
      <c r="D7" s="188">
        <f ca="1">'#21'!D7</f>
        <v>125</v>
      </c>
      <c r="E7" s="171"/>
      <c r="F7" s="162"/>
      <c r="G7" s="162"/>
      <c r="H7" s="162"/>
    </row>
    <row r="8" spans="1:8" ht="15">
      <c r="A8" s="162"/>
      <c r="B8" s="169"/>
      <c r="C8" s="170" t="s">
        <v>36</v>
      </c>
      <c r="D8" s="189">
        <f ca="1">'#21'!D8</f>
        <v>11400</v>
      </c>
      <c r="E8" s="171"/>
      <c r="F8" s="162"/>
      <c r="G8" s="162"/>
      <c r="H8" s="162"/>
    </row>
    <row r="9" spans="1:8" ht="15">
      <c r="A9" s="162"/>
      <c r="B9" s="169"/>
      <c r="C9" s="170" t="s">
        <v>37</v>
      </c>
      <c r="D9" s="189">
        <f ca="1">'#21'!D9</f>
        <v>13000</v>
      </c>
      <c r="E9" s="171"/>
      <c r="F9" s="162"/>
      <c r="G9" s="162"/>
      <c r="H9" s="162"/>
    </row>
    <row r="10" spans="1:8" ht="15">
      <c r="A10" s="162"/>
      <c r="B10" s="169"/>
      <c r="C10" s="170" t="s">
        <v>39</v>
      </c>
      <c r="D10" s="190">
        <f ca="1">'#21'!D10</f>
        <v>1.9E-2</v>
      </c>
      <c r="E10" s="171"/>
      <c r="F10" s="162"/>
      <c r="G10" s="162"/>
      <c r="H10" s="162"/>
    </row>
    <row r="11" spans="1:8" ht="15">
      <c r="A11" s="162"/>
      <c r="B11" s="169"/>
      <c r="C11" s="170" t="s">
        <v>201</v>
      </c>
      <c r="D11" s="190"/>
      <c r="E11" s="171"/>
      <c r="F11" s="162"/>
      <c r="G11" s="162"/>
      <c r="H11" s="162"/>
    </row>
    <row r="12" spans="1:8" ht="15">
      <c r="A12" s="162"/>
      <c r="B12" s="169"/>
      <c r="C12" s="170" t="s">
        <v>202</v>
      </c>
      <c r="D12" s="191">
        <f ca="1">'#21'!D12</f>
        <v>0.3</v>
      </c>
      <c r="E12" s="171"/>
      <c r="F12" s="162"/>
      <c r="G12" s="162"/>
      <c r="H12" s="162"/>
    </row>
    <row r="13" spans="1:8" ht="15">
      <c r="A13" s="162"/>
      <c r="B13" s="169"/>
      <c r="C13" s="170" t="s">
        <v>164</v>
      </c>
      <c r="D13" s="56">
        <v>0.15</v>
      </c>
      <c r="E13" s="171"/>
      <c r="F13" s="162"/>
      <c r="G13" s="162"/>
      <c r="H13" s="162"/>
    </row>
    <row r="14" spans="1:8" ht="15.75" thickBot="1">
      <c r="A14" s="162"/>
      <c r="B14" s="172"/>
      <c r="C14" s="173"/>
      <c r="D14" s="173"/>
      <c r="E14" s="174"/>
      <c r="F14" s="162"/>
      <c r="G14" s="162"/>
      <c r="H14" s="162"/>
    </row>
    <row r="15" spans="1:8" ht="15">
      <c r="A15" s="162"/>
      <c r="B15" s="162"/>
      <c r="C15" s="162"/>
      <c r="D15" s="162"/>
      <c r="E15" s="162"/>
      <c r="F15" s="162"/>
      <c r="G15" s="162"/>
      <c r="H15" s="162"/>
    </row>
    <row r="16" spans="1:8" ht="15">
      <c r="A16" s="162"/>
      <c r="B16" s="162"/>
      <c r="C16" s="165" t="s">
        <v>2</v>
      </c>
      <c r="D16" s="162"/>
      <c r="E16" s="162"/>
      <c r="F16" s="162"/>
      <c r="G16" s="162"/>
      <c r="H16" s="162"/>
    </row>
    <row r="17" spans="1:8" ht="15.75" thickBot="1">
      <c r="A17" s="162"/>
      <c r="B17" s="162"/>
      <c r="C17" s="162"/>
      <c r="D17" s="162"/>
      <c r="E17" s="162"/>
      <c r="F17" s="162"/>
      <c r="G17" s="162"/>
      <c r="H17" s="162"/>
    </row>
    <row r="18" spans="1:8" ht="15">
      <c r="A18" s="162"/>
      <c r="B18" s="175"/>
      <c r="C18" s="176"/>
      <c r="D18" s="176"/>
      <c r="E18" s="177"/>
      <c r="F18" s="162"/>
      <c r="G18" s="162"/>
      <c r="H18" s="162"/>
    </row>
    <row r="19" spans="1:8" ht="15">
      <c r="A19" s="162"/>
      <c r="B19" s="178"/>
      <c r="C19" s="179" t="s">
        <v>203</v>
      </c>
      <c r="D19" s="180">
        <f>D7*D8</f>
        <v>1425000</v>
      </c>
      <c r="E19" s="181"/>
      <c r="F19" s="162"/>
      <c r="G19" s="162"/>
      <c r="H19" s="162"/>
    </row>
    <row r="20" spans="1:8" ht="15">
      <c r="A20" s="162"/>
      <c r="B20" s="178"/>
      <c r="C20" s="179"/>
      <c r="D20" s="179"/>
      <c r="E20" s="181"/>
      <c r="F20" s="162"/>
      <c r="G20" s="162"/>
      <c r="H20" s="162"/>
    </row>
    <row r="21" spans="1:8" ht="15.75">
      <c r="A21" s="162"/>
      <c r="B21" s="182"/>
      <c r="C21" s="179" t="s">
        <v>204</v>
      </c>
      <c r="D21" s="29">
        <f>-$D$19+(1-D13)*(((1-D12)*D7*D9)/(1+D10)+(D12*D7*(D9-D8))/D10)</f>
        <v>2208057.4350498421</v>
      </c>
      <c r="E21" s="181"/>
      <c r="F21" s="162"/>
      <c r="G21" s="162"/>
      <c r="H21" s="162"/>
    </row>
    <row r="22" spans="1:8" ht="15">
      <c r="A22" s="162"/>
      <c r="B22" s="182"/>
      <c r="C22" s="183" t="str">
        <f>IF(D21&gt;0,"Fill the order","Do not fill the order")</f>
        <v>Fill the order</v>
      </c>
      <c r="D22" s="184"/>
      <c r="E22" s="181"/>
      <c r="F22" s="162"/>
      <c r="G22" s="162"/>
      <c r="H22" s="162"/>
    </row>
    <row r="23" spans="1:8" ht="15.75" thickBot="1">
      <c r="A23" s="162"/>
      <c r="B23" s="185"/>
      <c r="C23" s="186"/>
      <c r="D23" s="186"/>
      <c r="E23" s="187"/>
      <c r="F23" s="162"/>
      <c r="G23" s="162"/>
      <c r="H23" s="162"/>
    </row>
    <row r="24" spans="1:8" ht="15">
      <c r="A24" s="162"/>
      <c r="B24" s="162"/>
      <c r="C24" s="162"/>
      <c r="D24" s="162"/>
      <c r="E24" s="162"/>
      <c r="F24" s="162"/>
      <c r="G24" s="162"/>
      <c r="H24" s="162"/>
    </row>
    <row r="25" spans="1:8" ht="15">
      <c r="A25" s="162"/>
      <c r="B25" s="162"/>
      <c r="C25" s="162"/>
      <c r="D25" s="162"/>
      <c r="E25" s="162"/>
      <c r="F25" s="162"/>
      <c r="G25" s="162"/>
      <c r="H25" s="162"/>
    </row>
    <row r="26" spans="1:8" ht="15">
      <c r="A26" s="162"/>
      <c r="B26" s="162"/>
      <c r="C26" s="162"/>
      <c r="D26" s="162"/>
      <c r="E26" s="162"/>
      <c r="F26" s="162"/>
      <c r="G26" s="162"/>
      <c r="H26" s="162"/>
    </row>
    <row r="27" spans="1:8" ht="15">
      <c r="A27" s="162"/>
      <c r="B27" s="162"/>
      <c r="C27" s="162"/>
      <c r="D27" s="162"/>
      <c r="E27" s="162"/>
      <c r="F27" s="162"/>
      <c r="G27" s="162"/>
      <c r="H27" s="162"/>
    </row>
  </sheetData>
  <phoneticPr fontId="2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299"/>
  <sheetViews>
    <sheetView workbookViewId="0"/>
  </sheetViews>
  <sheetFormatPr defaultRowHeight="12.75"/>
  <cols>
    <col min="2" max="2" width="3" customWidth="1"/>
    <col min="3" max="3" width="29.42578125" customWidth="1"/>
    <col min="4" max="4" width="19.5703125" bestFit="1" customWidth="1"/>
    <col min="5" max="5" width="3.140625" customWidth="1"/>
    <col min="6" max="6" width="18.140625" customWidth="1"/>
    <col min="7" max="7" width="3.140625" customWidth="1"/>
    <col min="8" max="8" width="18.140625" customWidth="1"/>
  </cols>
  <sheetData>
    <row r="1" spans="1:8" ht="18">
      <c r="A1" s="1"/>
      <c r="B1" s="1"/>
      <c r="C1" s="193" t="s">
        <v>198</v>
      </c>
      <c r="D1" s="193"/>
      <c r="E1" s="1"/>
      <c r="F1" s="1"/>
      <c r="G1" s="1"/>
      <c r="H1" s="1"/>
    </row>
    <row r="2" spans="1:8" ht="15.75" customHeight="1">
      <c r="A2" s="1"/>
      <c r="B2" s="1"/>
      <c r="C2" s="1" t="s">
        <v>0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</row>
    <row r="7" spans="1:8" ht="15.75" customHeight="1">
      <c r="A7" s="1"/>
      <c r="B7" s="6"/>
      <c r="C7" s="30" t="s">
        <v>4</v>
      </c>
      <c r="D7" s="91">
        <v>1</v>
      </c>
      <c r="E7" s="7"/>
      <c r="F7" s="1"/>
    </row>
    <row r="8" spans="1:8" ht="15.75" customHeight="1">
      <c r="A8" s="1"/>
      <c r="B8" s="6"/>
      <c r="C8" s="30" t="s">
        <v>138</v>
      </c>
      <c r="D8" s="57">
        <v>40000</v>
      </c>
      <c r="E8" s="7"/>
      <c r="F8" s="1"/>
    </row>
    <row r="9" spans="1:8" ht="15.75" customHeight="1">
      <c r="A9" s="1"/>
      <c r="B9" s="6"/>
      <c r="C9" s="30" t="s">
        <v>139</v>
      </c>
      <c r="D9" s="96">
        <v>40000</v>
      </c>
      <c r="E9" s="7"/>
      <c r="F9" s="1"/>
    </row>
    <row r="10" spans="1:8" ht="15.75" customHeight="1">
      <c r="A10" s="1"/>
      <c r="B10" s="6"/>
      <c r="C10" s="30" t="s">
        <v>141</v>
      </c>
      <c r="D10" s="55">
        <v>510</v>
      </c>
      <c r="E10" s="7"/>
      <c r="F10" s="1"/>
    </row>
    <row r="11" spans="1:8" ht="15.75" customHeight="1">
      <c r="A11" s="1"/>
      <c r="B11" s="6"/>
      <c r="C11" s="30" t="s">
        <v>140</v>
      </c>
      <c r="D11" s="55">
        <v>537</v>
      </c>
      <c r="E11" s="7"/>
      <c r="F11" s="1"/>
    </row>
    <row r="12" spans="1:8" ht="15.75" customHeight="1">
      <c r="A12" s="1"/>
      <c r="B12" s="6"/>
      <c r="C12" s="11" t="s">
        <v>142</v>
      </c>
      <c r="D12" s="137">
        <v>0.03</v>
      </c>
      <c r="E12" s="7"/>
      <c r="F12" s="1"/>
    </row>
    <row r="13" spans="1:8" ht="15.75" customHeight="1">
      <c r="A13" s="1"/>
      <c r="B13" s="6"/>
      <c r="C13" s="11" t="s">
        <v>143</v>
      </c>
      <c r="D13" s="137">
        <v>2.5000000000000001E-2</v>
      </c>
      <c r="E13" s="7"/>
      <c r="F13" s="1"/>
    </row>
    <row r="14" spans="1:8" ht="15.75" customHeight="1" thickBot="1">
      <c r="A14" s="1"/>
      <c r="B14" s="8"/>
      <c r="C14" s="9"/>
      <c r="D14" s="9"/>
      <c r="E14" s="10"/>
      <c r="F14" s="1"/>
    </row>
    <row r="15" spans="1:8" ht="15.75" customHeight="1">
      <c r="A15" s="1"/>
      <c r="B15" s="1"/>
      <c r="C15" s="1"/>
      <c r="D15" s="1"/>
      <c r="E15" s="1"/>
      <c r="F15" s="1"/>
      <c r="G15" s="1"/>
      <c r="H15" s="1"/>
    </row>
    <row r="16" spans="1:8" ht="15.75" customHeight="1">
      <c r="A16" s="1"/>
      <c r="B16" s="1"/>
      <c r="C16" s="2" t="s">
        <v>2</v>
      </c>
      <c r="D16" s="1"/>
      <c r="E16" s="1"/>
      <c r="F16" s="1"/>
      <c r="G16" s="1"/>
      <c r="H16" s="1"/>
    </row>
    <row r="17" spans="1:8" ht="15.75" customHeight="1" thickBot="1">
      <c r="A17" s="1"/>
      <c r="B17" s="1"/>
      <c r="C17" s="1"/>
      <c r="D17" s="1"/>
      <c r="E17" s="1"/>
      <c r="F17" s="1"/>
      <c r="G17" s="1"/>
      <c r="H17" s="1"/>
    </row>
    <row r="18" spans="1:8" ht="15.75" customHeight="1">
      <c r="A18" s="1"/>
      <c r="B18" s="12"/>
      <c r="C18" s="13"/>
      <c r="D18" s="13"/>
      <c r="E18" s="14"/>
      <c r="F18" s="1"/>
      <c r="G18" s="1"/>
      <c r="H18" s="1"/>
    </row>
    <row r="19" spans="1:8" ht="15.75" customHeight="1">
      <c r="A19" s="1"/>
      <c r="B19" s="15"/>
      <c r="C19" s="16" t="s">
        <v>77</v>
      </c>
      <c r="D19" s="84">
        <f>D8*D10</f>
        <v>20400000</v>
      </c>
      <c r="E19" s="17"/>
      <c r="F19" s="1"/>
      <c r="G19" s="1"/>
      <c r="H19" s="1"/>
    </row>
    <row r="20" spans="1:8" ht="15.75" customHeight="1">
      <c r="A20" s="1"/>
      <c r="B20" s="15"/>
      <c r="C20" s="16" t="s">
        <v>78</v>
      </c>
      <c r="D20" s="84">
        <f>D9*D11*(1-D12)</f>
        <v>20835600</v>
      </c>
      <c r="E20" s="17"/>
      <c r="F20" s="1"/>
      <c r="G20" s="1"/>
      <c r="H20" s="1"/>
    </row>
    <row r="21" spans="1:8" ht="15.75" customHeight="1">
      <c r="A21" s="1"/>
      <c r="B21" s="15"/>
      <c r="C21" s="16" t="s">
        <v>74</v>
      </c>
      <c r="D21" s="84">
        <f>D20-D19</f>
        <v>435600</v>
      </c>
      <c r="E21" s="17"/>
      <c r="F21" s="1"/>
      <c r="G21" s="1"/>
      <c r="H21" s="1"/>
    </row>
    <row r="22" spans="1:8" ht="15.75" customHeight="1">
      <c r="A22" s="1"/>
      <c r="B22" s="15"/>
      <c r="C22" s="16"/>
      <c r="D22" s="23"/>
      <c r="E22" s="17"/>
      <c r="F22" s="1"/>
      <c r="G22" s="1"/>
      <c r="H22" s="1"/>
    </row>
    <row r="23" spans="1:8" ht="15.75" customHeight="1">
      <c r="A23" s="1"/>
      <c r="B23" s="15"/>
      <c r="C23" s="16" t="s">
        <v>58</v>
      </c>
      <c r="D23" s="75">
        <f>-D19+(D21/D13)</f>
        <v>-2976000</v>
      </c>
      <c r="E23" s="17"/>
      <c r="F23" s="1"/>
      <c r="G23" s="1"/>
      <c r="H23" s="1"/>
    </row>
    <row r="24" spans="1:8" ht="15.75" customHeight="1" thickBot="1">
      <c r="A24" s="1"/>
      <c r="B24" s="18"/>
      <c r="C24" s="19"/>
      <c r="D24" s="19"/>
      <c r="E24" s="20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</sheetData>
  <mergeCells count="1">
    <mergeCell ref="C1:D1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K195"/>
  <sheetViews>
    <sheetView zoomScaleNormal="100" workbookViewId="0"/>
  </sheetViews>
  <sheetFormatPr defaultRowHeight="12.75"/>
  <cols>
    <col min="2" max="2" width="3" customWidth="1"/>
    <col min="3" max="3" width="22.140625" customWidth="1"/>
    <col min="4" max="4" width="3.42578125" bestFit="1" customWidth="1"/>
    <col min="5" max="5" width="1.85546875" bestFit="1" customWidth="1"/>
    <col min="6" max="6" width="5.28515625" customWidth="1"/>
    <col min="7" max="7" width="16.28515625" customWidth="1"/>
    <col min="8" max="8" width="6.85546875" bestFit="1" customWidth="1"/>
    <col min="9" max="11" width="18.140625" customWidth="1"/>
  </cols>
  <sheetData>
    <row r="1" spans="1:11" ht="18">
      <c r="A1" s="1"/>
      <c r="B1" s="1"/>
      <c r="C1" s="193" t="s">
        <v>199</v>
      </c>
      <c r="D1" s="193"/>
      <c r="E1" s="193"/>
      <c r="F1" s="193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10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1</v>
      </c>
      <c r="D4" s="2"/>
      <c r="E4" s="2"/>
      <c r="F4" s="2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4"/>
      <c r="E6" s="4"/>
      <c r="F6" s="4"/>
      <c r="G6" s="4"/>
      <c r="H6" s="5"/>
      <c r="I6" s="36"/>
      <c r="J6" s="36"/>
      <c r="K6" s="1"/>
    </row>
    <row r="7" spans="1:11" ht="15.75" customHeight="1">
      <c r="A7" s="1"/>
      <c r="B7" s="6"/>
      <c r="C7" s="30" t="s">
        <v>144</v>
      </c>
      <c r="D7" s="30"/>
      <c r="E7" s="30"/>
      <c r="F7" s="30"/>
      <c r="G7" s="54">
        <v>3300</v>
      </c>
      <c r="H7" s="7"/>
      <c r="I7" s="36"/>
      <c r="J7" s="36"/>
      <c r="K7" s="1"/>
    </row>
    <row r="8" spans="1:11" ht="15.75" customHeight="1">
      <c r="A8" s="1"/>
      <c r="B8" s="6"/>
      <c r="C8" s="30" t="s">
        <v>145</v>
      </c>
      <c r="D8" s="30"/>
      <c r="E8" s="30"/>
      <c r="F8" s="30"/>
      <c r="G8" s="112">
        <v>90</v>
      </c>
      <c r="H8" s="7"/>
      <c r="I8" s="150"/>
      <c r="J8" s="36"/>
      <c r="K8" s="1"/>
    </row>
    <row r="9" spans="1:11" ht="15.75" customHeight="1">
      <c r="A9" s="1"/>
      <c r="B9" s="6"/>
      <c r="C9" s="30" t="s">
        <v>146</v>
      </c>
      <c r="D9" s="30"/>
      <c r="E9" s="30"/>
      <c r="F9" s="30"/>
      <c r="G9" s="54">
        <v>30</v>
      </c>
      <c r="H9" s="7"/>
      <c r="I9" s="36"/>
      <c r="J9" s="36"/>
      <c r="K9" s="1"/>
    </row>
    <row r="10" spans="1:11" ht="15.75" customHeight="1">
      <c r="A10" s="1"/>
      <c r="B10" s="6"/>
      <c r="C10" s="30" t="s">
        <v>37</v>
      </c>
      <c r="D10" s="30"/>
      <c r="E10" s="30"/>
      <c r="F10" s="30"/>
      <c r="G10" s="113">
        <v>91.84</v>
      </c>
      <c r="H10" s="7"/>
      <c r="I10" s="36"/>
      <c r="J10" s="36"/>
      <c r="K10" s="1"/>
    </row>
    <row r="11" spans="1:11" ht="15.75" customHeight="1">
      <c r="A11" s="1"/>
      <c r="B11" s="6"/>
      <c r="C11" s="30" t="s">
        <v>7</v>
      </c>
      <c r="D11" s="30"/>
      <c r="E11" s="30"/>
      <c r="F11" s="30"/>
      <c r="G11" s="54">
        <v>15</v>
      </c>
      <c r="H11" s="7"/>
      <c r="I11" s="36"/>
      <c r="J11" s="36"/>
      <c r="K11" s="1"/>
    </row>
    <row r="12" spans="1:11" ht="15.75" customHeight="1">
      <c r="A12" s="1"/>
      <c r="B12" s="6"/>
      <c r="C12" s="30" t="s">
        <v>39</v>
      </c>
      <c r="D12" s="30"/>
      <c r="E12" s="30"/>
      <c r="F12" s="30"/>
      <c r="G12" s="66">
        <v>0.01</v>
      </c>
      <c r="H12" s="7"/>
      <c r="I12" s="36"/>
      <c r="J12" s="36"/>
      <c r="K12" s="1"/>
    </row>
    <row r="13" spans="1:11" ht="15.75" customHeight="1">
      <c r="A13" s="1"/>
      <c r="B13" s="78" t="s">
        <v>147</v>
      </c>
      <c r="C13" s="30" t="s">
        <v>148</v>
      </c>
      <c r="D13" s="30"/>
      <c r="E13" s="30"/>
      <c r="F13" s="30"/>
      <c r="G13" s="66">
        <v>0.11</v>
      </c>
      <c r="H13" s="7"/>
      <c r="I13" s="36"/>
      <c r="J13" s="36"/>
      <c r="K13" s="1"/>
    </row>
    <row r="14" spans="1:11" ht="15.75" customHeight="1" thickBot="1">
      <c r="A14" s="1"/>
      <c r="B14" s="8"/>
      <c r="C14" s="9"/>
      <c r="D14" s="9"/>
      <c r="E14" s="9"/>
      <c r="F14" s="9"/>
      <c r="G14" s="9"/>
      <c r="H14" s="10"/>
      <c r="I14" s="36"/>
      <c r="J14" s="36"/>
      <c r="K14" s="1"/>
    </row>
    <row r="15" spans="1:11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"/>
      <c r="C16" s="2" t="s">
        <v>2</v>
      </c>
      <c r="D16" s="2"/>
      <c r="E16" s="2"/>
      <c r="F16" s="2"/>
      <c r="G16" s="1"/>
      <c r="H16" s="1"/>
      <c r="I16" s="1"/>
      <c r="J16" s="1"/>
      <c r="K16" s="1"/>
    </row>
    <row r="17" spans="1:11" ht="15.75" customHeight="1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customHeight="1">
      <c r="A18" s="1"/>
      <c r="B18" s="12"/>
      <c r="C18" s="13"/>
      <c r="D18" s="13"/>
      <c r="E18" s="13"/>
      <c r="F18" s="13"/>
      <c r="G18" s="13"/>
      <c r="H18" s="13"/>
      <c r="I18" s="14"/>
      <c r="J18" s="1"/>
      <c r="K18" s="1"/>
    </row>
    <row r="19" spans="1:11" ht="15.75" customHeight="1">
      <c r="A19" s="1"/>
      <c r="B19" s="58" t="s">
        <v>92</v>
      </c>
      <c r="C19" s="16" t="s">
        <v>90</v>
      </c>
      <c r="D19" s="119">
        <f>(1-(G8/G10))*100</f>
        <v>2.0034843205574915</v>
      </c>
      <c r="E19" s="120" t="s">
        <v>91</v>
      </c>
      <c r="F19" s="121">
        <f>G11</f>
        <v>15</v>
      </c>
      <c r="G19" s="122" t="s">
        <v>149</v>
      </c>
      <c r="H19" s="123">
        <f>G9</f>
        <v>30</v>
      </c>
      <c r="I19" s="17"/>
      <c r="J19" s="1"/>
      <c r="K19" s="1"/>
    </row>
    <row r="20" spans="1:11" ht="15.75" customHeight="1">
      <c r="A20" s="1"/>
      <c r="B20" s="58"/>
      <c r="C20" s="16"/>
      <c r="D20" s="115"/>
      <c r="E20" s="116"/>
      <c r="F20" s="117"/>
      <c r="G20" s="114"/>
      <c r="H20" s="118"/>
      <c r="I20" s="17"/>
      <c r="J20" s="1"/>
      <c r="K20" s="1"/>
    </row>
    <row r="21" spans="1:11" ht="15.75" customHeight="1">
      <c r="A21" s="1"/>
      <c r="B21" s="58" t="s">
        <v>95</v>
      </c>
      <c r="C21" s="16" t="s">
        <v>150</v>
      </c>
      <c r="D21" s="115"/>
      <c r="E21" s="116"/>
      <c r="F21" s="117"/>
      <c r="G21" s="124">
        <f>G7*G8</f>
        <v>297000</v>
      </c>
      <c r="H21" s="118"/>
      <c r="I21" s="17"/>
      <c r="J21" s="1"/>
      <c r="K21" s="1"/>
    </row>
    <row r="22" spans="1:11" ht="15.75" customHeight="1">
      <c r="A22" s="1"/>
      <c r="B22" s="58"/>
      <c r="C22" s="16"/>
      <c r="D22" s="115"/>
      <c r="E22" s="116"/>
      <c r="F22" s="117"/>
      <c r="G22" s="114"/>
      <c r="H22" s="118"/>
      <c r="I22" s="17"/>
      <c r="J22" s="1"/>
      <c r="K22" s="1"/>
    </row>
    <row r="23" spans="1:11" ht="15.75" customHeight="1">
      <c r="A23" s="1"/>
      <c r="B23" s="58" t="s">
        <v>96</v>
      </c>
      <c r="C23" s="16" t="s">
        <v>151</v>
      </c>
      <c r="D23" s="115"/>
      <c r="E23" s="116"/>
      <c r="F23" s="117"/>
      <c r="G23" s="114"/>
      <c r="H23" s="118"/>
      <c r="I23" s="17"/>
      <c r="J23" s="1"/>
      <c r="K23" s="1"/>
    </row>
    <row r="24" spans="1:11" ht="15.75" customHeight="1">
      <c r="A24" s="1"/>
      <c r="B24" s="58"/>
      <c r="C24" s="16" t="s">
        <v>152</v>
      </c>
      <c r="D24" s="115"/>
      <c r="E24" s="116"/>
      <c r="F24" s="117"/>
      <c r="G24" s="114"/>
      <c r="H24" s="118"/>
      <c r="I24" s="17"/>
      <c r="J24" s="1"/>
      <c r="K24" s="1"/>
    </row>
    <row r="25" spans="1:11" ht="15.75" customHeight="1">
      <c r="A25" s="1"/>
      <c r="B25" s="58"/>
      <c r="C25" s="16"/>
      <c r="D25" s="16"/>
      <c r="E25" s="16"/>
      <c r="F25" s="16"/>
      <c r="G25" s="23"/>
      <c r="H25" s="16"/>
      <c r="I25" s="17"/>
      <c r="J25" s="1"/>
      <c r="K25" s="1"/>
    </row>
    <row r="26" spans="1:11" ht="15.75" customHeight="1">
      <c r="A26" s="1"/>
      <c r="B26" s="58" t="s">
        <v>147</v>
      </c>
      <c r="C26" s="16" t="s">
        <v>153</v>
      </c>
      <c r="D26" s="16"/>
      <c r="E26" s="16"/>
      <c r="F26" s="146">
        <f>D19/100-G13</f>
        <v>-8.9965156794425086E-2</v>
      </c>
      <c r="G26" s="126" t="s">
        <v>154</v>
      </c>
      <c r="H26" s="16"/>
      <c r="I26" s="17"/>
      <c r="J26" s="1"/>
      <c r="K26" s="1"/>
    </row>
    <row r="27" spans="1:11" ht="15.75" customHeight="1">
      <c r="A27" s="1"/>
      <c r="B27" s="58"/>
      <c r="C27" s="16" t="s">
        <v>58</v>
      </c>
      <c r="D27" s="16"/>
      <c r="E27" s="16"/>
      <c r="F27" s="125"/>
      <c r="G27" s="147">
        <f>(-G7*G8)+((G7*G10*(D19/100-G13))/G12)</f>
        <v>-3023592</v>
      </c>
      <c r="H27" s="16"/>
      <c r="I27" s="17"/>
      <c r="J27" s="1"/>
      <c r="K27" s="1"/>
    </row>
    <row r="28" spans="1:11" ht="15.75" customHeight="1">
      <c r="A28" s="1"/>
      <c r="B28" s="58"/>
      <c r="C28" s="16" t="s">
        <v>156</v>
      </c>
      <c r="D28" s="16"/>
      <c r="E28" s="16"/>
      <c r="F28" s="125"/>
      <c r="G28" s="127">
        <f>(G8*(1+G12))/(1-G13)</f>
        <v>102.13483146067416</v>
      </c>
      <c r="H28" s="16" t="s">
        <v>157</v>
      </c>
      <c r="I28" s="17"/>
      <c r="J28" s="1"/>
      <c r="K28" s="1"/>
    </row>
    <row r="29" spans="1:11" ht="15.75" customHeight="1">
      <c r="A29" s="1"/>
      <c r="B29" s="58"/>
      <c r="C29" s="16" t="s">
        <v>158</v>
      </c>
      <c r="D29" s="16"/>
      <c r="E29" s="16"/>
      <c r="F29" s="125"/>
      <c r="G29" s="128">
        <f>1-(G8/G28)</f>
        <v>0.11881188118811892</v>
      </c>
      <c r="H29" s="16"/>
      <c r="I29" s="17"/>
      <c r="J29" s="1"/>
      <c r="K29" s="1"/>
    </row>
    <row r="30" spans="1:11" ht="15.75" customHeight="1">
      <c r="A30" s="1"/>
      <c r="B30" s="58"/>
      <c r="C30" s="16"/>
      <c r="D30" s="16"/>
      <c r="E30" s="16"/>
      <c r="F30" s="125"/>
      <c r="G30" s="126"/>
      <c r="H30" s="16"/>
      <c r="I30" s="17"/>
      <c r="J30" s="1"/>
      <c r="K30" s="1"/>
    </row>
    <row r="31" spans="1:11" ht="15.75" customHeight="1">
      <c r="A31" s="1"/>
      <c r="B31" s="58"/>
      <c r="C31" s="16" t="s">
        <v>159</v>
      </c>
      <c r="D31" s="16"/>
      <c r="E31" s="16"/>
      <c r="F31" s="125"/>
      <c r="G31" s="129">
        <f>(-G7*G8)+(G7*G28*(G29-G13))/G12</f>
        <v>3.5506673157215118E-9</v>
      </c>
      <c r="H31" s="16"/>
      <c r="I31" s="17"/>
      <c r="J31" s="1"/>
      <c r="K31" s="1"/>
    </row>
    <row r="32" spans="1:11" ht="15.75" customHeight="1" thickBot="1">
      <c r="A32" s="1"/>
      <c r="B32" s="18"/>
      <c r="C32" s="19"/>
      <c r="D32" s="19"/>
      <c r="E32" s="19"/>
      <c r="F32" s="19"/>
      <c r="G32" s="19"/>
      <c r="H32" s="19"/>
      <c r="I32" s="20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/>
    <row r="38" spans="1:11" ht="15.75" customHeight="1"/>
    <row r="39" spans="1:11" ht="15.75" customHeight="1"/>
    <row r="40" spans="1:11" ht="15.75" customHeight="1"/>
    <row r="41" spans="1:11" ht="15.75" customHeight="1"/>
    <row r="42" spans="1:11" ht="15.75" customHeight="1"/>
    <row r="43" spans="1:11" ht="15.75" customHeight="1"/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</sheetData>
  <mergeCells count="1">
    <mergeCell ref="C1:F1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H33"/>
  <sheetViews>
    <sheetView workbookViewId="0"/>
  </sheetViews>
  <sheetFormatPr defaultRowHeight="12.75"/>
  <cols>
    <col min="2" max="2" width="3" customWidth="1"/>
    <col min="3" max="3" width="23" customWidth="1"/>
    <col min="4" max="4" width="18.140625" customWidth="1"/>
    <col min="5" max="5" width="3.140625" customWidth="1"/>
    <col min="6" max="8" width="18.140625" customWidth="1"/>
  </cols>
  <sheetData>
    <row r="1" spans="1:8" ht="18">
      <c r="A1" s="1"/>
      <c r="B1" s="1"/>
      <c r="C1" s="193" t="s">
        <v>199</v>
      </c>
      <c r="D1" s="193"/>
      <c r="E1" s="1"/>
      <c r="F1" s="1"/>
      <c r="G1" s="1"/>
      <c r="H1" s="1"/>
    </row>
    <row r="2" spans="1:8" ht="15">
      <c r="A2" s="1"/>
      <c r="B2" s="1"/>
      <c r="C2" s="1" t="s">
        <v>15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36"/>
      <c r="G6" s="36"/>
      <c r="H6" s="1"/>
    </row>
    <row r="7" spans="1:8" ht="15">
      <c r="A7" s="1"/>
      <c r="B7" s="6"/>
      <c r="C7" s="30" t="s">
        <v>160</v>
      </c>
      <c r="D7" s="130">
        <v>1140</v>
      </c>
      <c r="E7" s="7"/>
      <c r="F7" s="36"/>
      <c r="G7" s="36"/>
      <c r="H7" s="1"/>
    </row>
    <row r="8" spans="1:8" ht="15">
      <c r="A8" s="1"/>
      <c r="B8" s="6"/>
      <c r="C8" s="30" t="s">
        <v>161</v>
      </c>
      <c r="D8" s="130">
        <v>760</v>
      </c>
      <c r="E8" s="7"/>
      <c r="F8" s="36"/>
      <c r="G8" s="36"/>
      <c r="H8" s="1"/>
    </row>
    <row r="9" spans="1:8" ht="15">
      <c r="A9" s="1"/>
      <c r="B9" s="6"/>
      <c r="C9" s="30" t="s">
        <v>162</v>
      </c>
      <c r="D9" s="54">
        <v>15</v>
      </c>
      <c r="E9" s="7"/>
      <c r="F9" s="36"/>
      <c r="G9" s="36"/>
      <c r="H9" s="1"/>
    </row>
    <row r="10" spans="1:8" ht="15">
      <c r="A10" s="1"/>
      <c r="B10" s="6"/>
      <c r="C10" s="30" t="s">
        <v>163</v>
      </c>
      <c r="D10" s="54">
        <v>30</v>
      </c>
      <c r="E10" s="7"/>
      <c r="F10" s="36"/>
      <c r="G10" s="36"/>
      <c r="H10" s="1"/>
    </row>
    <row r="11" spans="1:8" ht="15">
      <c r="A11" s="1"/>
      <c r="B11" s="78" t="s">
        <v>92</v>
      </c>
      <c r="C11" s="30" t="s">
        <v>164</v>
      </c>
      <c r="D11" s="66">
        <v>0.2</v>
      </c>
      <c r="E11" s="7"/>
      <c r="F11" s="36"/>
      <c r="G11" s="36"/>
      <c r="H11" s="1"/>
    </row>
    <row r="12" spans="1:8" ht="15">
      <c r="A12" s="1"/>
      <c r="B12" s="78"/>
      <c r="C12" s="30" t="s">
        <v>39</v>
      </c>
      <c r="D12" s="66">
        <v>0.02</v>
      </c>
      <c r="E12" s="7"/>
      <c r="F12" s="36"/>
      <c r="G12" s="36"/>
      <c r="H12" s="1"/>
    </row>
    <row r="13" spans="1:8" ht="15">
      <c r="A13" s="1"/>
      <c r="B13" s="78" t="s">
        <v>96</v>
      </c>
      <c r="C13" s="30" t="s">
        <v>145</v>
      </c>
      <c r="D13" s="131">
        <v>1090</v>
      </c>
      <c r="E13" s="7"/>
      <c r="F13" s="36"/>
      <c r="G13" s="36"/>
      <c r="H13" s="1"/>
    </row>
    <row r="14" spans="1:8" ht="15.75" thickBot="1">
      <c r="A14" s="1"/>
      <c r="B14" s="8"/>
      <c r="C14" s="9"/>
      <c r="D14" s="9"/>
      <c r="E14" s="10"/>
      <c r="F14" s="36"/>
      <c r="G14" s="36"/>
      <c r="H14" s="1"/>
    </row>
    <row r="15" spans="1:8" ht="15">
      <c r="A15" s="1"/>
      <c r="B15" s="1"/>
      <c r="C15" s="1"/>
      <c r="D15" s="1"/>
      <c r="E15" s="1"/>
      <c r="F15" s="1"/>
      <c r="G15" s="1"/>
      <c r="H15" s="1"/>
    </row>
    <row r="16" spans="1:8" ht="15">
      <c r="A16" s="1"/>
      <c r="B16" s="1"/>
      <c r="C16" s="2" t="s">
        <v>2</v>
      </c>
      <c r="D16" s="1"/>
      <c r="E16" s="1"/>
      <c r="F16" s="1"/>
      <c r="G16" s="1"/>
      <c r="H16" s="1"/>
    </row>
    <row r="17" spans="1:8" ht="15.75" thickBot="1">
      <c r="A17" s="1"/>
      <c r="B17" s="1"/>
      <c r="C17" s="1"/>
      <c r="D17" s="1"/>
      <c r="E17" s="1"/>
      <c r="F17" s="1"/>
      <c r="G17" s="1"/>
      <c r="H17" s="1"/>
    </row>
    <row r="18" spans="1:8" ht="15">
      <c r="A18" s="1"/>
      <c r="B18" s="67"/>
      <c r="C18" s="13"/>
      <c r="D18" s="13"/>
      <c r="E18" s="14"/>
      <c r="F18" s="1"/>
      <c r="G18" s="1"/>
      <c r="H18" s="1"/>
    </row>
    <row r="19" spans="1:8" ht="15.75">
      <c r="A19" s="1"/>
      <c r="B19" s="58" t="s">
        <v>92</v>
      </c>
      <c r="C19" s="16" t="s">
        <v>58</v>
      </c>
      <c r="D19" s="133">
        <f>(-D9*D8)+((1-D11)*D9*D7)/(1+D12)</f>
        <v>2011.7647058823532</v>
      </c>
      <c r="E19" s="17"/>
      <c r="F19" s="1"/>
      <c r="G19" s="1"/>
      <c r="H19" s="1"/>
    </row>
    <row r="20" spans="1:8" ht="15">
      <c r="A20" s="1"/>
      <c r="B20" s="58"/>
      <c r="C20" s="90" t="str">
        <f>IF(D19&gt;0,"The order should be taken.","The order should not be taken.")</f>
        <v>The order should be taken.</v>
      </c>
      <c r="D20" s="16"/>
      <c r="E20" s="17"/>
      <c r="F20" s="1"/>
      <c r="G20" s="1"/>
      <c r="H20" s="1"/>
    </row>
    <row r="21" spans="1:8" ht="15">
      <c r="A21" s="1"/>
      <c r="B21" s="58"/>
      <c r="C21" s="16"/>
      <c r="D21" s="16"/>
      <c r="E21" s="17"/>
      <c r="F21" s="1"/>
      <c r="G21" s="1"/>
      <c r="H21" s="1"/>
    </row>
    <row r="22" spans="1:8" ht="15.75">
      <c r="A22" s="1"/>
      <c r="B22" s="58" t="s">
        <v>95</v>
      </c>
      <c r="C22" s="16" t="s">
        <v>165</v>
      </c>
      <c r="D22" s="132">
        <f>1-((D9*D8)*(1+D12))/(D9*D7)</f>
        <v>0.31999999999999995</v>
      </c>
      <c r="E22" s="17"/>
      <c r="F22" s="1"/>
      <c r="G22" s="1"/>
      <c r="H22" s="1"/>
    </row>
    <row r="23" spans="1:8" ht="15">
      <c r="A23" s="1"/>
      <c r="B23" s="58"/>
      <c r="C23" s="16"/>
      <c r="D23" s="16"/>
      <c r="E23" s="17"/>
      <c r="F23" s="1"/>
      <c r="G23" s="1"/>
      <c r="H23" s="1"/>
    </row>
    <row r="24" spans="1:8" ht="15">
      <c r="A24" s="1"/>
      <c r="B24" s="58" t="s">
        <v>96</v>
      </c>
      <c r="C24" s="16" t="s">
        <v>166</v>
      </c>
      <c r="D24" s="23"/>
      <c r="E24" s="17"/>
      <c r="F24" s="1"/>
      <c r="G24" s="1"/>
      <c r="H24" s="1"/>
    </row>
    <row r="25" spans="1:8" ht="15">
      <c r="A25" s="1"/>
      <c r="B25" s="58"/>
      <c r="C25" s="134">
        <f>(D7-D13)/D7</f>
        <v>4.3859649122807015E-2</v>
      </c>
      <c r="D25" s="135" t="s">
        <v>167</v>
      </c>
      <c r="E25" s="17"/>
      <c r="F25" s="1"/>
      <c r="G25" s="1"/>
      <c r="H25" s="1"/>
    </row>
    <row r="26" spans="1:8" ht="15">
      <c r="A26" s="1"/>
      <c r="B26" s="58"/>
      <c r="C26" s="16" t="s">
        <v>168</v>
      </c>
      <c r="D26" s="136" t="str">
        <f>IF(D11&gt;C25,"less than","greater than")</f>
        <v>less than</v>
      </c>
      <c r="E26" s="17"/>
      <c r="F26" s="1"/>
      <c r="G26" s="1"/>
      <c r="H26" s="1"/>
    </row>
    <row r="27" spans="1:8" ht="15">
      <c r="A27" s="1"/>
      <c r="B27" s="58"/>
      <c r="C27" s="16" t="s">
        <v>169</v>
      </c>
      <c r="D27" s="136" t="str">
        <f>IF(D11&gt;C25,"should not","should")</f>
        <v>should not</v>
      </c>
      <c r="E27" s="17"/>
      <c r="F27" s="1"/>
      <c r="G27" s="1"/>
      <c r="H27" s="1"/>
    </row>
    <row r="28" spans="1:8" ht="15">
      <c r="A28" s="1"/>
      <c r="B28" s="58"/>
      <c r="C28" s="16" t="s">
        <v>170</v>
      </c>
      <c r="D28" s="35"/>
      <c r="E28" s="17"/>
      <c r="F28" s="1"/>
      <c r="G28" s="1"/>
      <c r="H28" s="1"/>
    </row>
    <row r="29" spans="1:8" ht="15.75" thickBot="1">
      <c r="A29" s="1"/>
      <c r="B29" s="77"/>
      <c r="C29" s="19"/>
      <c r="D29" s="19"/>
      <c r="E29" s="20"/>
      <c r="F29" s="1"/>
      <c r="G29" s="1"/>
      <c r="H29" s="1"/>
    </row>
    <row r="30" spans="1:8" ht="15">
      <c r="A30" s="1"/>
      <c r="B30" s="1"/>
      <c r="C30" s="1"/>
      <c r="D30" s="1"/>
      <c r="E30" s="1"/>
      <c r="F30" s="1"/>
      <c r="G30" s="1"/>
      <c r="H30" s="1"/>
    </row>
    <row r="31" spans="1:8" ht="15">
      <c r="A31" s="1"/>
      <c r="B31" s="1"/>
      <c r="C31" s="1"/>
      <c r="D31" s="1"/>
      <c r="E31" s="1"/>
      <c r="F31" s="1"/>
      <c r="G31" s="1"/>
      <c r="H31" s="1"/>
    </row>
    <row r="32" spans="1:8" ht="15">
      <c r="A32" s="1"/>
      <c r="B32" s="1"/>
      <c r="C32" s="1"/>
      <c r="D32" s="1"/>
      <c r="E32" s="1"/>
      <c r="F32" s="1"/>
      <c r="G32" s="1"/>
      <c r="H32" s="1"/>
    </row>
    <row r="33" spans="1:8" ht="15">
      <c r="A33" s="1"/>
      <c r="B33" s="1"/>
      <c r="C33" s="1"/>
      <c r="D33" s="1"/>
      <c r="E33" s="1"/>
      <c r="F33" s="1"/>
      <c r="G33" s="1"/>
      <c r="H33" s="1"/>
    </row>
  </sheetData>
  <mergeCells count="1">
    <mergeCell ref="C1:D1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H309"/>
  <sheetViews>
    <sheetView zoomScaleNormal="100" workbookViewId="0"/>
  </sheetViews>
  <sheetFormatPr defaultRowHeight="12.75"/>
  <cols>
    <col min="2" max="2" width="3" customWidth="1"/>
    <col min="3" max="3" width="30.5703125" customWidth="1"/>
    <col min="4" max="4" width="18.140625" customWidth="1"/>
    <col min="5" max="5" width="3.140625" customWidth="1"/>
    <col min="6" max="6" width="18.140625" customWidth="1"/>
    <col min="7" max="7" width="9.85546875" customWidth="1"/>
    <col min="8" max="8" width="18.140625" customWidth="1"/>
  </cols>
  <sheetData>
    <row r="1" spans="1:8" ht="18">
      <c r="A1" s="1"/>
      <c r="B1" s="1"/>
      <c r="C1" s="143" t="s">
        <v>198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18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4"/>
      <c r="F6" s="4"/>
      <c r="G6" s="5"/>
      <c r="H6" s="1"/>
    </row>
    <row r="7" spans="1:8" ht="15.75" customHeight="1">
      <c r="A7" s="1"/>
      <c r="B7" s="6"/>
      <c r="C7" s="30" t="s">
        <v>4</v>
      </c>
      <c r="D7" s="91">
        <v>90</v>
      </c>
      <c r="E7" s="30"/>
      <c r="F7" s="30"/>
      <c r="G7" s="7"/>
      <c r="H7" s="1"/>
    </row>
    <row r="8" spans="1:8" ht="15.75" customHeight="1">
      <c r="A8" s="1"/>
      <c r="B8" s="6"/>
      <c r="C8" s="30" t="s">
        <v>171</v>
      </c>
      <c r="D8" s="137">
        <v>7.4999999999999997E-3</v>
      </c>
      <c r="E8" s="30"/>
      <c r="F8" s="30"/>
      <c r="G8" s="7"/>
      <c r="H8" s="1"/>
    </row>
    <row r="9" spans="1:8" ht="15.75" customHeight="1">
      <c r="A9" s="1"/>
      <c r="B9" s="6"/>
      <c r="C9" s="30"/>
      <c r="D9" s="22"/>
      <c r="E9" s="30"/>
      <c r="F9" s="30"/>
      <c r="G9" s="7"/>
      <c r="H9" s="1"/>
    </row>
    <row r="10" spans="1:8" ht="15.75" customHeight="1">
      <c r="A10" s="1"/>
      <c r="B10" s="6"/>
      <c r="C10" s="30"/>
      <c r="D10" s="107" t="s">
        <v>172</v>
      </c>
      <c r="E10" s="108"/>
      <c r="F10" s="108" t="s">
        <v>173</v>
      </c>
      <c r="G10" s="7"/>
      <c r="H10" s="1"/>
    </row>
    <row r="11" spans="1:8" ht="15.75" customHeight="1">
      <c r="A11" s="1"/>
      <c r="B11" s="6"/>
      <c r="C11" s="30" t="s">
        <v>53</v>
      </c>
      <c r="D11" s="55">
        <v>71</v>
      </c>
      <c r="E11" s="91"/>
      <c r="F11" s="55">
        <v>75</v>
      </c>
      <c r="G11" s="7"/>
      <c r="H11" s="1"/>
    </row>
    <row r="12" spans="1:8" ht="15.75" customHeight="1">
      <c r="A12" s="1"/>
      <c r="B12" s="6"/>
      <c r="C12" s="30" t="s">
        <v>54</v>
      </c>
      <c r="D12" s="55">
        <v>32</v>
      </c>
      <c r="E12" s="91"/>
      <c r="F12" s="55">
        <v>33</v>
      </c>
      <c r="G12" s="7"/>
      <c r="H12" s="1"/>
    </row>
    <row r="13" spans="1:8" ht="15.75" customHeight="1">
      <c r="A13" s="1"/>
      <c r="B13" s="6"/>
      <c r="C13" s="11" t="s">
        <v>174</v>
      </c>
      <c r="D13" s="96">
        <v>6200</v>
      </c>
      <c r="E13" s="54"/>
      <c r="F13" s="96">
        <v>6900</v>
      </c>
      <c r="G13" s="7"/>
      <c r="H13" s="1"/>
    </row>
    <row r="14" spans="1:8" ht="15.75" customHeight="1">
      <c r="A14" s="1"/>
      <c r="B14" s="6"/>
      <c r="C14" s="11" t="s">
        <v>175</v>
      </c>
      <c r="D14" s="138">
        <v>1</v>
      </c>
      <c r="E14" s="139"/>
      <c r="F14" s="138">
        <v>0.9</v>
      </c>
      <c r="G14" s="7"/>
      <c r="H14" s="1"/>
    </row>
    <row r="15" spans="1:8" ht="15.75" customHeight="1">
      <c r="A15" s="1"/>
      <c r="B15" s="6"/>
      <c r="C15" s="11"/>
      <c r="D15" s="138"/>
      <c r="E15" s="139"/>
      <c r="F15" s="138"/>
      <c r="G15" s="7"/>
      <c r="H15" s="1"/>
    </row>
    <row r="16" spans="1:8" ht="15.75" customHeight="1">
      <c r="A16" s="1"/>
      <c r="B16" s="78" t="s">
        <v>96</v>
      </c>
      <c r="C16" s="11" t="s">
        <v>180</v>
      </c>
      <c r="D16" s="113">
        <v>1.5</v>
      </c>
      <c r="E16" s="139"/>
      <c r="F16" s="138"/>
      <c r="G16" s="7"/>
      <c r="H16" s="1"/>
    </row>
    <row r="17" spans="1:8" ht="15.75" customHeight="1" thickBot="1">
      <c r="A17" s="1"/>
      <c r="B17" s="8"/>
      <c r="C17" s="9"/>
      <c r="D17" s="9"/>
      <c r="E17" s="9"/>
      <c r="F17" s="9"/>
      <c r="G17" s="10"/>
      <c r="H17" s="1"/>
    </row>
    <row r="18" spans="1:8" ht="15.75" customHeight="1">
      <c r="A18" s="1"/>
      <c r="B18" s="1"/>
      <c r="C18" s="1"/>
      <c r="D18" s="1"/>
      <c r="E18" s="1"/>
      <c r="F18" s="1"/>
      <c r="G18" s="1"/>
      <c r="H18" s="1"/>
    </row>
    <row r="19" spans="1:8" ht="15.75" customHeight="1">
      <c r="A19" s="1"/>
      <c r="B19" s="1"/>
      <c r="C19" s="2" t="s">
        <v>2</v>
      </c>
      <c r="D19" s="1"/>
      <c r="E19" s="1"/>
      <c r="F19" s="1"/>
      <c r="G19" s="1"/>
      <c r="H19" s="1"/>
    </row>
    <row r="20" spans="1:8" ht="15.75" customHeight="1" thickBo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2"/>
      <c r="C21" s="13"/>
      <c r="D21" s="13"/>
      <c r="E21" s="13"/>
      <c r="F21" s="13"/>
      <c r="G21" s="14"/>
      <c r="H21" s="1"/>
    </row>
    <row r="22" spans="1:8" ht="15.75" customHeight="1">
      <c r="A22" s="1"/>
      <c r="B22" s="58" t="s">
        <v>92</v>
      </c>
      <c r="C22" s="16" t="s">
        <v>176</v>
      </c>
      <c r="D22" s="141">
        <f>1-(D11/F11)</f>
        <v>5.3333333333333344E-2</v>
      </c>
      <c r="E22" s="16"/>
      <c r="F22" s="16"/>
      <c r="G22" s="17"/>
      <c r="H22" s="1"/>
    </row>
    <row r="23" spans="1:8" ht="15.75" customHeight="1">
      <c r="A23" s="1"/>
      <c r="B23" s="58"/>
      <c r="C23" s="16" t="s">
        <v>164</v>
      </c>
      <c r="D23" s="141">
        <f>D14-F14</f>
        <v>9.9999999999999978E-2</v>
      </c>
      <c r="E23" s="16"/>
      <c r="F23" s="16"/>
      <c r="G23" s="17"/>
      <c r="H23" s="1"/>
    </row>
    <row r="24" spans="1:8" ht="15.75" customHeight="1">
      <c r="A24" s="1"/>
      <c r="B24" s="58"/>
      <c r="C24" s="142" t="str">
        <f>IF(D23&gt;D22,"Since the default probability is greater than the cash discount,","Since the cash discount is greater than the default probability,")</f>
        <v>Since the default probability is greater than the cash discount,</v>
      </c>
      <c r="D24" s="16"/>
      <c r="E24" s="16"/>
      <c r="F24" s="16"/>
      <c r="G24" s="17"/>
      <c r="H24" s="1"/>
    </row>
    <row r="25" spans="1:8" ht="15.75" customHeight="1">
      <c r="A25" s="1"/>
      <c r="B25" s="58"/>
      <c r="C25" s="142" t="str">
        <f>IF(D23&gt;D22,"credit should not be granted.","credit should be granted.")</f>
        <v>credit should not be granted.</v>
      </c>
      <c r="D25" s="16"/>
      <c r="E25" s="16"/>
      <c r="F25" s="16"/>
      <c r="G25" s="17"/>
      <c r="H25" s="160"/>
    </row>
    <row r="26" spans="1:8" ht="15.75" customHeight="1">
      <c r="A26" s="1"/>
      <c r="B26" s="58"/>
      <c r="C26" s="16"/>
      <c r="D26" s="16"/>
      <c r="E26" s="16"/>
      <c r="F26" s="16"/>
      <c r="G26" s="17"/>
      <c r="H26" s="160"/>
    </row>
    <row r="27" spans="1:8" ht="15.75" customHeight="1">
      <c r="A27" s="1"/>
      <c r="B27" s="58" t="s">
        <v>95</v>
      </c>
      <c r="C27" s="16" t="s">
        <v>177</v>
      </c>
      <c r="D27" s="16"/>
      <c r="E27" s="16"/>
      <c r="F27" s="16"/>
      <c r="G27" s="17"/>
      <c r="H27" s="160"/>
    </row>
    <row r="28" spans="1:8" ht="15.75" customHeight="1">
      <c r="A28" s="1"/>
      <c r="B28" s="58"/>
      <c r="C28" s="16" t="s">
        <v>178</v>
      </c>
      <c r="D28" s="16"/>
      <c r="E28" s="16"/>
      <c r="F28" s="16"/>
      <c r="G28" s="17"/>
      <c r="H28" s="160"/>
    </row>
    <row r="29" spans="1:8" ht="15.75" customHeight="1">
      <c r="A29" s="1"/>
      <c r="B29" s="58"/>
      <c r="C29" s="16" t="s">
        <v>179</v>
      </c>
      <c r="D29" s="84">
        <f>(D13*(F12-D12))+(F12*(F13-D13))</f>
        <v>29300</v>
      </c>
      <c r="E29" s="16"/>
      <c r="F29" s="16"/>
      <c r="G29" s="17"/>
      <c r="H29" s="161"/>
    </row>
    <row r="30" spans="1:8" ht="15.75" customHeight="1">
      <c r="A30" s="1"/>
      <c r="B30" s="58"/>
      <c r="C30" s="16" t="s">
        <v>155</v>
      </c>
      <c r="D30" s="75">
        <f>((D29+(D13*D11)+((D13*(D11-D12))/(((1+D8)^(D7/30))-1))+((F13*F12)/(((1+D8)^(D7/30))-1)))*(((1+D8)^(D7/30))-1))/(F13*(1-(D14-F14)))</f>
        <v>77.317741738375631</v>
      </c>
      <c r="E30" s="16"/>
      <c r="F30" s="16"/>
      <c r="G30" s="17"/>
      <c r="H30" s="160"/>
    </row>
    <row r="31" spans="1:8" ht="15.75" customHeight="1">
      <c r="A31" s="1"/>
      <c r="B31" s="58"/>
      <c r="C31" s="16"/>
      <c r="D31" s="140"/>
      <c r="E31" s="16"/>
      <c r="F31" s="16"/>
      <c r="G31" s="17"/>
      <c r="H31" s="160"/>
    </row>
    <row r="32" spans="1:8" ht="15.75" customHeight="1">
      <c r="A32" s="1"/>
      <c r="B32" s="58" t="s">
        <v>96</v>
      </c>
      <c r="C32" s="16" t="s">
        <v>58</v>
      </c>
      <c r="D32" s="75">
        <f>(D13*D12)-(F14*F13*F12)-(D13*D11)-(D16*F13)+((F13*((F14*(F11-F12))-D16))-(D13*(D11-D12)))/(((1+D8)^(D7/30))-1)</f>
        <v>-74622.27071870392</v>
      </c>
      <c r="E32" s="16"/>
      <c r="F32" s="16"/>
      <c r="G32" s="17"/>
      <c r="H32" s="160"/>
    </row>
    <row r="33" spans="1:8" ht="15.75" customHeight="1">
      <c r="A33" s="1"/>
      <c r="B33" s="58"/>
      <c r="C33" s="142" t="str">
        <f>IF(D32&gt;0,"The reports should be purchased and credit granted.","The reports should not be purchased and credit should not be granted.")</f>
        <v>The reports should not be purchased and credit should not be granted.</v>
      </c>
      <c r="D33" s="140"/>
      <c r="E33" s="16"/>
      <c r="F33" s="16"/>
      <c r="G33" s="17"/>
      <c r="H33" s="1"/>
    </row>
    <row r="34" spans="1:8" ht="15.75" customHeight="1" thickBot="1">
      <c r="A34" s="1"/>
      <c r="B34" s="18"/>
      <c r="C34" s="19"/>
      <c r="D34" s="19"/>
      <c r="E34" s="19"/>
      <c r="F34" s="19"/>
      <c r="G34" s="20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/>
    <row r="40" spans="1:8" ht="15.75" customHeight="1"/>
    <row r="41" spans="1:8" ht="15.75" customHeight="1"/>
    <row r="42" spans="1:8" ht="15.75" customHeight="1"/>
    <row r="43" spans="1:8" ht="15.75" customHeight="1"/>
    <row r="44" spans="1:8" ht="15.75" customHeight="1"/>
    <row r="45" spans="1:8" ht="15.75" customHeight="1"/>
    <row r="46" spans="1:8" ht="15.75" customHeight="1"/>
    <row r="47" spans="1:8" ht="15.75" customHeight="1"/>
    <row r="48" spans="1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</sheetData>
  <phoneticPr fontId="0" type="noConversion"/>
  <pageMargins left="0.75" right="0.75" top="1" bottom="1" header="0.5" footer="0.5"/>
  <pageSetup scale="98" orientation="portrait" horizontalDpi="360" verticalDpi="36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I16"/>
  <sheetViews>
    <sheetView workbookViewId="0"/>
  </sheetViews>
  <sheetFormatPr defaultRowHeight="12.75"/>
  <cols>
    <col min="2" max="2" width="3" customWidth="1"/>
    <col min="3" max="3" width="20.28515625" customWidth="1"/>
    <col min="4" max="4" width="24.5703125" customWidth="1"/>
    <col min="5" max="5" width="29.5703125" customWidth="1"/>
    <col min="6" max="6" width="3.5703125" customWidth="1"/>
    <col min="7" max="7" width="5.5703125" customWidth="1"/>
    <col min="8" max="9" width="18.140625" customWidth="1"/>
  </cols>
  <sheetData>
    <row r="1" spans="1:9" ht="18">
      <c r="A1" s="1"/>
      <c r="B1" s="1"/>
      <c r="C1" s="143" t="s">
        <v>199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22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2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12"/>
      <c r="C6" s="13"/>
      <c r="D6" s="13"/>
      <c r="E6" s="13"/>
      <c r="F6" s="13"/>
      <c r="G6" s="14"/>
      <c r="H6" s="1"/>
      <c r="I6" s="1"/>
    </row>
    <row r="7" spans="1:9" ht="15.75">
      <c r="A7" s="1"/>
      <c r="B7" s="15"/>
      <c r="C7" s="104" t="s">
        <v>127</v>
      </c>
      <c r="D7" s="104" t="s">
        <v>128</v>
      </c>
      <c r="E7" s="104"/>
      <c r="F7" s="16"/>
      <c r="G7" s="17"/>
      <c r="H7" s="1"/>
      <c r="I7" s="1"/>
    </row>
    <row r="8" spans="1:9" ht="15.75">
      <c r="A8" s="1"/>
      <c r="B8" s="15"/>
      <c r="C8" s="104" t="s">
        <v>129</v>
      </c>
      <c r="D8" s="104" t="s">
        <v>130</v>
      </c>
      <c r="E8" s="104"/>
      <c r="F8" s="16"/>
      <c r="G8" s="17"/>
      <c r="H8" s="1"/>
      <c r="I8" s="1"/>
    </row>
    <row r="9" spans="1:9" ht="15.75">
      <c r="A9" s="1"/>
      <c r="B9" s="15"/>
      <c r="C9" s="104" t="s">
        <v>132</v>
      </c>
      <c r="D9" s="104" t="s">
        <v>133</v>
      </c>
      <c r="E9" s="104"/>
      <c r="F9" s="16"/>
      <c r="G9" s="17"/>
      <c r="H9" s="1"/>
      <c r="I9" s="1"/>
    </row>
    <row r="10" spans="1:9" ht="15.75">
      <c r="A10" s="1"/>
      <c r="B10" s="15"/>
      <c r="C10" s="16"/>
      <c r="D10" s="104" t="s">
        <v>131</v>
      </c>
      <c r="E10" s="104"/>
      <c r="F10" s="16"/>
      <c r="G10" s="17"/>
      <c r="H10" s="1"/>
      <c r="I10" s="1"/>
    </row>
    <row r="11" spans="1:9" ht="15.75">
      <c r="A11" s="1"/>
      <c r="B11" s="15"/>
      <c r="C11" s="104" t="s">
        <v>135</v>
      </c>
      <c r="D11" s="104" t="s">
        <v>134</v>
      </c>
      <c r="E11" s="105"/>
      <c r="F11" s="16"/>
      <c r="G11" s="17"/>
      <c r="H11" s="1"/>
      <c r="I11" s="1"/>
    </row>
    <row r="12" spans="1:9" ht="15">
      <c r="A12" s="1"/>
      <c r="B12" s="15"/>
      <c r="C12" s="16"/>
      <c r="D12" s="16"/>
      <c r="E12" s="16"/>
      <c r="F12" s="16"/>
      <c r="G12" s="17"/>
      <c r="H12" s="1"/>
      <c r="I12" s="1"/>
    </row>
    <row r="13" spans="1:9" ht="15.75" thickBot="1">
      <c r="A13" s="1"/>
      <c r="B13" s="18"/>
      <c r="C13" s="19"/>
      <c r="D13" s="19"/>
      <c r="E13" s="19"/>
      <c r="F13" s="19"/>
      <c r="G13" s="20"/>
      <c r="H13" s="1"/>
      <c r="I13" s="1"/>
    </row>
    <row r="14" spans="1:9" ht="15">
      <c r="A14" s="1"/>
      <c r="B14" s="1"/>
      <c r="C14" s="1"/>
      <c r="D14" s="1"/>
      <c r="E14" s="1"/>
      <c r="F14" s="1"/>
      <c r="G14" s="1"/>
      <c r="H14" s="1"/>
      <c r="I14" s="1"/>
    </row>
    <row r="15" spans="1:9" ht="15">
      <c r="A15" s="1"/>
      <c r="B15" s="1"/>
      <c r="C15" s="1"/>
      <c r="D15" s="1"/>
      <c r="E15" s="1"/>
      <c r="F15" s="1"/>
      <c r="G15" s="1"/>
      <c r="H15" s="1"/>
      <c r="I15" s="1"/>
    </row>
    <row r="16" spans="1:9" ht="15">
      <c r="A16" s="1"/>
      <c r="B16" s="1"/>
      <c r="C16" s="1"/>
      <c r="D16" s="1"/>
      <c r="E16" s="1"/>
      <c r="F16" s="1"/>
      <c r="G16" s="1"/>
      <c r="H16" s="1"/>
      <c r="I16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  <legacyDrawing r:id="rId2"/>
  <oleObjects>
    <oleObject progId="Equation.3" shapeId="1028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H22"/>
  <sheetViews>
    <sheetView workbookViewId="0"/>
  </sheetViews>
  <sheetFormatPr defaultRowHeight="12.75"/>
  <cols>
    <col min="2" max="2" width="3" customWidth="1"/>
    <col min="3" max="3" width="22" customWidth="1"/>
    <col min="4" max="4" width="18.140625" customWidth="1"/>
    <col min="5" max="5" width="3.140625" customWidth="1"/>
    <col min="6" max="6" width="18.140625" customWidth="1"/>
    <col min="7" max="7" width="18.28515625" customWidth="1"/>
    <col min="8" max="8" width="3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">
      <c r="A2" s="1"/>
      <c r="B2" s="1"/>
      <c r="C2" s="1" t="s">
        <v>10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1"/>
      <c r="G6" s="1"/>
      <c r="H6" s="1"/>
    </row>
    <row r="7" spans="1:8" ht="15">
      <c r="A7" s="1"/>
      <c r="B7" s="6"/>
      <c r="C7" s="11" t="s">
        <v>11</v>
      </c>
      <c r="D7" s="55">
        <v>34000000</v>
      </c>
      <c r="E7" s="7"/>
      <c r="F7" s="1"/>
      <c r="G7" s="1"/>
      <c r="H7" s="1"/>
    </row>
    <row r="8" spans="1:8" ht="15">
      <c r="A8" s="1"/>
      <c r="B8" s="6"/>
      <c r="C8" s="11" t="s">
        <v>12</v>
      </c>
      <c r="D8" s="64">
        <v>33</v>
      </c>
      <c r="E8" s="7"/>
      <c r="F8" s="1"/>
      <c r="G8" s="1"/>
      <c r="H8" s="1"/>
    </row>
    <row r="9" spans="1:8" ht="15">
      <c r="A9" s="1"/>
      <c r="B9" s="6"/>
      <c r="C9" s="11" t="s">
        <v>14</v>
      </c>
      <c r="D9" s="64">
        <v>365</v>
      </c>
      <c r="E9" s="7"/>
      <c r="F9" s="1"/>
      <c r="G9" s="1"/>
      <c r="H9" s="1"/>
    </row>
    <row r="10" spans="1:8" ht="15.75" thickBot="1">
      <c r="A10" s="1"/>
      <c r="B10" s="8"/>
      <c r="C10" s="9"/>
      <c r="D10" s="9"/>
      <c r="E10" s="10"/>
      <c r="F10" s="1"/>
      <c r="G10" s="1"/>
      <c r="H10" s="1"/>
    </row>
    <row r="11" spans="1:8" ht="15">
      <c r="A11" s="1"/>
      <c r="B11" s="1"/>
      <c r="C11" s="1"/>
      <c r="D11" s="1"/>
      <c r="E11" s="1"/>
      <c r="F11" s="1"/>
      <c r="G11" s="1"/>
      <c r="H11" s="1"/>
    </row>
    <row r="12" spans="1:8" ht="15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thickBot="1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2"/>
      <c r="C14" s="13"/>
      <c r="D14" s="13"/>
      <c r="E14" s="14"/>
      <c r="F14" s="1"/>
      <c r="G14" s="1"/>
      <c r="H14" s="1"/>
    </row>
    <row r="15" spans="1:8" ht="15">
      <c r="A15" s="1"/>
      <c r="B15" s="15"/>
      <c r="C15" s="16" t="s">
        <v>13</v>
      </c>
      <c r="D15" s="65">
        <f>D9/D8</f>
        <v>11.060606060606061</v>
      </c>
      <c r="E15" s="17"/>
      <c r="F15" s="1"/>
      <c r="G15" s="1"/>
      <c r="H15" s="1"/>
    </row>
    <row r="16" spans="1:8" ht="15">
      <c r="A16" s="1"/>
      <c r="B16" s="15"/>
      <c r="C16" s="16"/>
      <c r="D16" s="24"/>
      <c r="E16" s="17"/>
      <c r="F16" s="1"/>
      <c r="G16" s="1"/>
      <c r="H16" s="1"/>
    </row>
    <row r="17" spans="1:8" ht="15.75">
      <c r="A17" s="1"/>
      <c r="B17" s="15"/>
      <c r="C17" s="16" t="s">
        <v>31</v>
      </c>
      <c r="D17" s="26">
        <f>D7/D15</f>
        <v>3073972.6027397262</v>
      </c>
      <c r="E17" s="17"/>
      <c r="F17" s="1"/>
      <c r="G17" s="1"/>
      <c r="H17" s="1"/>
    </row>
    <row r="18" spans="1:8" ht="15.75" thickBot="1">
      <c r="A18" s="1"/>
      <c r="B18" s="18"/>
      <c r="C18" s="19"/>
      <c r="D18" s="19"/>
      <c r="E18" s="20"/>
      <c r="F18" s="1"/>
      <c r="G18" s="1"/>
      <c r="H18" s="1"/>
    </row>
    <row r="19" spans="1:8" ht="15">
      <c r="A19" s="1"/>
      <c r="B19" s="1"/>
      <c r="C19" s="1"/>
      <c r="D19" s="1"/>
      <c r="E19" s="1"/>
      <c r="F19" s="1"/>
      <c r="G19" s="1"/>
      <c r="H19" s="1"/>
    </row>
    <row r="20" spans="1:8" ht="15">
      <c r="A20" s="1"/>
      <c r="B20" s="1"/>
      <c r="C20" s="1"/>
      <c r="D20" s="1"/>
      <c r="E20" s="1"/>
      <c r="F20" s="1"/>
      <c r="G20" s="1"/>
      <c r="H20" s="1"/>
    </row>
    <row r="21" spans="1:8" ht="15">
      <c r="A21" s="1"/>
      <c r="B21" s="1"/>
      <c r="C21" s="1"/>
      <c r="D21" s="1"/>
      <c r="E21" s="1"/>
      <c r="F21" s="1"/>
      <c r="G21" s="1"/>
      <c r="H21" s="1"/>
    </row>
    <row r="22" spans="1:8" ht="15">
      <c r="A22" s="1"/>
      <c r="B22" s="1"/>
      <c r="C22" s="1"/>
      <c r="D22" s="1"/>
      <c r="E22" s="1"/>
      <c r="F22" s="1"/>
      <c r="G22" s="1"/>
      <c r="H22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8"/>
  <sheetViews>
    <sheetView workbookViewId="0"/>
  </sheetViews>
  <sheetFormatPr defaultRowHeight="12.75"/>
  <cols>
    <col min="2" max="2" width="3" customWidth="1"/>
    <col min="3" max="3" width="30.85546875" bestFit="1" customWidth="1"/>
    <col min="4" max="4" width="18.140625" customWidth="1"/>
    <col min="5" max="5" width="2.7109375" customWidth="1"/>
    <col min="6" max="6" width="5.28515625" customWidth="1"/>
    <col min="7" max="7" width="3.140625" customWidth="1"/>
    <col min="8" max="8" width="18.140625" customWidth="1"/>
    <col min="9" max="9" width="18.28515625" customWidth="1"/>
    <col min="10" max="10" width="3.140625" customWidth="1"/>
  </cols>
  <sheetData>
    <row r="1" spans="1:10" ht="18">
      <c r="A1" s="1"/>
      <c r="B1" s="1"/>
      <c r="C1" s="143" t="s">
        <v>197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15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4"/>
      <c r="E6" s="4"/>
      <c r="F6" s="4"/>
      <c r="G6" s="5"/>
      <c r="H6" s="1"/>
      <c r="I6" s="1"/>
      <c r="J6" s="1"/>
    </row>
    <row r="7" spans="1:10" ht="15">
      <c r="A7" s="1"/>
      <c r="B7" s="6"/>
      <c r="C7" s="11" t="s">
        <v>90</v>
      </c>
      <c r="D7" s="57">
        <v>2</v>
      </c>
      <c r="E7" s="57" t="s">
        <v>91</v>
      </c>
      <c r="F7" s="57">
        <v>15</v>
      </c>
      <c r="G7" s="7"/>
      <c r="H7" s="1"/>
      <c r="I7" s="1"/>
      <c r="J7" s="1"/>
    </row>
    <row r="8" spans="1:10" ht="15">
      <c r="A8" s="1"/>
      <c r="B8" s="6"/>
      <c r="C8" s="11" t="s">
        <v>4</v>
      </c>
      <c r="D8" s="64">
        <v>30</v>
      </c>
      <c r="E8" s="64"/>
      <c r="F8" s="64"/>
      <c r="G8" s="7"/>
      <c r="H8" s="1"/>
      <c r="I8" s="1"/>
      <c r="J8" s="1"/>
    </row>
    <row r="9" spans="1:10" ht="15">
      <c r="A9" s="1"/>
      <c r="B9" s="6"/>
      <c r="C9" s="11" t="s">
        <v>97</v>
      </c>
      <c r="D9" s="66">
        <v>0.65</v>
      </c>
      <c r="E9" s="66"/>
      <c r="F9" s="66"/>
      <c r="G9" s="7"/>
      <c r="H9" s="1"/>
      <c r="I9" s="1"/>
      <c r="J9" s="1"/>
    </row>
    <row r="10" spans="1:10" ht="15">
      <c r="A10" s="1"/>
      <c r="B10" s="6"/>
      <c r="C10" s="11" t="s">
        <v>99</v>
      </c>
      <c r="D10" s="64">
        <v>1300</v>
      </c>
      <c r="E10" s="64"/>
      <c r="F10" s="64"/>
      <c r="G10" s="7"/>
      <c r="H10" s="1"/>
      <c r="I10" s="1"/>
      <c r="J10" s="1"/>
    </row>
    <row r="11" spans="1:10" ht="15">
      <c r="A11" s="1"/>
      <c r="B11" s="6"/>
      <c r="C11" s="11" t="s">
        <v>98</v>
      </c>
      <c r="D11" s="55">
        <v>1700</v>
      </c>
      <c r="E11" s="55"/>
      <c r="F11" s="55"/>
      <c r="G11" s="7"/>
      <c r="H11" s="1"/>
      <c r="I11" s="1"/>
      <c r="J11" s="1"/>
    </row>
    <row r="12" spans="1:10" ht="15">
      <c r="A12" s="1"/>
      <c r="B12" s="6"/>
      <c r="C12" s="11" t="s">
        <v>100</v>
      </c>
      <c r="D12" s="57">
        <v>12</v>
      </c>
      <c r="E12" s="57"/>
      <c r="F12" s="57"/>
      <c r="G12" s="7"/>
      <c r="H12" s="1"/>
      <c r="I12" s="1"/>
      <c r="J12" s="1"/>
    </row>
    <row r="13" spans="1:10" ht="15.75" thickBot="1">
      <c r="A13" s="1"/>
      <c r="B13" s="8"/>
      <c r="C13" s="9"/>
      <c r="D13" s="9"/>
      <c r="E13" s="9"/>
      <c r="F13" s="9"/>
      <c r="G13" s="10"/>
      <c r="H13" s="1"/>
      <c r="I13" s="1"/>
      <c r="J13" s="1"/>
    </row>
    <row r="14" spans="1:10" ht="1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67"/>
      <c r="C17" s="13"/>
      <c r="D17" s="13"/>
      <c r="E17" s="13"/>
      <c r="F17" s="13"/>
      <c r="G17" s="14"/>
      <c r="H17" s="1"/>
      <c r="I17" s="1"/>
      <c r="J17" s="1"/>
    </row>
    <row r="18" spans="1:10" ht="15.75">
      <c r="A18" s="1"/>
      <c r="B18" s="58" t="s">
        <v>92</v>
      </c>
      <c r="C18" s="16" t="s">
        <v>16</v>
      </c>
      <c r="D18" s="68">
        <f>(D9*F7)+((1-D9)*D8)</f>
        <v>20.25</v>
      </c>
      <c r="E18" s="69"/>
      <c r="F18" s="69"/>
      <c r="G18" s="17"/>
      <c r="H18" s="1"/>
      <c r="I18" s="1"/>
      <c r="J18" s="1"/>
    </row>
    <row r="19" spans="1:10" ht="15">
      <c r="A19" s="1"/>
      <c r="B19" s="58"/>
      <c r="C19" s="16"/>
      <c r="D19" s="70"/>
      <c r="E19" s="71"/>
      <c r="F19" s="71"/>
      <c r="G19" s="17"/>
      <c r="H19" s="1"/>
      <c r="I19" s="1"/>
      <c r="J19" s="1"/>
    </row>
    <row r="20" spans="1:10" ht="15">
      <c r="A20" s="1"/>
      <c r="B20" s="58" t="s">
        <v>95</v>
      </c>
      <c r="C20" s="16" t="s">
        <v>101</v>
      </c>
      <c r="D20" s="72">
        <f>D10*D12*D11</f>
        <v>26520000</v>
      </c>
      <c r="E20" s="72"/>
      <c r="F20" s="72"/>
      <c r="G20" s="17"/>
      <c r="H20" s="1"/>
      <c r="I20" s="1"/>
      <c r="J20" s="1"/>
    </row>
    <row r="21" spans="1:10" ht="15">
      <c r="A21" s="1"/>
      <c r="B21" s="58"/>
      <c r="C21" s="16" t="s">
        <v>26</v>
      </c>
      <c r="D21" s="73">
        <f>365/D18</f>
        <v>18.02469135802469</v>
      </c>
      <c r="E21" s="73"/>
      <c r="F21" s="73"/>
      <c r="G21" s="17"/>
      <c r="H21" s="1"/>
      <c r="I21" s="1"/>
      <c r="J21" s="1"/>
    </row>
    <row r="22" spans="1:10" ht="15">
      <c r="A22" s="1"/>
      <c r="B22" s="58"/>
      <c r="C22" s="16"/>
      <c r="D22" s="74"/>
      <c r="E22" s="71"/>
      <c r="F22" s="71"/>
      <c r="G22" s="17"/>
      <c r="H22" s="1"/>
      <c r="I22" s="1"/>
      <c r="J22" s="1"/>
    </row>
    <row r="23" spans="1:10" ht="15.75">
      <c r="A23" s="1"/>
      <c r="B23" s="58"/>
      <c r="C23" s="16" t="s">
        <v>102</v>
      </c>
      <c r="D23" s="75">
        <f>D10*D11*D18*(12/365)</f>
        <v>1471315.0684931506</v>
      </c>
      <c r="E23" s="76"/>
      <c r="F23" s="76"/>
      <c r="G23" s="17"/>
      <c r="H23" s="1"/>
      <c r="I23" s="1"/>
      <c r="J23" s="1"/>
    </row>
    <row r="24" spans="1:10" ht="15.75" thickBot="1">
      <c r="A24" s="1"/>
      <c r="B24" s="77"/>
      <c r="C24" s="19"/>
      <c r="D24" s="19"/>
      <c r="E24" s="19"/>
      <c r="F24" s="19"/>
      <c r="G24" s="20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74"/>
  <sheetViews>
    <sheetView workbookViewId="0"/>
  </sheetViews>
  <sheetFormatPr defaultRowHeight="12.75"/>
  <cols>
    <col min="2" max="2" width="3" customWidth="1"/>
    <col min="3" max="3" width="31.7109375" bestFit="1" customWidth="1"/>
    <col min="4" max="4" width="18.140625" customWidth="1"/>
    <col min="5" max="5" width="3.140625" customWidth="1"/>
    <col min="6" max="6" width="18.140625" customWidth="1"/>
    <col min="7" max="7" width="18.28515625" customWidth="1"/>
    <col min="8" max="8" width="3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18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19</v>
      </c>
      <c r="D7" s="55">
        <v>27500</v>
      </c>
      <c r="E7" s="7"/>
      <c r="F7" s="1"/>
      <c r="G7" s="1"/>
      <c r="H7" s="1"/>
    </row>
    <row r="8" spans="1:8" ht="15.75" customHeight="1">
      <c r="A8" s="1"/>
      <c r="B8" s="6"/>
      <c r="C8" s="11" t="s">
        <v>12</v>
      </c>
      <c r="D8" s="64">
        <v>27</v>
      </c>
      <c r="E8" s="7"/>
      <c r="F8" s="1"/>
      <c r="G8" s="1"/>
      <c r="H8" s="1"/>
    </row>
    <row r="9" spans="1:8" ht="15.75" customHeight="1">
      <c r="A9" s="1"/>
      <c r="B9" s="6"/>
      <c r="C9" s="11" t="s">
        <v>20</v>
      </c>
      <c r="D9" s="66">
        <v>0.75</v>
      </c>
      <c r="E9" s="7"/>
      <c r="F9" s="1"/>
      <c r="G9" s="1"/>
      <c r="H9" s="1"/>
    </row>
    <row r="10" spans="1:8" ht="15.75" customHeight="1" thickBot="1">
      <c r="A10" s="1"/>
      <c r="B10" s="8"/>
      <c r="C10" s="9"/>
      <c r="D10" s="9"/>
      <c r="E10" s="10"/>
      <c r="F10" s="1"/>
      <c r="G10" s="1"/>
      <c r="H10" s="1"/>
    </row>
    <row r="11" spans="1:8" ht="15.75" customHeight="1">
      <c r="A11" s="1"/>
      <c r="B11" s="1"/>
      <c r="C11" s="1"/>
      <c r="D11" s="1"/>
      <c r="E11" s="1"/>
      <c r="F11" s="1"/>
      <c r="G11" s="1"/>
      <c r="H11" s="1"/>
    </row>
    <row r="12" spans="1:8" ht="15.75" customHeight="1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customHeight="1" thickBot="1">
      <c r="A13" s="1"/>
      <c r="B13" s="1"/>
      <c r="C13" s="1"/>
      <c r="D13" s="1"/>
      <c r="E13" s="1"/>
      <c r="F13" s="1"/>
      <c r="G13" s="1"/>
      <c r="H13" s="1"/>
    </row>
    <row r="14" spans="1:8" ht="15.75" customHeight="1">
      <c r="A14" s="1"/>
      <c r="B14" s="12"/>
      <c r="C14" s="13"/>
      <c r="D14" s="13"/>
      <c r="E14" s="14"/>
      <c r="F14" s="1"/>
      <c r="G14" s="1"/>
      <c r="H14" s="1"/>
    </row>
    <row r="15" spans="1:8" ht="15.75" customHeight="1">
      <c r="A15" s="1"/>
      <c r="B15" s="15"/>
      <c r="C15" s="16" t="s">
        <v>181</v>
      </c>
      <c r="D15" s="144">
        <f>D7/7</f>
        <v>3928.5714285714284</v>
      </c>
      <c r="E15" s="17"/>
      <c r="F15" s="1"/>
      <c r="G15" s="1"/>
      <c r="H15" s="1"/>
    </row>
    <row r="16" spans="1:8" ht="15.75" customHeight="1">
      <c r="A16" s="1"/>
      <c r="B16" s="15"/>
      <c r="C16" s="16"/>
      <c r="D16" s="16"/>
      <c r="E16" s="17"/>
      <c r="F16" s="1"/>
      <c r="G16" s="1"/>
      <c r="H16" s="1"/>
    </row>
    <row r="17" spans="1:8" ht="15.75" customHeight="1">
      <c r="A17" s="1"/>
      <c r="B17" s="15"/>
      <c r="C17" s="16" t="s">
        <v>21</v>
      </c>
      <c r="D17" s="75">
        <f>D15*D8</f>
        <v>106071.42857142857</v>
      </c>
      <c r="E17" s="17"/>
      <c r="F17" s="1"/>
      <c r="G17" s="1"/>
      <c r="H17" s="1"/>
    </row>
    <row r="18" spans="1:8" ht="15.75" customHeight="1" thickBot="1">
      <c r="A18" s="1"/>
      <c r="B18" s="18"/>
      <c r="C18" s="19"/>
      <c r="D18" s="19"/>
      <c r="E18" s="20"/>
      <c r="F18" s="1"/>
      <c r="G18" s="1"/>
      <c r="H18" s="1"/>
    </row>
    <row r="19" spans="1:8" ht="15.75" customHeight="1">
      <c r="A19" s="1"/>
      <c r="B19" s="1"/>
      <c r="C19" s="1"/>
      <c r="D19" s="1"/>
      <c r="E19" s="1"/>
      <c r="F19" s="1"/>
      <c r="G19" s="1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/>
    <row r="24" spans="1:8" ht="15.75" customHeight="1"/>
    <row r="25" spans="1:8" ht="15.75" customHeight="1"/>
    <row r="26" spans="1:8" ht="15.75" customHeight="1"/>
    <row r="27" spans="1:8" ht="15.75" customHeight="1"/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workbookViewId="0"/>
  </sheetViews>
  <sheetFormatPr defaultRowHeight="12.75"/>
  <cols>
    <col min="2" max="2" width="3" customWidth="1"/>
    <col min="3" max="3" width="31.7109375" bestFit="1" customWidth="1"/>
    <col min="4" max="4" width="18.140625" customWidth="1"/>
    <col min="5" max="5" width="2.5703125" customWidth="1"/>
    <col min="6" max="6" width="5.28515625" bestFit="1" customWidth="1"/>
    <col min="7" max="7" width="3.140625" customWidth="1"/>
    <col min="8" max="8" width="18.140625" customWidth="1"/>
    <col min="9" max="9" width="18.28515625" customWidth="1"/>
    <col min="10" max="10" width="3.140625" customWidth="1"/>
  </cols>
  <sheetData>
    <row r="1" spans="1:10" ht="18">
      <c r="A1" s="1"/>
      <c r="B1" s="1"/>
      <c r="C1" s="143" t="s">
        <v>197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22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4"/>
      <c r="E6" s="4"/>
      <c r="F6" s="4"/>
      <c r="G6" s="5"/>
      <c r="H6" s="1"/>
      <c r="I6" s="1"/>
      <c r="J6" s="1"/>
    </row>
    <row r="7" spans="1:10" ht="15">
      <c r="A7" s="1"/>
      <c r="B7" s="6"/>
      <c r="C7" s="11" t="s">
        <v>90</v>
      </c>
      <c r="D7" s="66">
        <v>0.01</v>
      </c>
      <c r="E7" s="66" t="s">
        <v>91</v>
      </c>
      <c r="F7" s="57">
        <v>10</v>
      </c>
      <c r="G7" s="7"/>
      <c r="H7" s="1"/>
      <c r="I7" s="1"/>
      <c r="J7" s="1"/>
    </row>
    <row r="8" spans="1:10" ht="15">
      <c r="A8" s="1"/>
      <c r="B8" s="6"/>
      <c r="C8" s="11" t="s">
        <v>4</v>
      </c>
      <c r="D8" s="64">
        <v>30</v>
      </c>
      <c r="E8" s="64"/>
      <c r="F8" s="64"/>
      <c r="G8" s="7"/>
      <c r="H8" s="1"/>
      <c r="I8" s="1"/>
      <c r="J8" s="1"/>
    </row>
    <row r="9" spans="1:10" ht="15">
      <c r="A9" s="1"/>
      <c r="B9" s="78" t="s">
        <v>92</v>
      </c>
      <c r="C9" s="11" t="s">
        <v>103</v>
      </c>
      <c r="D9" s="66">
        <v>0.02</v>
      </c>
      <c r="E9" s="66"/>
      <c r="F9" s="66"/>
      <c r="G9" s="7"/>
      <c r="H9" s="1"/>
      <c r="I9" s="1"/>
      <c r="J9" s="1"/>
    </row>
    <row r="10" spans="1:10" ht="15">
      <c r="A10" s="1"/>
      <c r="B10" s="78" t="s">
        <v>95</v>
      </c>
      <c r="C10" s="11" t="s">
        <v>104</v>
      </c>
      <c r="D10" s="64">
        <v>60</v>
      </c>
      <c r="E10" s="64"/>
      <c r="F10" s="64"/>
      <c r="G10" s="7"/>
      <c r="H10" s="1"/>
      <c r="I10" s="1"/>
      <c r="J10" s="1"/>
    </row>
    <row r="11" spans="1:10" ht="15">
      <c r="A11" s="1"/>
      <c r="B11" s="78" t="s">
        <v>96</v>
      </c>
      <c r="C11" s="11" t="s">
        <v>105</v>
      </c>
      <c r="D11" s="64">
        <v>15</v>
      </c>
      <c r="E11" s="64"/>
      <c r="F11" s="64"/>
      <c r="G11" s="7"/>
      <c r="H11" s="1"/>
      <c r="I11" s="1"/>
      <c r="J11" s="1"/>
    </row>
    <row r="12" spans="1:10" ht="15.75" thickBot="1">
      <c r="A12" s="1"/>
      <c r="B12" s="8"/>
      <c r="C12" s="9"/>
      <c r="D12" s="9"/>
      <c r="E12" s="9"/>
      <c r="F12" s="9"/>
      <c r="G12" s="10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2"/>
      <c r="C16" s="13"/>
      <c r="D16" s="13"/>
      <c r="E16" s="13"/>
      <c r="F16" s="13"/>
      <c r="G16" s="14"/>
      <c r="H16" s="1"/>
      <c r="I16" s="1"/>
      <c r="J16" s="1"/>
    </row>
    <row r="17" spans="1:10" ht="15.75">
      <c r="A17" s="1"/>
      <c r="B17" s="15"/>
      <c r="C17" s="16" t="s">
        <v>106</v>
      </c>
      <c r="D17" s="28">
        <f>((1+(D7/(1-D7)))^(365/(D8-F7)))-1</f>
        <v>0.20131720944397502</v>
      </c>
      <c r="E17" s="33"/>
      <c r="F17" s="33"/>
      <c r="G17" s="17"/>
      <c r="H17" s="1"/>
      <c r="I17" s="1"/>
      <c r="J17" s="1"/>
    </row>
    <row r="18" spans="1:10" ht="15.75">
      <c r="A18" s="1"/>
      <c r="B18" s="58" t="s">
        <v>92</v>
      </c>
      <c r="C18" s="16" t="s">
        <v>23</v>
      </c>
      <c r="D18" s="28">
        <f>((1+(D9/(1-D9)))^(365/(D8-F7)))-1</f>
        <v>0.4458529273124856</v>
      </c>
      <c r="E18" s="33"/>
      <c r="F18" s="33"/>
      <c r="G18" s="17"/>
      <c r="H18" s="1"/>
      <c r="I18" s="1"/>
      <c r="J18" s="1"/>
    </row>
    <row r="19" spans="1:10" ht="15.75">
      <c r="A19" s="1"/>
      <c r="B19" s="58" t="s">
        <v>95</v>
      </c>
      <c r="C19" s="16" t="s">
        <v>23</v>
      </c>
      <c r="D19" s="28">
        <f>((1+(D7/(1-D7)))^(365/(D10-F7)))-1</f>
        <v>7.6125888593991053E-2</v>
      </c>
      <c r="E19" s="33"/>
      <c r="F19" s="33"/>
      <c r="G19" s="17"/>
      <c r="H19" s="1"/>
      <c r="I19" s="1"/>
      <c r="J19" s="1"/>
    </row>
    <row r="20" spans="1:10" ht="15.75">
      <c r="A20" s="1"/>
      <c r="B20" s="58" t="s">
        <v>96</v>
      </c>
      <c r="C20" s="16" t="s">
        <v>23</v>
      </c>
      <c r="D20" s="28">
        <f>((1+(D7/(1-D7)))^(365/(D8-D11)))-1</f>
        <v>0.27705694957622562</v>
      </c>
      <c r="E20" s="33"/>
      <c r="F20" s="33"/>
      <c r="G20" s="17"/>
      <c r="H20" s="1"/>
      <c r="I20" s="1"/>
      <c r="J20" s="1"/>
    </row>
    <row r="21" spans="1:10" ht="15.75" thickBot="1">
      <c r="A21" s="1"/>
      <c r="B21" s="18"/>
      <c r="C21" s="19"/>
      <c r="D21" s="19"/>
      <c r="E21" s="19"/>
      <c r="F21" s="19"/>
      <c r="G21" s="20"/>
      <c r="H21" s="1"/>
      <c r="I21" s="1"/>
      <c r="J21" s="1"/>
    </row>
    <row r="22" spans="1:10" ht="1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1"/>
  <sheetViews>
    <sheetView workbookViewId="0"/>
  </sheetViews>
  <sheetFormatPr defaultRowHeight="12.75"/>
  <cols>
    <col min="2" max="2" width="3" customWidth="1"/>
    <col min="3" max="3" width="31.7109375" bestFit="1" customWidth="1"/>
    <col min="4" max="4" width="18.140625" customWidth="1"/>
    <col min="5" max="5" width="3.140625" customWidth="1"/>
    <col min="6" max="6" width="18.140625" customWidth="1"/>
    <col min="7" max="7" width="18.28515625" customWidth="1"/>
    <col min="8" max="8" width="3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">
      <c r="A2" s="1"/>
      <c r="B2" s="1"/>
      <c r="C2" s="1" t="s">
        <v>24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1"/>
      <c r="G6" s="1"/>
      <c r="H6" s="1"/>
    </row>
    <row r="7" spans="1:8" ht="15">
      <c r="A7" s="1"/>
      <c r="B7" s="6"/>
      <c r="C7" s="11" t="s">
        <v>12</v>
      </c>
      <c r="D7" s="64">
        <v>36</v>
      </c>
      <c r="E7" s="7"/>
      <c r="F7" s="1"/>
      <c r="G7" s="1"/>
      <c r="H7" s="1"/>
    </row>
    <row r="8" spans="1:8" ht="15">
      <c r="A8" s="1"/>
      <c r="B8" s="6"/>
      <c r="C8" s="11" t="s">
        <v>25</v>
      </c>
      <c r="D8" s="55">
        <v>58300</v>
      </c>
      <c r="E8" s="7"/>
      <c r="F8" s="1"/>
      <c r="G8" s="1"/>
      <c r="H8" s="1"/>
    </row>
    <row r="9" spans="1:8" ht="15">
      <c r="A9" s="1"/>
      <c r="B9" s="6"/>
      <c r="C9" s="11" t="s">
        <v>14</v>
      </c>
      <c r="D9" s="64">
        <v>365</v>
      </c>
      <c r="E9" s="7"/>
      <c r="F9" s="1"/>
      <c r="G9" s="1"/>
      <c r="H9" s="1"/>
    </row>
    <row r="10" spans="1:8" ht="15.75" thickBot="1">
      <c r="A10" s="1"/>
      <c r="B10" s="8"/>
      <c r="C10" s="9"/>
      <c r="D10" s="9"/>
      <c r="E10" s="10"/>
      <c r="F10" s="1"/>
      <c r="G10" s="1"/>
      <c r="H10" s="1"/>
    </row>
    <row r="11" spans="1:8" ht="15">
      <c r="A11" s="1"/>
      <c r="B11" s="1"/>
      <c r="C11" s="1"/>
      <c r="D11" s="1"/>
      <c r="E11" s="1"/>
      <c r="F11" s="1"/>
      <c r="G11" s="1"/>
      <c r="H11" s="1"/>
    </row>
    <row r="12" spans="1:8" ht="15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thickBot="1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2"/>
      <c r="C14" s="13"/>
      <c r="D14" s="13"/>
      <c r="E14" s="14"/>
      <c r="F14" s="1"/>
      <c r="G14" s="1"/>
      <c r="H14" s="1"/>
    </row>
    <row r="15" spans="1:8" ht="15.75">
      <c r="A15" s="1"/>
      <c r="B15" s="15"/>
      <c r="C15" s="16" t="s">
        <v>26</v>
      </c>
      <c r="D15" s="145">
        <f>D9/D7</f>
        <v>10.138888888888889</v>
      </c>
      <c r="E15" s="17"/>
      <c r="F15" s="1"/>
      <c r="G15" s="1"/>
      <c r="H15" s="1"/>
    </row>
    <row r="16" spans="1:8" ht="15.75">
      <c r="A16" s="1"/>
      <c r="B16" s="15"/>
      <c r="C16" s="16" t="s">
        <v>27</v>
      </c>
      <c r="D16" s="75">
        <f>D8*D15</f>
        <v>591097.22222222225</v>
      </c>
      <c r="E16" s="17"/>
      <c r="F16" s="1"/>
      <c r="G16" s="1"/>
      <c r="H16" s="1"/>
    </row>
    <row r="17" spans="1:8" ht="15.75" thickBot="1">
      <c r="A17" s="1"/>
      <c r="B17" s="18"/>
      <c r="C17" s="19"/>
      <c r="D17" s="19"/>
      <c r="E17" s="20"/>
      <c r="F17" s="1"/>
      <c r="G17" s="1"/>
      <c r="H17" s="1"/>
    </row>
    <row r="18" spans="1:8" ht="15">
      <c r="A18" s="1"/>
      <c r="B18" s="1"/>
      <c r="C18" s="1"/>
      <c r="D18" s="1"/>
      <c r="E18" s="1"/>
      <c r="F18" s="1"/>
      <c r="G18" s="1"/>
      <c r="H18" s="1"/>
    </row>
    <row r="19" spans="1:8" ht="15">
      <c r="A19" s="1"/>
      <c r="B19" s="1"/>
      <c r="C19" s="1"/>
      <c r="D19" s="1"/>
      <c r="E19" s="1"/>
      <c r="F19" s="1"/>
      <c r="G19" s="1"/>
      <c r="H19" s="1"/>
    </row>
    <row r="20" spans="1:8" ht="15">
      <c r="A20" s="1"/>
      <c r="B20" s="1"/>
      <c r="C20" s="1"/>
      <c r="D20" s="1"/>
      <c r="E20" s="1"/>
      <c r="F20" s="1"/>
      <c r="G20" s="1"/>
      <c r="H20" s="1"/>
    </row>
    <row r="21" spans="1:8" ht="15">
      <c r="A21" s="1"/>
      <c r="B21" s="1"/>
      <c r="C21" s="1"/>
      <c r="D21" s="1"/>
      <c r="E21" s="1"/>
      <c r="F21" s="1"/>
      <c r="G21" s="1"/>
      <c r="H21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3"/>
  <sheetViews>
    <sheetView workbookViewId="0"/>
  </sheetViews>
  <sheetFormatPr defaultRowHeight="12.75"/>
  <cols>
    <col min="2" max="2" width="3" customWidth="1"/>
    <col min="3" max="3" width="24.42578125" customWidth="1"/>
    <col min="4" max="4" width="18.140625" customWidth="1"/>
    <col min="5" max="5" width="3.5703125" customWidth="1"/>
    <col min="6" max="6" width="5.85546875" bestFit="1" customWidth="1"/>
    <col min="7" max="7" width="3.140625" customWidth="1"/>
    <col min="8" max="8" width="18.140625" customWidth="1"/>
    <col min="9" max="9" width="18.28515625" customWidth="1"/>
    <col min="10" max="10" width="3.140625" customWidth="1"/>
  </cols>
  <sheetData>
    <row r="1" spans="1:10" ht="18">
      <c r="A1" s="1"/>
      <c r="B1" s="1"/>
      <c r="C1" s="143" t="s">
        <v>197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28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4"/>
      <c r="E6" s="4"/>
      <c r="F6" s="4"/>
      <c r="G6" s="5"/>
      <c r="H6" s="1"/>
      <c r="I6" s="1"/>
      <c r="J6" s="1"/>
    </row>
    <row r="7" spans="1:10" ht="15">
      <c r="A7" s="1"/>
      <c r="B7" s="6"/>
      <c r="C7" s="11" t="s">
        <v>29</v>
      </c>
      <c r="D7" s="64">
        <v>4900</v>
      </c>
      <c r="E7" s="64"/>
      <c r="F7" s="64"/>
      <c r="G7" s="80"/>
      <c r="H7" s="1"/>
      <c r="I7" s="1"/>
      <c r="J7" s="1"/>
    </row>
    <row r="8" spans="1:10" ht="15">
      <c r="A8" s="1"/>
      <c r="B8" s="6"/>
      <c r="C8" s="11" t="s">
        <v>3</v>
      </c>
      <c r="D8" s="81">
        <v>495</v>
      </c>
      <c r="E8" s="82"/>
      <c r="F8" s="82"/>
      <c r="G8" s="80"/>
      <c r="H8" s="1"/>
      <c r="I8" s="1"/>
      <c r="J8" s="1"/>
    </row>
    <row r="9" spans="1:10" ht="15">
      <c r="A9" s="1"/>
      <c r="B9" s="6"/>
      <c r="C9" s="30" t="s">
        <v>90</v>
      </c>
      <c r="D9" s="66">
        <v>0.01</v>
      </c>
      <c r="E9" s="83" t="s">
        <v>91</v>
      </c>
      <c r="F9" s="57">
        <v>10</v>
      </c>
      <c r="G9" s="80"/>
      <c r="H9" s="1"/>
      <c r="I9" s="1"/>
      <c r="J9" s="1"/>
    </row>
    <row r="10" spans="1:10" ht="15">
      <c r="A10" s="1"/>
      <c r="B10" s="6"/>
      <c r="C10" s="30" t="s">
        <v>4</v>
      </c>
      <c r="D10" s="64">
        <v>40</v>
      </c>
      <c r="E10" s="64"/>
      <c r="F10" s="64"/>
      <c r="G10" s="80"/>
      <c r="H10" s="1"/>
      <c r="I10" s="1"/>
      <c r="J10" s="1"/>
    </row>
    <row r="11" spans="1:10" ht="15">
      <c r="A11" s="1"/>
      <c r="B11" s="6"/>
      <c r="C11" s="30" t="s">
        <v>17</v>
      </c>
      <c r="D11" s="66">
        <v>0.4</v>
      </c>
      <c r="E11" s="66"/>
      <c r="F11" s="66"/>
      <c r="G11" s="80"/>
      <c r="H11" s="1"/>
      <c r="I11" s="1"/>
      <c r="J11" s="1"/>
    </row>
    <row r="12" spans="1:10" ht="15">
      <c r="A12" s="1"/>
      <c r="B12" s="6"/>
      <c r="C12" s="30" t="s">
        <v>107</v>
      </c>
      <c r="D12" s="66">
        <v>0.02</v>
      </c>
      <c r="E12" s="83" t="s">
        <v>91</v>
      </c>
      <c r="F12" s="57">
        <v>10</v>
      </c>
      <c r="G12" s="80"/>
      <c r="H12" s="1"/>
      <c r="I12" s="1"/>
      <c r="J12" s="1"/>
    </row>
    <row r="13" spans="1:10" ht="15">
      <c r="A13" s="1"/>
      <c r="B13" s="6"/>
      <c r="C13" s="30" t="s">
        <v>108</v>
      </c>
      <c r="D13" s="64">
        <v>30</v>
      </c>
      <c r="E13" s="64"/>
      <c r="F13" s="64"/>
      <c r="G13" s="80"/>
      <c r="H13" s="1"/>
      <c r="I13" s="1"/>
      <c r="J13" s="1"/>
    </row>
    <row r="14" spans="1:10" ht="15.75" thickBot="1">
      <c r="A14" s="1"/>
      <c r="B14" s="8"/>
      <c r="C14" s="9"/>
      <c r="D14" s="9"/>
      <c r="E14" s="9"/>
      <c r="F14" s="9"/>
      <c r="G14" s="10"/>
      <c r="H14" s="1"/>
      <c r="I14" s="1"/>
      <c r="J14" s="1"/>
    </row>
    <row r="15" spans="1:10" ht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"/>
      <c r="C16" s="2" t="s">
        <v>2</v>
      </c>
      <c r="D16" s="1"/>
      <c r="E16" s="1"/>
      <c r="F16" s="1"/>
      <c r="G16" s="1"/>
      <c r="H16" s="1"/>
      <c r="I16" s="1"/>
      <c r="J16" s="1"/>
    </row>
    <row r="17" spans="1:10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>
      <c r="A18" s="1"/>
      <c r="B18" s="12"/>
      <c r="C18" s="13"/>
      <c r="D18" s="13"/>
      <c r="E18" s="13"/>
      <c r="F18" s="13"/>
      <c r="G18" s="14"/>
      <c r="H18" s="1"/>
      <c r="I18" s="1"/>
      <c r="J18" s="1"/>
    </row>
    <row r="19" spans="1:10" ht="15">
      <c r="A19" s="1"/>
      <c r="B19" s="15"/>
      <c r="C19" s="16" t="s">
        <v>30</v>
      </c>
      <c r="D19" s="84">
        <f>D7*D8</f>
        <v>2425500</v>
      </c>
      <c r="E19" s="23"/>
      <c r="F19" s="23"/>
      <c r="G19" s="17"/>
      <c r="H19" s="1"/>
      <c r="I19" s="1"/>
      <c r="J19" s="1"/>
    </row>
    <row r="20" spans="1:10" ht="15">
      <c r="A20" s="1"/>
      <c r="B20" s="15"/>
      <c r="C20" s="16" t="s">
        <v>16</v>
      </c>
      <c r="D20" s="71">
        <f>((D11*F9)+(((1-D11)*D10)))</f>
        <v>28</v>
      </c>
      <c r="E20" s="21"/>
      <c r="F20" s="21"/>
      <c r="G20" s="17"/>
      <c r="H20" s="1"/>
      <c r="I20" s="1"/>
      <c r="J20" s="1"/>
    </row>
    <row r="21" spans="1:10" ht="15">
      <c r="A21" s="1"/>
      <c r="B21" s="15"/>
      <c r="C21" s="16" t="s">
        <v>26</v>
      </c>
      <c r="D21" s="85">
        <f>365/D20</f>
        <v>13.035714285714286</v>
      </c>
      <c r="E21" s="31"/>
      <c r="F21" s="31"/>
      <c r="G21" s="17"/>
      <c r="H21" s="1"/>
      <c r="I21" s="1"/>
      <c r="J21" s="1"/>
    </row>
    <row r="22" spans="1:10" ht="15.75">
      <c r="A22" s="1"/>
      <c r="B22" s="15"/>
      <c r="C22" s="16" t="s">
        <v>31</v>
      </c>
      <c r="D22" s="29">
        <f>D19/D21</f>
        <v>186065.75342465754</v>
      </c>
      <c r="E22" s="79"/>
      <c r="F22" s="79"/>
      <c r="G22" s="17"/>
      <c r="H22" s="1"/>
      <c r="I22" s="1"/>
      <c r="J22" s="1"/>
    </row>
    <row r="23" spans="1:10" ht="15">
      <c r="A23" s="1"/>
      <c r="B23" s="15"/>
      <c r="C23" s="16"/>
      <c r="D23" s="16"/>
      <c r="E23" s="16"/>
      <c r="F23" s="16"/>
      <c r="G23" s="17"/>
      <c r="H23" s="1"/>
      <c r="I23" s="1"/>
      <c r="J23" s="1"/>
    </row>
    <row r="24" spans="1:10" ht="15">
      <c r="A24" s="1"/>
      <c r="B24" s="15"/>
      <c r="C24" s="16" t="s">
        <v>109</v>
      </c>
      <c r="D24" s="16"/>
      <c r="E24" s="16"/>
      <c r="F24" s="16"/>
      <c r="G24" s="17"/>
      <c r="H24" s="1"/>
      <c r="I24" s="1"/>
      <c r="J24" s="1"/>
    </row>
    <row r="25" spans="1:10" ht="15.75">
      <c r="A25" s="1"/>
      <c r="B25" s="15"/>
      <c r="C25" s="16" t="s">
        <v>110</v>
      </c>
      <c r="D25" s="27"/>
      <c r="E25" s="27"/>
      <c r="F25" s="27"/>
      <c r="G25" s="17"/>
      <c r="H25" s="1"/>
      <c r="I25" s="1"/>
      <c r="J25" s="1"/>
    </row>
    <row r="26" spans="1:10" ht="15.75">
      <c r="A26" s="1"/>
      <c r="B26" s="15"/>
      <c r="C26" s="16" t="s">
        <v>111</v>
      </c>
      <c r="D26" s="25"/>
      <c r="E26" s="25"/>
      <c r="F26" s="25"/>
      <c r="G26" s="17"/>
      <c r="H26" s="1"/>
      <c r="I26" s="1"/>
      <c r="J26" s="1"/>
    </row>
    <row r="27" spans="1:10" ht="15.75">
      <c r="A27" s="1"/>
      <c r="B27" s="15"/>
      <c r="C27" s="16" t="s">
        <v>112</v>
      </c>
      <c r="D27" s="25"/>
      <c r="E27" s="25"/>
      <c r="F27" s="25"/>
      <c r="G27" s="17"/>
      <c r="H27" s="1"/>
      <c r="I27" s="1"/>
      <c r="J27" s="1"/>
    </row>
    <row r="28" spans="1:10" ht="15.75">
      <c r="A28" s="1"/>
      <c r="B28" s="15"/>
      <c r="C28" s="16" t="s">
        <v>113</v>
      </c>
      <c r="D28" s="25"/>
      <c r="E28" s="25"/>
      <c r="F28" s="25"/>
      <c r="G28" s="17"/>
      <c r="H28" s="1"/>
      <c r="I28" s="1"/>
      <c r="J28" s="1"/>
    </row>
    <row r="29" spans="1:10" ht="15.75" thickBot="1">
      <c r="A29" s="1"/>
      <c r="B29" s="18"/>
      <c r="C29" s="19"/>
      <c r="D29" s="19"/>
      <c r="E29" s="19"/>
      <c r="F29" s="19"/>
      <c r="G29" s="20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60"/>
  <sheetViews>
    <sheetView workbookViewId="0"/>
  </sheetViews>
  <sheetFormatPr defaultRowHeight="12.75"/>
  <cols>
    <col min="2" max="2" width="3" customWidth="1"/>
    <col min="3" max="3" width="24.42578125" customWidth="1"/>
    <col min="4" max="4" width="18.140625" customWidth="1"/>
    <col min="5" max="5" width="3.140625" customWidth="1"/>
    <col min="6" max="6" width="18.140625" customWidth="1"/>
    <col min="7" max="7" width="18.28515625" customWidth="1"/>
    <col min="8" max="8" width="3.140625" customWidth="1"/>
  </cols>
  <sheetData>
    <row r="1" spans="1:8" ht="18">
      <c r="A1" s="1"/>
      <c r="B1" s="1"/>
      <c r="C1" s="143" t="s">
        <v>197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32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30" t="s">
        <v>4</v>
      </c>
      <c r="D7" s="64">
        <v>30</v>
      </c>
      <c r="E7" s="7"/>
      <c r="F7" s="1"/>
      <c r="G7" s="1"/>
      <c r="H7" s="1"/>
    </row>
    <row r="8" spans="1:8" ht="15.75" customHeight="1">
      <c r="A8" s="1"/>
      <c r="B8" s="6"/>
      <c r="C8" s="30" t="s">
        <v>33</v>
      </c>
      <c r="D8" s="64">
        <v>6</v>
      </c>
      <c r="E8" s="7"/>
      <c r="F8" s="1"/>
      <c r="G8" s="1"/>
      <c r="H8" s="1"/>
    </row>
    <row r="9" spans="1:8" ht="15.75" customHeight="1">
      <c r="A9" s="1"/>
      <c r="B9" s="6"/>
      <c r="C9" s="30" t="s">
        <v>27</v>
      </c>
      <c r="D9" s="55">
        <v>9300000</v>
      </c>
      <c r="E9" s="7"/>
      <c r="F9" s="1"/>
      <c r="G9" s="1"/>
      <c r="H9" s="1"/>
    </row>
    <row r="10" spans="1:8" ht="15.75" customHeight="1" thickBot="1">
      <c r="A10" s="1"/>
      <c r="B10" s="8"/>
      <c r="C10" s="9"/>
      <c r="D10" s="9"/>
      <c r="E10" s="10"/>
      <c r="F10" s="1"/>
      <c r="G10" s="1"/>
      <c r="H10" s="1"/>
    </row>
    <row r="11" spans="1:8" ht="15.75" customHeight="1">
      <c r="A11" s="1"/>
      <c r="B11" s="1"/>
      <c r="C11" s="1"/>
      <c r="D11" s="1"/>
      <c r="E11" s="1"/>
      <c r="F11" s="1"/>
      <c r="G11" s="1"/>
      <c r="H11" s="1"/>
    </row>
    <row r="12" spans="1:8" ht="15.75" customHeight="1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customHeight="1" thickBot="1">
      <c r="A13" s="1"/>
      <c r="B13" s="1"/>
      <c r="C13" s="1"/>
      <c r="D13" s="1"/>
      <c r="E13" s="1"/>
      <c r="F13" s="1"/>
      <c r="G13" s="1"/>
      <c r="H13" s="1"/>
    </row>
    <row r="14" spans="1:8" ht="15.75" customHeight="1">
      <c r="A14" s="1"/>
      <c r="B14" s="12"/>
      <c r="C14" s="13"/>
      <c r="D14" s="13"/>
      <c r="E14" s="14"/>
      <c r="F14" s="1"/>
      <c r="G14" s="1"/>
      <c r="H14" s="1"/>
    </row>
    <row r="15" spans="1:8" ht="15.75" customHeight="1">
      <c r="A15" s="1"/>
      <c r="B15" s="15"/>
      <c r="C15" s="16" t="s">
        <v>16</v>
      </c>
      <c r="D15" s="87">
        <f>D7+D8</f>
        <v>36</v>
      </c>
      <c r="E15" s="17"/>
      <c r="F15" s="1"/>
      <c r="G15" s="1"/>
      <c r="H15" s="1"/>
    </row>
    <row r="16" spans="1:8" ht="15.75" customHeight="1">
      <c r="A16" s="1"/>
      <c r="B16" s="15"/>
      <c r="C16" s="16" t="s">
        <v>26</v>
      </c>
      <c r="D16" s="86">
        <f>365/D15</f>
        <v>10.138888888888889</v>
      </c>
      <c r="E16" s="17"/>
      <c r="F16" s="1"/>
      <c r="G16" s="1"/>
      <c r="H16" s="1"/>
    </row>
    <row r="17" spans="1:8" ht="15.75" customHeight="1">
      <c r="A17" s="1"/>
      <c r="B17" s="15"/>
      <c r="C17" s="16" t="s">
        <v>34</v>
      </c>
      <c r="D17" s="29">
        <f>D9/D16</f>
        <v>917260.27397260268</v>
      </c>
      <c r="E17" s="17"/>
      <c r="F17" s="1"/>
      <c r="G17" s="1"/>
      <c r="H17" s="1"/>
    </row>
    <row r="18" spans="1:8" ht="15.75" customHeight="1" thickBot="1">
      <c r="A18" s="1"/>
      <c r="B18" s="18"/>
      <c r="C18" s="19"/>
      <c r="D18" s="19"/>
      <c r="E18" s="20"/>
      <c r="F18" s="1"/>
      <c r="G18" s="1"/>
      <c r="H18" s="1"/>
    </row>
    <row r="19" spans="1:8" ht="15.75" customHeight="1">
      <c r="A19" s="1"/>
      <c r="B19" s="1"/>
      <c r="C19" s="1"/>
      <c r="D19" s="1"/>
      <c r="E19" s="1"/>
      <c r="F19" s="1"/>
      <c r="G19" s="1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/>
    <row r="24" spans="1:8" ht="15.75" customHeight="1"/>
    <row r="25" spans="1:8" ht="15.75" customHeight="1"/>
    <row r="26" spans="1:8" ht="15.75" customHeight="1"/>
    <row r="27" spans="1:8" ht="15.75" customHeight="1"/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2</vt:i4>
      </vt:variant>
    </vt:vector>
  </HeadingPairs>
  <TitlesOfParts>
    <vt:vector size="30" baseType="lpstr">
      <vt:lpstr>Chapter 28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App #1</vt:lpstr>
      <vt:lpstr>App #2</vt:lpstr>
      <vt:lpstr>App #3</vt:lpstr>
      <vt:lpstr>App #4</vt:lpstr>
      <vt:lpstr>App #5</vt:lpstr>
      <vt:lpstr>'#16'!Print_Area</vt:lpstr>
      <vt:lpstr>'App #4'!Print_Area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2004-10-13T20:28:02Z</cp:lastPrinted>
  <dcterms:created xsi:type="dcterms:W3CDTF">2002-05-24T15:37:46Z</dcterms:created>
  <dcterms:modified xsi:type="dcterms:W3CDTF">2012-11-06T11:01:38Z</dcterms:modified>
</cp:coreProperties>
</file>