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55" windowWidth="11055" windowHeight="7065"/>
  </bookViews>
  <sheets>
    <sheet name="Chapter 19" sheetId="22" r:id="rId1"/>
    <sheet name="#1" sheetId="1" r:id="rId2"/>
    <sheet name="#2" sheetId="23" r:id="rId3"/>
    <sheet name="#3" sheetId="24" r:id="rId4"/>
    <sheet name="#4" sheetId="25" r:id="rId5"/>
    <sheet name="#5" sheetId="26" r:id="rId6"/>
    <sheet name="#6" sheetId="27" r:id="rId7"/>
    <sheet name="#7" sheetId="28" r:id="rId8"/>
    <sheet name="#8" sheetId="29" r:id="rId9"/>
    <sheet name="#9" sheetId="30" r:id="rId10"/>
    <sheet name="#10" sheetId="38" r:id="rId11"/>
    <sheet name="#11" sheetId="35" r:id="rId12"/>
    <sheet name="#12" sheetId="36" r:id="rId13"/>
    <sheet name="#13" sheetId="37" r:id="rId14"/>
    <sheet name="#14" sheetId="39" r:id="rId15"/>
    <sheet name="#15" sheetId="40" r:id="rId16"/>
    <sheet name="#16" sheetId="41" r:id="rId17"/>
    <sheet name="#17" sheetId="20" r:id="rId18"/>
    <sheet name="#18" sheetId="21" r:id="rId19"/>
    <sheet name="#19" sheetId="42" r:id="rId20"/>
    <sheet name="#20" sheetId="43" r:id="rId21"/>
  </sheets>
  <calcPr calcId="114210"/>
</workbook>
</file>

<file path=xl/calcChain.xml><?xml version="1.0" encoding="utf-8"?>
<calcChain xmlns="http://schemas.openxmlformats.org/spreadsheetml/2006/main">
  <c r="D38" i="39"/>
  <c r="D31"/>
  <c r="D22" i="35"/>
  <c r="D13" i="29"/>
  <c r="D15" i="30"/>
  <c r="D13" i="28"/>
  <c r="G13"/>
  <c r="G12"/>
  <c r="D19"/>
  <c r="D13" i="26"/>
  <c r="G11"/>
  <c r="D11" i="23"/>
  <c r="D17" i="43"/>
  <c r="D15"/>
  <c r="D26" i="42"/>
  <c r="D27"/>
  <c r="D28"/>
  <c r="D29"/>
  <c r="D30"/>
  <c r="D32"/>
  <c r="D33"/>
  <c r="D35"/>
  <c r="D39"/>
  <c r="D47"/>
  <c r="D43"/>
  <c r="D20"/>
  <c r="D21"/>
  <c r="D23"/>
  <c r="D25" i="21"/>
  <c r="D24"/>
  <c r="D23"/>
  <c r="D19" i="41"/>
  <c r="D17"/>
  <c r="D19" i="40"/>
  <c r="D20"/>
  <c r="D17"/>
  <c r="D21"/>
  <c r="D24" i="39"/>
  <c r="D25"/>
  <c r="D27"/>
  <c r="D29"/>
  <c r="D17"/>
  <c r="D19"/>
  <c r="D20"/>
  <c r="D22"/>
  <c r="D22" i="38"/>
  <c r="D20"/>
  <c r="D18"/>
  <c r="D29" i="23"/>
  <c r="D15" i="20"/>
  <c r="D17"/>
  <c r="D17" i="37"/>
  <c r="D18"/>
  <c r="D23"/>
  <c r="D25"/>
  <c r="D27"/>
  <c r="D30"/>
  <c r="D11" i="36"/>
  <c r="D10"/>
  <c r="D9"/>
  <c r="D8"/>
  <c r="D16" i="35"/>
  <c r="D18"/>
  <c r="D20"/>
  <c r="D24"/>
  <c r="D14" i="30"/>
  <c r="D13"/>
  <c r="D12"/>
  <c r="D11"/>
  <c r="E22"/>
  <c r="D19" i="29"/>
  <c r="D20"/>
  <c r="D22"/>
  <c r="D25"/>
  <c r="D21" i="28"/>
  <c r="D14" i="27"/>
  <c r="D13"/>
  <c r="D12"/>
  <c r="D9"/>
  <c r="F28"/>
  <c r="D8"/>
  <c r="G22" i="26"/>
  <c r="D25"/>
  <c r="D26"/>
  <c r="E18" i="25"/>
  <c r="E19"/>
  <c r="E20"/>
  <c r="E21"/>
  <c r="E23"/>
  <c r="E24"/>
  <c r="E25"/>
  <c r="E26"/>
  <c r="D12" i="24"/>
  <c r="D11"/>
  <c r="D10"/>
  <c r="D9"/>
  <c r="D8"/>
  <c r="D7"/>
  <c r="D20"/>
  <c r="D22"/>
  <c r="D26"/>
  <c r="D22" i="23"/>
  <c r="D23"/>
  <c r="D24"/>
  <c r="D27"/>
  <c r="D31"/>
  <c r="D32"/>
  <c r="D33"/>
  <c r="D36"/>
  <c r="D38"/>
  <c r="D15" i="1"/>
  <c r="D17"/>
  <c r="D25" i="30"/>
  <c r="D26"/>
  <c r="D27"/>
  <c r="D23" i="28"/>
  <c r="D7" i="27"/>
  <c r="G21"/>
  <c r="D27" i="26"/>
  <c r="D44" i="42"/>
  <c r="D34" i="37"/>
  <c r="D35"/>
  <c r="D20"/>
  <c r="D31"/>
  <c r="D17" i="36"/>
  <c r="D26" i="35"/>
  <c r="D29"/>
  <c r="D18" i="36"/>
  <c r="D20"/>
  <c r="D23"/>
  <c r="D26"/>
  <c r="D27" i="29"/>
  <c r="G13" i="26"/>
  <c r="G14" i="27"/>
  <c r="D19" i="26"/>
  <c r="D20"/>
  <c r="G25"/>
  <c r="G27"/>
  <c r="G12" i="27"/>
  <c r="G22"/>
  <c r="G23"/>
  <c r="G24"/>
  <c r="F27"/>
  <c r="D28"/>
  <c r="D24" i="24"/>
  <c r="D27" i="36"/>
  <c r="D35" i="39"/>
  <c r="D36"/>
  <c r="D48" i="42"/>
  <c r="D49"/>
  <c r="D51"/>
  <c r="D52"/>
  <c r="D23" i="40"/>
  <c r="D24" i="29"/>
  <c r="D26"/>
  <c r="D35" i="23"/>
  <c r="D37"/>
  <c r="D26"/>
  <c r="D28"/>
  <c r="D30" i="35"/>
  <c r="G25" i="27"/>
</calcChain>
</file>

<file path=xl/sharedStrings.xml><?xml version="1.0" encoding="utf-8"?>
<sst xmlns="http://schemas.openxmlformats.org/spreadsheetml/2006/main" count="461" uniqueCount="224">
  <si>
    <t>Question 1</t>
  </si>
  <si>
    <t>Input Area:</t>
  </si>
  <si>
    <t>Output Area:</t>
  </si>
  <si>
    <t>Dividend per share</t>
  </si>
  <si>
    <t>Tax rate</t>
  </si>
  <si>
    <t>Price</t>
  </si>
  <si>
    <t>After-tax Dividend</t>
  </si>
  <si>
    <t>Ex-dividend price</t>
  </si>
  <si>
    <t>Question 2</t>
  </si>
  <si>
    <t>Question 3</t>
  </si>
  <si>
    <t>Stock dividend</t>
  </si>
  <si>
    <t>Common stock</t>
  </si>
  <si>
    <t>Capital surplus</t>
  </si>
  <si>
    <t>Retained earnings</t>
  </si>
  <si>
    <t>Total owners'Equity</t>
  </si>
  <si>
    <t>New shares issued</t>
  </si>
  <si>
    <t>New shares outstanding</t>
  </si>
  <si>
    <t>Capital surplus on new shares</t>
  </si>
  <si>
    <t>Question 4</t>
  </si>
  <si>
    <t>Stock split</t>
  </si>
  <si>
    <t>Shares outstanding</t>
  </si>
  <si>
    <t>Stock split (shares)</t>
  </si>
  <si>
    <t>Question 5</t>
  </si>
  <si>
    <t xml:space="preserve">Cash </t>
  </si>
  <si>
    <t>Fixed assets</t>
  </si>
  <si>
    <t>Total</t>
  </si>
  <si>
    <r>
      <t xml:space="preserve">        </t>
    </r>
    <r>
      <rPr>
        <i/>
        <sz val="12"/>
        <rFont val="Arial"/>
        <family val="2"/>
      </rPr>
      <t xml:space="preserve">                      Market Value Balance Sheet</t>
    </r>
  </si>
  <si>
    <t>Equity</t>
  </si>
  <si>
    <t>Question 6</t>
  </si>
  <si>
    <t>Repurchase</t>
  </si>
  <si>
    <t>Shares bought</t>
  </si>
  <si>
    <t xml:space="preserve">The repurchase is effectively the same as the cash dividend because </t>
  </si>
  <si>
    <t>dividend payout percentage; you are unaffected.</t>
  </si>
  <si>
    <t>Question 7</t>
  </si>
  <si>
    <t>Debt</t>
  </si>
  <si>
    <t>Question 8</t>
  </si>
  <si>
    <t>Total owners' equity</t>
  </si>
  <si>
    <t>Question 9</t>
  </si>
  <si>
    <t xml:space="preserve">Stock split </t>
  </si>
  <si>
    <t>Dividend increase</t>
  </si>
  <si>
    <t>Dividends this year</t>
  </si>
  <si>
    <t>Last year's dividend</t>
  </si>
  <si>
    <t>Dividends per share</t>
  </si>
  <si>
    <t>Question 10</t>
  </si>
  <si>
    <t>Question 11</t>
  </si>
  <si>
    <t>Earnings per share</t>
  </si>
  <si>
    <t>Question 12</t>
  </si>
  <si>
    <t>Question 13</t>
  </si>
  <si>
    <t>Question 14</t>
  </si>
  <si>
    <t>Required return</t>
  </si>
  <si>
    <t>Liquidating dividend</t>
  </si>
  <si>
    <t>Cash flow at time 2</t>
  </si>
  <si>
    <t>Question 15</t>
  </si>
  <si>
    <t>Question 16</t>
  </si>
  <si>
    <t xml:space="preserve">Extra dividend </t>
  </si>
  <si>
    <t>Price per share</t>
  </si>
  <si>
    <t>DPS</t>
  </si>
  <si>
    <t>Cash Dividend:</t>
  </si>
  <si>
    <t>Repurchase:</t>
  </si>
  <si>
    <t>repurchased, you have $30 in cash; if you</t>
  </si>
  <si>
    <t>P/E</t>
  </si>
  <si>
    <t>A share repurchase would seem to be the</t>
  </si>
  <si>
    <t>preferred course of action.  Only those</t>
  </si>
  <si>
    <t>shareholders who wish to sell will do so,</t>
  </si>
  <si>
    <t>giving the shareholder a tax timing option</t>
  </si>
  <si>
    <t>that he or she doesn't get with a dividend</t>
  </si>
  <si>
    <t>payment.</t>
  </si>
  <si>
    <t>Question 17</t>
  </si>
  <si>
    <t xml:space="preserve">Dividend yield </t>
  </si>
  <si>
    <t>Stock price growth rate</t>
  </si>
  <si>
    <t>Growth rate</t>
  </si>
  <si>
    <t>Question 18</t>
  </si>
  <si>
    <t>Pretax return</t>
  </si>
  <si>
    <t>Since different investors have widely tax rates</t>
  </si>
  <si>
    <t>on ordinary income and capital gains, then</t>
  </si>
  <si>
    <t>differential taxation among investors is one</t>
  </si>
  <si>
    <t>aspect of what we have called the clientele</t>
  </si>
  <si>
    <t>effect.</t>
  </si>
  <si>
    <t>Input boxes in tan</t>
  </si>
  <si>
    <t>Output boxes in yellow</t>
  </si>
  <si>
    <t>Given data in blue</t>
  </si>
  <si>
    <t>Calculations in red</t>
  </si>
  <si>
    <t>Answers in green</t>
  </si>
  <si>
    <t>a.</t>
  </si>
  <si>
    <t>b.</t>
  </si>
  <si>
    <t>Par value</t>
  </si>
  <si>
    <t>Stock price</t>
  </si>
  <si>
    <t xml:space="preserve">for </t>
  </si>
  <si>
    <t>The accounts are unchanged except that</t>
  </si>
  <si>
    <t>par value is now</t>
  </si>
  <si>
    <t>for</t>
  </si>
  <si>
    <t>c.</t>
  </si>
  <si>
    <t>d.</t>
  </si>
  <si>
    <t>e.</t>
  </si>
  <si>
    <r>
      <t>Price</t>
    </r>
    <r>
      <rPr>
        <vertAlign val="subscript"/>
        <sz val="12"/>
        <rFont val="Arial"/>
        <family val="2"/>
      </rPr>
      <t>0</t>
    </r>
  </si>
  <si>
    <r>
      <t>Price</t>
    </r>
    <r>
      <rPr>
        <vertAlign val="subscript"/>
        <sz val="12"/>
        <rFont val="Arial"/>
        <family val="2"/>
      </rPr>
      <t>X</t>
    </r>
  </si>
  <si>
    <t>The equity and cash accounts will decline by:</t>
  </si>
  <si>
    <t xml:space="preserve">Repurchasing the shares will reduce  </t>
  </si>
  <si>
    <t>shareholders' equity by</t>
  </si>
  <si>
    <t>Price after repurchase</t>
  </si>
  <si>
    <t xml:space="preserve">you either hold a share worth </t>
  </si>
  <si>
    <t xml:space="preserve">or a share worth </t>
  </si>
  <si>
    <t>and</t>
  </si>
  <si>
    <t>in cash.</t>
  </si>
  <si>
    <t xml:space="preserve">Therefore you participate in the repurchase according to the </t>
  </si>
  <si>
    <t>for new shares</t>
  </si>
  <si>
    <t xml:space="preserve">Dividend </t>
  </si>
  <si>
    <t>The equity accounts are unchanged except</t>
  </si>
  <si>
    <t>the new par value of the stock is</t>
  </si>
  <si>
    <t>per share.</t>
  </si>
  <si>
    <t>Shares owned</t>
  </si>
  <si>
    <t>Stock price today</t>
  </si>
  <si>
    <t>Equal dividend amount</t>
  </si>
  <si>
    <t>Stock price in one year</t>
  </si>
  <si>
    <t>You want</t>
  </si>
  <si>
    <t xml:space="preserve">in one year but you </t>
  </si>
  <si>
    <t>will only get</t>
  </si>
  <si>
    <t>You need to sell</t>
  </si>
  <si>
    <t>shares at time 1.</t>
  </si>
  <si>
    <t>Cash flow at time 1</t>
  </si>
  <si>
    <t>Dividend desired in year 1</t>
  </si>
  <si>
    <t>Dividend paid in year 2</t>
  </si>
  <si>
    <t xml:space="preserve">You will buy </t>
  </si>
  <si>
    <t>Your dividend in year 2 is</t>
  </si>
  <si>
    <t>PV of homemade dividend</t>
  </si>
  <si>
    <t>PV of current dividends</t>
  </si>
  <si>
    <t>The wealth of a shareholder who is</t>
  </si>
  <si>
    <t>holding one share is</t>
  </si>
  <si>
    <t>Shares repurchased</t>
  </si>
  <si>
    <t>If you choose to let your shares be</t>
  </si>
  <si>
    <t>in cash. If you keep your shares they are</t>
  </si>
  <si>
    <t>still worth</t>
  </si>
  <si>
    <t>EPS</t>
  </si>
  <si>
    <t>Discount rate</t>
  </si>
  <si>
    <t>Dividend in one year</t>
  </si>
  <si>
    <t>Initial investment amount</t>
  </si>
  <si>
    <t>Net income earned</t>
  </si>
  <si>
    <t>Shares to sell</t>
  </si>
  <si>
    <t>The MM model is not realistic since it does</t>
  </si>
  <si>
    <t>not account for taxes, brokerage fees,</t>
  </si>
  <si>
    <t>uncertainty over future cash flows, investors'</t>
  </si>
  <si>
    <t>preferences, signaling effects, and agency</t>
  </si>
  <si>
    <t>costs.</t>
  </si>
  <si>
    <t>Net income</t>
  </si>
  <si>
    <t>Payout ratio</t>
  </si>
  <si>
    <t>Expected value of firm</t>
  </si>
  <si>
    <t>Proposed dividend</t>
  </si>
  <si>
    <t>Firm value</t>
  </si>
  <si>
    <t>Current stock price</t>
  </si>
  <si>
    <t>Dividend amount</t>
  </si>
  <si>
    <t>New total dividends</t>
  </si>
  <si>
    <t>Dollars raised</t>
  </si>
  <si>
    <t>New shareholder value</t>
  </si>
  <si>
    <t xml:space="preserve">  in one year</t>
  </si>
  <si>
    <t>Old shareholder value</t>
  </si>
  <si>
    <t>Current value of firm</t>
  </si>
  <si>
    <r>
      <t xml:space="preserve">This is the same firm value as in part </t>
    </r>
    <r>
      <rPr>
        <i/>
        <sz val="12"/>
        <rFont val="Arial"/>
        <family val="2"/>
      </rPr>
      <t>a</t>
    </r>
    <r>
      <rPr>
        <sz val="12"/>
        <rFont val="Arial"/>
        <family val="2"/>
      </rPr>
      <t>.</t>
    </r>
  </si>
  <si>
    <t>PV of new future firm value</t>
  </si>
  <si>
    <t>New share price</t>
  </si>
  <si>
    <t>Question 19</t>
  </si>
  <si>
    <t>Current cash flow</t>
  </si>
  <si>
    <t>PV of expected future CF</t>
  </si>
  <si>
    <t>Dividend payout ratio</t>
  </si>
  <si>
    <t>Stockholder receives</t>
  </si>
  <si>
    <t>Shares to buy</t>
  </si>
  <si>
    <t>Question 20</t>
  </si>
  <si>
    <t>Current dividend</t>
  </si>
  <si>
    <t>Year 1 EPS</t>
  </si>
  <si>
    <t>Adjustment rate</t>
  </si>
  <si>
    <t>Next year's dividend</t>
  </si>
  <si>
    <t>The lower adjustment factor is more</t>
  </si>
  <si>
    <t>conservative.</t>
  </si>
  <si>
    <t>Personal tax rate</t>
  </si>
  <si>
    <t>Capital gains tax rate</t>
  </si>
  <si>
    <t>D</t>
  </si>
  <si>
    <t>Corporate (with 70% exclusion)</t>
  </si>
  <si>
    <r>
      <t>P</t>
    </r>
    <r>
      <rPr>
        <vertAlign val="subscript"/>
        <sz val="12"/>
        <rFont val="Arial"/>
        <family val="2"/>
      </rPr>
      <t xml:space="preserve">0 </t>
    </r>
    <r>
      <rPr>
        <sz val="12"/>
        <rFont val="Arial"/>
        <family val="2"/>
      </rPr>
      <t>- P</t>
    </r>
    <r>
      <rPr>
        <vertAlign val="subscript"/>
        <sz val="12"/>
        <rFont val="Arial"/>
        <family val="2"/>
      </rPr>
      <t>X</t>
    </r>
    <r>
      <rPr>
        <sz val="12"/>
        <rFont val="Arial"/>
        <family val="2"/>
      </rPr>
      <t xml:space="preserve"> =</t>
    </r>
  </si>
  <si>
    <r>
      <t>P</t>
    </r>
    <r>
      <rPr>
        <vertAlign val="subscript"/>
        <sz val="12"/>
        <rFont val="Arial"/>
        <family val="2"/>
      </rPr>
      <t xml:space="preserve">0 </t>
    </r>
    <r>
      <rPr>
        <sz val="12"/>
        <rFont val="Arial"/>
        <family val="2"/>
      </rPr>
      <t>- P</t>
    </r>
    <r>
      <rPr>
        <vertAlign val="subscript"/>
        <sz val="12"/>
        <rFont val="Arial"/>
        <family val="2"/>
      </rPr>
      <t>X</t>
    </r>
    <r>
      <rPr>
        <sz val="12"/>
        <rFont val="Arial"/>
        <family val="2"/>
      </rPr>
      <t xml:space="preserve"> = </t>
    </r>
  </si>
  <si>
    <r>
      <t>P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- P</t>
    </r>
    <r>
      <rPr>
        <vertAlign val="subscript"/>
        <sz val="12"/>
        <rFont val="Arial"/>
        <family val="2"/>
      </rPr>
      <t>X</t>
    </r>
    <r>
      <rPr>
        <sz val="12"/>
        <rFont val="Arial"/>
        <family val="2"/>
      </rPr>
      <t xml:space="preserve"> = </t>
    </r>
  </si>
  <si>
    <t>implications for different investors. This</t>
  </si>
  <si>
    <t xml:space="preserve">dividend payments have different aftertax </t>
  </si>
  <si>
    <t>Dividend tax rate</t>
  </si>
  <si>
    <t xml:space="preserve">Extra cash </t>
  </si>
  <si>
    <t>Period for investment</t>
  </si>
  <si>
    <t>Treasury bill yield</t>
  </si>
  <si>
    <t>Preferred stock yield</t>
  </si>
  <si>
    <t>Corporate tax rate</t>
  </si>
  <si>
    <t>Corporate investment in T-bills:</t>
  </si>
  <si>
    <t>Aftertax T-bill yield</t>
  </si>
  <si>
    <t>FV of investment</t>
  </si>
  <si>
    <t>Aftertax cash flow</t>
  </si>
  <si>
    <t xml:space="preserve">  to shareholders</t>
  </si>
  <si>
    <t>Individual dividend tax rate</t>
  </si>
  <si>
    <t>Individual income tax rate</t>
  </si>
  <si>
    <t>Corporate investment in preferred stock:</t>
  </si>
  <si>
    <t>If the company invests the money now:</t>
  </si>
  <si>
    <t>Preferred stock dividends</t>
  </si>
  <si>
    <t>Taxable dividends</t>
  </si>
  <si>
    <t>Tax on preferred dividends</t>
  </si>
  <si>
    <t>Aftertax corporate dividend</t>
  </si>
  <si>
    <t>Aftertax preferred</t>
  </si>
  <si>
    <t xml:space="preserve">  dividend yield</t>
  </si>
  <si>
    <t>FV of preferred investment</t>
  </si>
  <si>
    <t>If the company pays a dividend now:</t>
  </si>
  <si>
    <t xml:space="preserve">Aftertax payment to </t>
  </si>
  <si>
    <t xml:space="preserve">  shareholders</t>
  </si>
  <si>
    <t>Aftertax individual yield</t>
  </si>
  <si>
    <t xml:space="preserve">  on T-bills</t>
  </si>
  <si>
    <t>Individual invests in Treasury bills:</t>
  </si>
  <si>
    <t>FV of T-bill investment</t>
  </si>
  <si>
    <t>Individual invests in preferred stock:</t>
  </si>
  <si>
    <t>Divdends excluded from tax</t>
  </si>
  <si>
    <t>Aftertax preferred dividend</t>
  </si>
  <si>
    <t>Dividend exclusion rate</t>
  </si>
  <si>
    <t>Treasury bond yield</t>
  </si>
  <si>
    <t>Individual tax rate</t>
  </si>
  <si>
    <t>Stock dividend percent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</si>
  <si>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</si>
  <si>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</si>
  <si>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</si>
  <si>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</si>
  <si>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Problems 1-20</t>
  </si>
  <si>
    <t>Chapter 19</t>
  </si>
  <si>
    <t>New equity balance</t>
  </si>
</sst>
</file>

<file path=xl/styles.xml><?xml version="1.0" encoding="utf-8"?>
<styleSheet xmlns="http://schemas.openxmlformats.org/spreadsheetml/2006/main">
  <numFmts count="12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67" formatCode="_(* #,##0.0000_);_(* \(#,##0.0000\);_(* &quot;-&quot;??_);_(@_)"/>
    <numFmt numFmtId="168" formatCode="0.0000"/>
    <numFmt numFmtId="169" formatCode="_(&quot;$&quot;* #,##0.000_);_(&quot;$&quot;* \(#,##0.000\);_(&quot;$&quot;* &quot;-&quot;???_);_(@_)"/>
    <numFmt numFmtId="170" formatCode="_(&quot;$&quot;* #,##0.00_);_(&quot;$&quot;* \(#,##0.00\);_(&quot;$&quot;* &quot;-&quot;???_);_(@_)"/>
    <numFmt numFmtId="171" formatCode="_(&quot;$&quot;* #,##0.00_);_(&quot;$&quot;* \(#,##0.00\);_(&quot;$&quot;* &quot;-&quot;_);_(@_)"/>
  </numFmts>
  <fonts count="26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8"/>
      <name val="Arial"/>
      <family val="2"/>
    </font>
    <font>
      <vertAlign val="subscript"/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9" fontId="2" fillId="2" borderId="0" xfId="3" applyFont="1" applyFill="1" applyBorder="1"/>
    <xf numFmtId="164" fontId="4" fillId="3" borderId="0" xfId="2" applyNumberFormat="1" applyFont="1" applyFill="1" applyBorder="1"/>
    <xf numFmtId="164" fontId="5" fillId="3" borderId="9" xfId="2" applyNumberFormat="1" applyFont="1" applyFill="1" applyBorder="1"/>
    <xf numFmtId="164" fontId="5" fillId="3" borderId="0" xfId="2" applyNumberFormat="1" applyFont="1" applyFill="1" applyBorder="1"/>
    <xf numFmtId="165" fontId="4" fillId="3" borderId="0" xfId="1" applyNumberFormat="1" applyFont="1" applyFill="1" applyBorder="1"/>
    <xf numFmtId="44" fontId="4" fillId="3" borderId="0" xfId="2" applyFont="1" applyFill="1" applyBorder="1"/>
    <xf numFmtId="0" fontId="2" fillId="2" borderId="0" xfId="0" applyFont="1" applyFill="1" applyBorder="1" applyAlignment="1">
      <alignment horizontal="left"/>
    </xf>
    <xf numFmtId="164" fontId="2" fillId="2" borderId="0" xfId="2" applyNumberFormat="1" applyFont="1" applyFill="1" applyBorder="1" applyAlignment="1">
      <alignment horizontal="left"/>
    </xf>
    <xf numFmtId="164" fontId="6" fillId="2" borderId="0" xfId="2" applyNumberFormat="1" applyFont="1" applyFill="1" applyBorder="1"/>
    <xf numFmtId="9" fontId="6" fillId="2" borderId="0" xfId="3" applyFont="1" applyFill="1" applyBorder="1"/>
    <xf numFmtId="0" fontId="2" fillId="0" borderId="0" xfId="0" applyFont="1" applyFill="1" applyBorder="1"/>
    <xf numFmtId="165" fontId="2" fillId="0" borderId="0" xfId="1" applyNumberFormat="1" applyFont="1" applyFill="1" applyBorder="1"/>
    <xf numFmtId="44" fontId="4" fillId="3" borderId="0" xfId="2" applyNumberFormat="1" applyFont="1" applyFill="1" applyBorder="1"/>
    <xf numFmtId="164" fontId="6" fillId="2" borderId="0" xfId="2" applyNumberFormat="1" applyFont="1" applyFill="1" applyBorder="1" applyAlignment="1">
      <alignment horizontal="right"/>
    </xf>
    <xf numFmtId="164" fontId="6" fillId="0" borderId="0" xfId="2" applyNumberFormat="1" applyFont="1" applyFill="1" applyBorder="1"/>
    <xf numFmtId="0" fontId="2" fillId="3" borderId="0" xfId="0" applyFont="1" applyFill="1" applyBorder="1" applyAlignment="1">
      <alignment horizontal="left"/>
    </xf>
    <xf numFmtId="10" fontId="5" fillId="3" borderId="9" xfId="3" applyNumberFormat="1" applyFont="1" applyFill="1" applyBorder="1"/>
    <xf numFmtId="10" fontId="5" fillId="3" borderId="0" xfId="3" applyNumberFormat="1" applyFont="1" applyFill="1" applyBorder="1"/>
    <xf numFmtId="44" fontId="5" fillId="3" borderId="0" xfId="2" applyNumberFormat="1" applyFont="1" applyFill="1" applyBorder="1"/>
    <xf numFmtId="44" fontId="5" fillId="3" borderId="9" xfId="2" applyNumberFormat="1" applyFont="1" applyFill="1" applyBorder="1"/>
    <xf numFmtId="0" fontId="3" fillId="3" borderId="0" xfId="0" applyFont="1" applyFill="1" applyBorder="1"/>
    <xf numFmtId="44" fontId="5" fillId="3" borderId="9" xfId="2" applyFont="1" applyFill="1" applyBorder="1"/>
    <xf numFmtId="43" fontId="5" fillId="3" borderId="9" xfId="1" applyFont="1" applyFill="1" applyBorder="1"/>
    <xf numFmtId="167" fontId="5" fillId="3" borderId="0" xfId="1" applyNumberFormat="1" applyFont="1" applyFill="1" applyBorder="1"/>
    <xf numFmtId="165" fontId="5" fillId="3" borderId="9" xfId="1" applyNumberFormat="1" applyFont="1" applyFill="1" applyBorder="1"/>
    <xf numFmtId="0" fontId="7" fillId="4" borderId="0" xfId="0" applyFont="1" applyFill="1" applyBorder="1"/>
    <xf numFmtId="0" fontId="7" fillId="4" borderId="0" xfId="0" applyFont="1" applyFill="1"/>
    <xf numFmtId="0" fontId="0" fillId="4" borderId="0" xfId="0" applyFill="1"/>
    <xf numFmtId="2" fontId="8" fillId="4" borderId="0" xfId="0" applyNumberFormat="1" applyFont="1" applyFill="1" applyBorder="1" applyAlignment="1"/>
    <xf numFmtId="0" fontId="9" fillId="4" borderId="0" xfId="0" applyFont="1" applyFill="1" applyBorder="1"/>
    <xf numFmtId="0" fontId="10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5" fillId="4" borderId="0" xfId="0" applyFont="1" applyFill="1" applyBorder="1"/>
    <xf numFmtId="0" fontId="0" fillId="4" borderId="0" xfId="0" applyFill="1" applyBorder="1"/>
    <xf numFmtId="44" fontId="16" fillId="2" borderId="0" xfId="2" applyFont="1" applyFill="1" applyBorder="1"/>
    <xf numFmtId="9" fontId="16" fillId="2" borderId="0" xfId="3" applyFont="1" applyFill="1" applyBorder="1"/>
    <xf numFmtId="164" fontId="16" fillId="2" borderId="0" xfId="2" applyNumberFormat="1" applyFont="1" applyFill="1" applyBorder="1"/>
    <xf numFmtId="165" fontId="16" fillId="2" borderId="0" xfId="1" applyNumberFormat="1" applyFont="1" applyFill="1" applyBorder="1"/>
    <xf numFmtId="0" fontId="3" fillId="2" borderId="4" xfId="0" applyFont="1" applyFill="1" applyBorder="1"/>
    <xf numFmtId="0" fontId="3" fillId="3" borderId="4" xfId="0" applyFont="1" applyFill="1" applyBorder="1"/>
    <xf numFmtId="165" fontId="17" fillId="3" borderId="0" xfId="1" applyNumberFormat="1" applyFont="1" applyFill="1" applyBorder="1"/>
    <xf numFmtId="41" fontId="5" fillId="3" borderId="9" xfId="2" applyNumberFormat="1" applyFont="1" applyFill="1" applyBorder="1"/>
    <xf numFmtId="42" fontId="17" fillId="3" borderId="0" xfId="2" applyNumberFormat="1" applyFont="1" applyFill="1" applyBorder="1"/>
    <xf numFmtId="41" fontId="5" fillId="3" borderId="0" xfId="2" applyNumberFormat="1" applyFont="1" applyFill="1" applyBorder="1"/>
    <xf numFmtId="164" fontId="5" fillId="3" borderId="10" xfId="2" applyNumberFormat="1" applyFont="1" applyFill="1" applyBorder="1"/>
    <xf numFmtId="164" fontId="17" fillId="3" borderId="0" xfId="2" applyNumberFormat="1" applyFont="1" applyFill="1" applyBorder="1"/>
    <xf numFmtId="42" fontId="5" fillId="3" borderId="0" xfId="2" applyNumberFormat="1" applyFont="1" applyFill="1" applyBorder="1"/>
    <xf numFmtId="42" fontId="5" fillId="3" borderId="10" xfId="2" applyNumberFormat="1" applyFont="1" applyFill="1" applyBorder="1"/>
    <xf numFmtId="41" fontId="16" fillId="2" borderId="0" xfId="2" applyNumberFormat="1" applyFont="1" applyFill="1" applyBorder="1"/>
    <xf numFmtId="41" fontId="2" fillId="2" borderId="0" xfId="2" applyNumberFormat="1" applyFont="1" applyFill="1" applyBorder="1"/>
    <xf numFmtId="41" fontId="5" fillId="3" borderId="11" xfId="2" applyNumberFormat="1" applyFont="1" applyFill="1" applyBorder="1"/>
    <xf numFmtId="164" fontId="17" fillId="2" borderId="0" xfId="2" applyNumberFormat="1" applyFont="1" applyFill="1" applyBorder="1"/>
    <xf numFmtId="44" fontId="16" fillId="2" borderId="0" xfId="2" applyNumberFormat="1" applyFont="1" applyFill="1" applyBorder="1"/>
    <xf numFmtId="41" fontId="16" fillId="2" borderId="0" xfId="1" applyNumberFormat="1" applyFont="1" applyFill="1" applyBorder="1"/>
    <xf numFmtId="41" fontId="2" fillId="2" borderId="0" xfId="1" applyNumberFormat="1" applyFont="1" applyFill="1" applyBorder="1"/>
    <xf numFmtId="10" fontId="16" fillId="2" borderId="0" xfId="1" applyNumberFormat="1" applyFont="1" applyFill="1" applyBorder="1"/>
    <xf numFmtId="43" fontId="2" fillId="2" borderId="0" xfId="1" applyFont="1" applyFill="1" applyBorder="1"/>
    <xf numFmtId="43" fontId="16" fillId="2" borderId="0" xfId="1" applyFont="1" applyFill="1" applyBorder="1"/>
    <xf numFmtId="164" fontId="5" fillId="3" borderId="12" xfId="2" applyNumberFormat="1" applyFont="1" applyFill="1" applyBorder="1"/>
    <xf numFmtId="164" fontId="2" fillId="3" borderId="0" xfId="2" applyNumberFormat="1" applyFont="1" applyFill="1" applyBorder="1" applyAlignment="1">
      <alignment horizontal="left"/>
    </xf>
    <xf numFmtId="164" fontId="17" fillId="3" borderId="10" xfId="2" applyNumberFormat="1" applyFont="1" applyFill="1" applyBorder="1"/>
    <xf numFmtId="42" fontId="17" fillId="3" borderId="0" xfId="0" applyNumberFormat="1" applyFont="1" applyFill="1" applyBorder="1"/>
    <xf numFmtId="165" fontId="17" fillId="2" borderId="0" xfId="1" applyNumberFormat="1" applyFont="1" applyFill="1" applyBorder="1"/>
    <xf numFmtId="44" fontId="17" fillId="2" borderId="0" xfId="2" applyFont="1" applyFill="1" applyBorder="1"/>
    <xf numFmtId="164" fontId="17" fillId="2" borderId="10" xfId="2" applyNumberFormat="1" applyFont="1" applyFill="1" applyBorder="1"/>
    <xf numFmtId="164" fontId="17" fillId="3" borderId="0" xfId="0" applyNumberFormat="1" applyFont="1" applyFill="1" applyBorder="1"/>
    <xf numFmtId="165" fontId="5" fillId="3" borderId="9" xfId="0" applyNumberFormat="1" applyFont="1" applyFill="1" applyBorder="1"/>
    <xf numFmtId="44" fontId="17" fillId="3" borderId="0" xfId="0" applyNumberFormat="1" applyFont="1" applyFill="1" applyBorder="1"/>
    <xf numFmtId="44" fontId="17" fillId="3" borderId="0" xfId="1" applyNumberFormat="1" applyFont="1" applyFill="1" applyBorder="1"/>
    <xf numFmtId="164" fontId="16" fillId="2" borderId="0" xfId="2" applyNumberFormat="1" applyFont="1" applyFill="1" applyBorder="1" applyAlignment="1">
      <alignment horizontal="left"/>
    </xf>
    <xf numFmtId="164" fontId="16" fillId="2" borderId="0" xfId="2" applyNumberFormat="1" applyFont="1" applyFill="1" applyBorder="1" applyAlignment="1">
      <alignment horizontal="right"/>
    </xf>
    <xf numFmtId="165" fontId="2" fillId="2" borderId="0" xfId="1" applyNumberFormat="1" applyFont="1" applyFill="1" applyBorder="1" applyAlignment="1">
      <alignment horizontal="center"/>
    </xf>
    <xf numFmtId="44" fontId="16" fillId="2" borderId="0" xfId="1" applyNumberFormat="1" applyFont="1" applyFill="1" applyBorder="1"/>
    <xf numFmtId="165" fontId="2" fillId="2" borderId="0" xfId="1" applyNumberFormat="1" applyFont="1" applyFill="1" applyBorder="1"/>
    <xf numFmtId="164" fontId="17" fillId="2" borderId="0" xfId="2" applyNumberFormat="1" applyFont="1" applyFill="1" applyBorder="1" applyAlignment="1">
      <alignment horizontal="left"/>
    </xf>
    <xf numFmtId="42" fontId="17" fillId="2" borderId="0" xfId="2" applyNumberFormat="1" applyFont="1" applyFill="1" applyBorder="1" applyAlignment="1">
      <alignment horizontal="right"/>
    </xf>
    <xf numFmtId="42" fontId="17" fillId="2" borderId="0" xfId="2" applyNumberFormat="1" applyFont="1" applyFill="1" applyBorder="1"/>
    <xf numFmtId="42" fontId="17" fillId="2" borderId="10" xfId="2" applyNumberFormat="1" applyFont="1" applyFill="1" applyBorder="1"/>
    <xf numFmtId="44" fontId="17" fillId="3" borderId="0" xfId="2" applyNumberFormat="1" applyFont="1" applyFill="1" applyBorder="1"/>
    <xf numFmtId="42" fontId="16" fillId="2" borderId="0" xfId="1" applyNumberFormat="1" applyFont="1" applyFill="1" applyBorder="1"/>
    <xf numFmtId="0" fontId="3" fillId="3" borderId="6" xfId="0" applyFont="1" applyFill="1" applyBorder="1"/>
    <xf numFmtId="41" fontId="16" fillId="2" borderId="0" xfId="0" applyNumberFormat="1" applyFont="1" applyFill="1" applyBorder="1"/>
    <xf numFmtId="44" fontId="5" fillId="3" borderId="12" xfId="2" applyNumberFormat="1" applyFont="1" applyFill="1" applyBorder="1"/>
    <xf numFmtId="169" fontId="17" fillId="3" borderId="0" xfId="2" applyNumberFormat="1" applyFont="1" applyFill="1" applyBorder="1"/>
    <xf numFmtId="43" fontId="17" fillId="3" borderId="0" xfId="1" applyNumberFormat="1" applyFont="1" applyFill="1" applyBorder="1"/>
    <xf numFmtId="41" fontId="17" fillId="2" borderId="0" xfId="0" applyNumberFormat="1" applyFont="1" applyFill="1" applyBorder="1"/>
    <xf numFmtId="44" fontId="17" fillId="2" borderId="0" xfId="2" applyNumberFormat="1" applyFont="1" applyFill="1" applyBorder="1"/>
    <xf numFmtId="9" fontId="17" fillId="2" borderId="0" xfId="3" applyFont="1" applyFill="1" applyBorder="1"/>
    <xf numFmtId="43" fontId="17" fillId="3" borderId="0" xfId="2" applyNumberFormat="1" applyFont="1" applyFill="1" applyBorder="1"/>
    <xf numFmtId="44" fontId="5" fillId="3" borderId="9" xfId="1" applyNumberFormat="1" applyFont="1" applyFill="1" applyBorder="1"/>
    <xf numFmtId="43" fontId="5" fillId="3" borderId="12" xfId="1" applyFont="1" applyFill="1" applyBorder="1"/>
    <xf numFmtId="43" fontId="5" fillId="3" borderId="13" xfId="1" applyFont="1" applyFill="1" applyBorder="1"/>
    <xf numFmtId="42" fontId="16" fillId="2" borderId="0" xfId="2" applyNumberFormat="1" applyFont="1" applyFill="1" applyBorder="1"/>
    <xf numFmtId="44" fontId="17" fillId="3" borderId="13" xfId="2" applyNumberFormat="1" applyFont="1" applyFill="1" applyBorder="1"/>
    <xf numFmtId="10" fontId="17" fillId="3" borderId="13" xfId="1" applyNumberFormat="1" applyFont="1" applyFill="1" applyBorder="1"/>
    <xf numFmtId="10" fontId="17" fillId="3" borderId="0" xfId="1" applyNumberFormat="1" applyFont="1" applyFill="1" applyBorder="1"/>
    <xf numFmtId="0" fontId="20" fillId="0" borderId="0" xfId="0" applyFont="1"/>
    <xf numFmtId="166" fontId="16" fillId="2" borderId="0" xfId="3" applyNumberFormat="1" applyFont="1" applyFill="1" applyBorder="1"/>
    <xf numFmtId="170" fontId="5" fillId="3" borderId="9" xfId="2" applyNumberFormat="1" applyFont="1" applyFill="1" applyBorder="1"/>
    <xf numFmtId="0" fontId="21" fillId="3" borderId="0" xfId="0" applyFont="1" applyFill="1" applyBorder="1"/>
    <xf numFmtId="44" fontId="2" fillId="3" borderId="0" xfId="2" applyNumberFormat="1" applyFont="1" applyFill="1" applyBorder="1"/>
    <xf numFmtId="164" fontId="2" fillId="3" borderId="0" xfId="2" applyNumberFormat="1" applyFont="1" applyFill="1" applyBorder="1"/>
    <xf numFmtId="0" fontId="0" fillId="3" borderId="0" xfId="0" applyFill="1"/>
    <xf numFmtId="0" fontId="22" fillId="3" borderId="0" xfId="0" applyFont="1" applyFill="1"/>
    <xf numFmtId="0" fontId="22" fillId="3" borderId="0" xfId="0" applyFont="1" applyFill="1" applyBorder="1"/>
    <xf numFmtId="42" fontId="16" fillId="2" borderId="0" xfId="3" applyNumberFormat="1" applyFont="1" applyFill="1" applyBorder="1"/>
    <xf numFmtId="171" fontId="16" fillId="2" borderId="0" xfId="1" applyNumberFormat="1" applyFont="1" applyFill="1" applyBorder="1"/>
    <xf numFmtId="170" fontId="5" fillId="3" borderId="0" xfId="2" applyNumberFormat="1" applyFont="1" applyFill="1" applyBorder="1"/>
    <xf numFmtId="170" fontId="17" fillId="3" borderId="0" xfId="2" applyNumberFormat="1" applyFont="1" applyFill="1" applyBorder="1"/>
    <xf numFmtId="43" fontId="5" fillId="3" borderId="9" xfId="2" applyNumberFormat="1" applyFont="1" applyFill="1" applyBorder="1"/>
    <xf numFmtId="171" fontId="16" fillId="2" borderId="0" xfId="3" applyNumberFormat="1" applyFont="1" applyFill="1" applyBorder="1"/>
    <xf numFmtId="169" fontId="5" fillId="3" borderId="0" xfId="2" applyNumberFormat="1" applyFont="1" applyFill="1" applyBorder="1"/>
    <xf numFmtId="0" fontId="3" fillId="2" borderId="0" xfId="0" applyFont="1" applyFill="1" applyBorder="1"/>
    <xf numFmtId="9" fontId="2" fillId="2" borderId="7" xfId="3" applyFont="1" applyFill="1" applyBorder="1"/>
    <xf numFmtId="0" fontId="2" fillId="3" borderId="14" xfId="0" applyFont="1" applyFill="1" applyBorder="1"/>
    <xf numFmtId="0" fontId="5" fillId="3" borderId="15" xfId="0" applyFont="1" applyFill="1" applyBorder="1"/>
    <xf numFmtId="0" fontId="5" fillId="3" borderId="14" xfId="0" applyFont="1" applyFill="1" applyBorder="1"/>
    <xf numFmtId="168" fontId="5" fillId="3" borderId="14" xfId="0" applyNumberFormat="1" applyFont="1" applyFill="1" applyBorder="1"/>
    <xf numFmtId="41" fontId="16" fillId="2" borderId="0" xfId="3" applyNumberFormat="1" applyFont="1" applyFill="1" applyBorder="1"/>
    <xf numFmtId="0" fontId="17" fillId="3" borderId="0" xfId="0" applyFont="1" applyFill="1" applyBorder="1"/>
    <xf numFmtId="168" fontId="17" fillId="3" borderId="0" xfId="0" applyNumberFormat="1" applyFont="1" applyFill="1" applyBorder="1"/>
    <xf numFmtId="10" fontId="17" fillId="3" borderId="0" xfId="3" applyNumberFormat="1" applyFont="1" applyFill="1" applyBorder="1"/>
    <xf numFmtId="44" fontId="17" fillId="3" borderId="0" xfId="3" applyNumberFormat="1" applyFont="1" applyFill="1" applyBorder="1"/>
    <xf numFmtId="44" fontId="5" fillId="3" borderId="9" xfId="3" applyNumberFormat="1" applyFont="1" applyFill="1" applyBorder="1"/>
    <xf numFmtId="0" fontId="23" fillId="4" borderId="0" xfId="0" applyFont="1" applyFill="1" applyBorder="1"/>
    <xf numFmtId="164" fontId="24" fillId="2" borderId="0" xfId="2" applyNumberFormat="1" applyFont="1" applyFill="1" applyBorder="1"/>
    <xf numFmtId="165" fontId="25" fillId="2" borderId="0" xfId="1" applyNumberFormat="1" applyFont="1" applyFill="1" applyBorder="1"/>
    <xf numFmtId="44" fontId="25" fillId="2" borderId="0" xfId="2" applyFont="1" applyFill="1" applyBorder="1"/>
    <xf numFmtId="164" fontId="25" fillId="2" borderId="0" xfId="2" applyNumberFormat="1" applyFont="1" applyFill="1" applyBorder="1"/>
    <xf numFmtId="164" fontId="24" fillId="2" borderId="10" xfId="2" applyNumberFormat="1" applyFont="1" applyFill="1" applyBorder="1"/>
    <xf numFmtId="41" fontId="25" fillId="2" borderId="0" xfId="2" applyNumberFormat="1" applyFont="1" applyFill="1" applyBorder="1"/>
    <xf numFmtId="41" fontId="17" fillId="3" borderId="0" xfId="2" applyNumberFormat="1" applyFont="1" applyFill="1" applyBorder="1"/>
    <xf numFmtId="164" fontId="24" fillId="3" borderId="0" xfId="2" applyNumberFormat="1" applyFont="1" applyFill="1" applyBorder="1"/>
    <xf numFmtId="41" fontId="24" fillId="2" borderId="0" xfId="2" applyNumberFormat="1" applyFont="1" applyFill="1" applyBorder="1"/>
    <xf numFmtId="164" fontId="16" fillId="2" borderId="0" xfId="0" applyNumberFormat="1" applyFont="1" applyFill="1" applyBorder="1"/>
    <xf numFmtId="43" fontId="16" fillId="2" borderId="0" xfId="3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48"/>
    <col min="4" max="4" width="42.5703125" style="48" customWidth="1"/>
    <col min="5" max="16384" width="9.140625" style="48"/>
  </cols>
  <sheetData>
    <row r="1" spans="1:29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</row>
    <row r="2" spans="1:29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</row>
    <row r="3" spans="1:29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1:29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29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</row>
    <row r="6" spans="1:29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29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29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</row>
    <row r="9" spans="1:29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</row>
    <row r="10" spans="1:29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</row>
    <row r="11" spans="1:29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</row>
    <row r="12" spans="1:29" ht="59.25">
      <c r="A12" s="46"/>
      <c r="B12" s="46"/>
      <c r="C12" s="46"/>
      <c r="D12" s="49" t="s">
        <v>222</v>
      </c>
      <c r="E12" s="46"/>
      <c r="F12" s="50"/>
      <c r="G12" s="46"/>
      <c r="H12" s="46"/>
      <c r="I12" s="46"/>
      <c r="J12" s="46"/>
      <c r="K12" s="46"/>
      <c r="L12" s="46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</row>
    <row r="13" spans="1:29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</row>
    <row r="14" spans="1:29" ht="23.25">
      <c r="A14" s="46"/>
      <c r="B14" s="46"/>
      <c r="C14" s="46"/>
      <c r="D14" s="51" t="s">
        <v>221</v>
      </c>
      <c r="E14" s="46"/>
      <c r="F14" s="46"/>
      <c r="G14" s="46"/>
      <c r="H14" s="46"/>
      <c r="I14" s="46"/>
      <c r="J14" s="46"/>
      <c r="K14" s="46"/>
      <c r="L14" s="46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</row>
    <row r="15" spans="1:29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</row>
    <row r="16" spans="1:29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</row>
    <row r="17" spans="1:29" ht="15">
      <c r="A17" s="46"/>
      <c r="B17" s="46"/>
      <c r="C17" s="46"/>
      <c r="D17" s="52"/>
      <c r="E17" s="46"/>
      <c r="F17" s="46"/>
      <c r="G17" s="46"/>
      <c r="H17" s="46"/>
      <c r="I17" s="46"/>
      <c r="J17" s="46"/>
      <c r="K17" s="46"/>
      <c r="L17" s="46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</row>
    <row r="18" spans="1:29" ht="15.75">
      <c r="A18" s="46"/>
      <c r="B18" s="46"/>
      <c r="C18" s="46"/>
      <c r="D18" s="53" t="s">
        <v>78</v>
      </c>
      <c r="E18" s="46"/>
      <c r="F18" s="46"/>
      <c r="G18" s="46"/>
      <c r="H18" s="46"/>
      <c r="I18" s="46"/>
      <c r="J18" s="46"/>
      <c r="K18" s="46"/>
      <c r="L18" s="46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</row>
    <row r="19" spans="1:29" ht="15.75">
      <c r="A19" s="46"/>
      <c r="B19" s="46"/>
      <c r="C19" s="46"/>
      <c r="D19" s="54" t="s">
        <v>79</v>
      </c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</row>
    <row r="20" spans="1:29" ht="15.75">
      <c r="A20" s="46"/>
      <c r="B20" s="46"/>
      <c r="C20" s="46"/>
      <c r="D20" s="55" t="s">
        <v>80</v>
      </c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</row>
    <row r="21" spans="1:29" ht="15.75">
      <c r="A21" s="46"/>
      <c r="B21" s="46"/>
      <c r="C21" s="46"/>
      <c r="D21" s="56" t="s">
        <v>81</v>
      </c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</row>
    <row r="22" spans="1:29" ht="15.75">
      <c r="A22" s="46"/>
      <c r="B22" s="46"/>
      <c r="C22" s="46"/>
      <c r="D22" s="57" t="s">
        <v>82</v>
      </c>
      <c r="E22" s="46"/>
      <c r="F22" s="46"/>
      <c r="G22" s="46"/>
      <c r="H22" s="46"/>
      <c r="I22" s="46"/>
      <c r="J22" s="46"/>
      <c r="K22" s="46"/>
      <c r="L22" s="46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</row>
    <row r="23" spans="1:29" ht="15">
      <c r="A23" s="46"/>
      <c r="B23" s="46"/>
      <c r="C23" s="46"/>
      <c r="D23" s="52"/>
      <c r="E23" s="46"/>
      <c r="F23" s="46"/>
      <c r="G23" s="46"/>
      <c r="H23" s="46"/>
      <c r="I23" s="46"/>
      <c r="J23" s="46"/>
      <c r="K23" s="46"/>
      <c r="L23" s="46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</row>
    <row r="24" spans="1:29">
      <c r="A24" s="46"/>
      <c r="B24" s="46"/>
      <c r="C24" s="46"/>
      <c r="D24" s="149" t="s">
        <v>217</v>
      </c>
      <c r="E24" s="46"/>
      <c r="F24" s="46"/>
      <c r="G24" s="46"/>
      <c r="H24" s="46"/>
      <c r="I24" s="46"/>
      <c r="J24" s="46"/>
      <c r="K24" s="46"/>
      <c r="L24" s="46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</row>
    <row r="25" spans="1:29">
      <c r="A25" s="46"/>
      <c r="B25" s="46"/>
      <c r="C25" s="46"/>
      <c r="D25" s="149" t="s">
        <v>218</v>
      </c>
      <c r="E25" s="46"/>
      <c r="F25" s="46"/>
      <c r="G25" s="46"/>
      <c r="H25" s="46"/>
      <c r="I25" s="46"/>
      <c r="J25" s="46"/>
      <c r="K25" s="46"/>
      <c r="L25" s="46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</row>
    <row r="26" spans="1:29">
      <c r="A26" s="46"/>
      <c r="B26" s="46"/>
      <c r="C26" s="46"/>
      <c r="D26" s="149" t="s">
        <v>219</v>
      </c>
      <c r="E26" s="46"/>
      <c r="F26" s="46"/>
      <c r="G26" s="46"/>
      <c r="H26" s="46"/>
      <c r="I26" s="46"/>
      <c r="J26" s="46"/>
      <c r="K26" s="46"/>
      <c r="L26" s="46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</row>
    <row r="27" spans="1:29">
      <c r="A27" s="46"/>
      <c r="B27" s="46"/>
      <c r="C27" s="46"/>
      <c r="D27" s="149" t="s">
        <v>220</v>
      </c>
      <c r="E27" s="46"/>
      <c r="F27" s="46"/>
      <c r="G27" s="46"/>
      <c r="H27" s="46"/>
      <c r="I27" s="46"/>
      <c r="J27" s="46"/>
      <c r="K27" s="46"/>
      <c r="L27" s="46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</row>
    <row r="28" spans="1:29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</row>
    <row r="29" spans="1:29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</row>
    <row r="30" spans="1:29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</row>
    <row r="31" spans="1:29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</row>
    <row r="32" spans="1:29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</row>
    <row r="33" spans="1:29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</row>
    <row r="34" spans="1:29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</row>
    <row r="35" spans="1:29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</row>
    <row r="36" spans="1:29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</row>
    <row r="37" spans="1:29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</row>
    <row r="38" spans="1:29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</row>
    <row r="39" spans="1:29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</row>
    <row r="40" spans="1:29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</row>
    <row r="41" spans="1:29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</row>
    <row r="42" spans="1:29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</row>
    <row r="43" spans="1:29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</row>
    <row r="44" spans="1:29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</row>
    <row r="45" spans="1:29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</row>
    <row r="46" spans="1:29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</row>
    <row r="47" spans="1:29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</row>
    <row r="48" spans="1:29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</row>
    <row r="49" spans="1:1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</row>
    <row r="50" spans="1:1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</row>
    <row r="51" spans="1:1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</row>
    <row r="52" spans="1:1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</row>
    <row r="53" spans="1:1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</row>
    <row r="54" spans="1:1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</row>
    <row r="55" spans="1:1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</row>
    <row r="57" spans="1:1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</row>
    <row r="58" spans="1:1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</row>
    <row r="59" spans="1:1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</row>
    <row r="60" spans="1:1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</row>
    <row r="61" spans="1:1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</row>
    <row r="62" spans="1:1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</row>
    <row r="63" spans="1:1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</row>
    <row r="64" spans="1:1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</row>
    <row r="65" spans="1:1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</row>
    <row r="66" spans="1:1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</row>
    <row r="67" spans="1:1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</row>
    <row r="68" spans="1:1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</row>
    <row r="69" spans="1:1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</row>
    <row r="70" spans="1:1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</row>
    <row r="71" spans="1:1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</row>
    <row r="72" spans="1:1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</row>
    <row r="73" spans="1:1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</row>
    <row r="74" spans="1:1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</row>
    <row r="75" spans="1:1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</row>
    <row r="76" spans="1:1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</row>
    <row r="77" spans="1:1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</row>
    <row r="78" spans="1:1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</row>
    <row r="79" spans="1:1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</row>
    <row r="80" spans="1:1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</row>
    <row r="81" spans="1:12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</row>
    <row r="82" spans="1:1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</row>
    <row r="83" spans="1:1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</row>
    <row r="84" spans="1:12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</row>
    <row r="85" spans="1:12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</row>
    <row r="86" spans="1:12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</row>
    <row r="87" spans="1:12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</row>
    <row r="88" spans="1:12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</row>
    <row r="89" spans="1:12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</row>
    <row r="90" spans="1:12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</row>
    <row r="91" spans="1:12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</row>
    <row r="92" spans="1:1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</row>
    <row r="93" spans="1:1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</row>
    <row r="94" spans="1:1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</row>
    <row r="95" spans="1:1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</row>
    <row r="96" spans="1:1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</row>
    <row r="97" spans="1:1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</row>
    <row r="98" spans="1:1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</row>
    <row r="99" spans="1:1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</row>
    <row r="100" spans="1:1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</row>
    <row r="101" spans="1:1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</row>
    <row r="102" spans="1:1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</row>
    <row r="103" spans="1:1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</row>
    <row r="104" spans="1:1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</row>
    <row r="105" spans="1:12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</row>
    <row r="106" spans="1:12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46"/>
  <sheetViews>
    <sheetView workbookViewId="0"/>
  </sheetViews>
  <sheetFormatPr defaultRowHeight="12.75"/>
  <cols>
    <col min="2" max="2" width="3.140625" customWidth="1"/>
    <col min="3" max="3" width="20.7109375" customWidth="1"/>
    <col min="4" max="4" width="18.140625" customWidth="1"/>
    <col min="5" max="5" width="8.42578125" bestFit="1" customWidth="1"/>
    <col min="6" max="6" width="4" bestFit="1" customWidth="1"/>
    <col min="7" max="7" width="3.140625" customWidth="1"/>
    <col min="8" max="8" width="13.140625" customWidth="1"/>
    <col min="9" max="9" width="14" customWidth="1"/>
    <col min="10" max="10" width="3.140625" customWidth="1"/>
  </cols>
  <sheetData>
    <row r="1" spans="1:11" ht="18">
      <c r="A1" s="1"/>
      <c r="B1" s="1"/>
      <c r="C1" s="121" t="s">
        <v>222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37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3"/>
      <c r="C6" s="4"/>
      <c r="D6" s="4"/>
      <c r="E6" s="4"/>
      <c r="F6" s="4"/>
      <c r="G6" s="5"/>
      <c r="H6" s="31"/>
      <c r="I6" s="31"/>
      <c r="J6" s="31"/>
      <c r="K6" s="1"/>
    </row>
    <row r="7" spans="1:11" ht="15">
      <c r="A7" s="1"/>
      <c r="B7" s="6"/>
      <c r="C7" s="7" t="s">
        <v>38</v>
      </c>
      <c r="D7" s="62">
        <v>5</v>
      </c>
      <c r="E7" s="96" t="s">
        <v>90</v>
      </c>
      <c r="F7" s="62">
        <v>1</v>
      </c>
      <c r="G7" s="8"/>
      <c r="H7" s="31"/>
      <c r="I7" s="31"/>
      <c r="J7" s="31"/>
      <c r="K7" s="1"/>
    </row>
    <row r="8" spans="1:11" ht="15">
      <c r="A8" s="1"/>
      <c r="B8" s="6"/>
      <c r="C8" s="7" t="s">
        <v>106</v>
      </c>
      <c r="D8" s="97">
        <v>0.45</v>
      </c>
      <c r="E8" s="98"/>
      <c r="F8" s="62"/>
      <c r="G8" s="8"/>
      <c r="H8" s="31"/>
      <c r="I8" s="31"/>
      <c r="J8" s="31"/>
      <c r="K8" s="1"/>
    </row>
    <row r="9" spans="1:11" ht="15">
      <c r="A9" s="1"/>
      <c r="B9" s="6"/>
      <c r="C9" s="7" t="s">
        <v>39</v>
      </c>
      <c r="D9" s="60">
        <v>0.1</v>
      </c>
      <c r="E9" s="30"/>
      <c r="F9" s="30"/>
      <c r="G9" s="8"/>
      <c r="H9" s="31"/>
      <c r="I9" s="31"/>
      <c r="J9" s="31"/>
      <c r="K9" s="1"/>
    </row>
    <row r="10" spans="1:11" ht="15">
      <c r="A10" s="1"/>
      <c r="B10" s="6"/>
      <c r="C10" s="27"/>
      <c r="D10" s="28"/>
      <c r="E10" s="28"/>
      <c r="F10" s="28"/>
      <c r="G10" s="8"/>
      <c r="H10" s="31"/>
      <c r="I10" s="31"/>
      <c r="J10" s="31"/>
      <c r="K10" s="1"/>
    </row>
    <row r="11" spans="1:11" ht="15">
      <c r="A11" s="1"/>
      <c r="B11" s="6"/>
      <c r="C11" s="27" t="s">
        <v>85</v>
      </c>
      <c r="D11" s="99">
        <f ca="1">'#8'!D9</f>
        <v>1</v>
      </c>
      <c r="E11" s="28"/>
      <c r="F11" s="28"/>
      <c r="G11" s="8"/>
      <c r="H11" s="31"/>
      <c r="I11" s="31"/>
      <c r="J11" s="31"/>
      <c r="K11" s="1"/>
    </row>
    <row r="12" spans="1:11" ht="15">
      <c r="A12" s="1"/>
      <c r="B12" s="6"/>
      <c r="C12" s="27" t="s">
        <v>11</v>
      </c>
      <c r="D12" s="100">
        <f ca="1">'#8'!D10</f>
        <v>410000</v>
      </c>
      <c r="E12" s="34"/>
      <c r="F12" s="34"/>
      <c r="G12" s="8"/>
      <c r="H12" s="31"/>
      <c r="I12" s="31"/>
      <c r="J12" s="31"/>
      <c r="K12" s="1"/>
    </row>
    <row r="13" spans="1:11" ht="15">
      <c r="A13" s="1"/>
      <c r="B13" s="6"/>
      <c r="C13" s="7" t="s">
        <v>12</v>
      </c>
      <c r="D13" s="100">
        <f ca="1">'#8'!D11</f>
        <v>2150000</v>
      </c>
      <c r="E13" s="34"/>
      <c r="F13" s="34"/>
      <c r="G13" s="8"/>
      <c r="H13" s="31"/>
      <c r="I13" s="35"/>
      <c r="J13" s="31"/>
      <c r="K13" s="1"/>
    </row>
    <row r="14" spans="1:11" ht="15">
      <c r="A14" s="1"/>
      <c r="B14" s="6"/>
      <c r="C14" s="7" t="s">
        <v>13</v>
      </c>
      <c r="D14" s="101">
        <f ca="1">'#8'!D12</f>
        <v>5320000</v>
      </c>
      <c r="E14" s="29"/>
      <c r="F14" s="29"/>
      <c r="G14" s="8"/>
      <c r="H14" s="31"/>
      <c r="I14" s="35"/>
      <c r="J14" s="31"/>
      <c r="K14" s="1"/>
    </row>
    <row r="15" spans="1:11" ht="15.75" thickBot="1">
      <c r="A15" s="1"/>
      <c r="B15" s="6"/>
      <c r="C15" s="7" t="s">
        <v>36</v>
      </c>
      <c r="D15" s="102">
        <f ca="1">'#8'!D13</f>
        <v>7880000</v>
      </c>
      <c r="E15" s="29"/>
      <c r="F15" s="29"/>
      <c r="G15" s="8"/>
      <c r="H15" s="31"/>
      <c r="I15" s="35"/>
      <c r="J15" s="31"/>
      <c r="K15" s="1"/>
    </row>
    <row r="16" spans="1:11" ht="16.5" thickTop="1" thickBot="1">
      <c r="A16" s="1"/>
      <c r="B16" s="9"/>
      <c r="C16" s="10"/>
      <c r="D16" s="10"/>
      <c r="E16" s="10"/>
      <c r="F16" s="10"/>
      <c r="G16" s="11"/>
      <c r="H16" s="31"/>
      <c r="I16" s="31"/>
      <c r="J16" s="31"/>
      <c r="K16" s="1"/>
    </row>
    <row r="17" spans="1:11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"/>
      <c r="C18" s="2" t="s">
        <v>2</v>
      </c>
      <c r="D18" s="1"/>
      <c r="E18" s="1"/>
      <c r="F18" s="1"/>
      <c r="G18" s="1"/>
      <c r="H18" s="1"/>
      <c r="I18" s="1"/>
      <c r="J18" s="1"/>
      <c r="K18" s="1"/>
    </row>
    <row r="19" spans="1:11" ht="15.75" thickBo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2"/>
      <c r="C20" s="13"/>
      <c r="D20" s="13"/>
      <c r="E20" s="13"/>
      <c r="F20" s="13"/>
      <c r="G20" s="14"/>
      <c r="H20" s="31"/>
      <c r="I20" s="31"/>
      <c r="J20" s="31"/>
      <c r="K20" s="1"/>
    </row>
    <row r="21" spans="1:11" ht="15">
      <c r="A21" s="1"/>
      <c r="B21" s="15"/>
      <c r="C21" s="16" t="s">
        <v>107</v>
      </c>
      <c r="D21" s="25"/>
      <c r="E21" s="25"/>
      <c r="F21" s="25"/>
      <c r="G21" s="17"/>
      <c r="H21" s="31"/>
      <c r="I21" s="31"/>
      <c r="J21" s="31"/>
      <c r="K21" s="1"/>
    </row>
    <row r="22" spans="1:11" ht="15.75">
      <c r="A22" s="1"/>
      <c r="B22" s="15"/>
      <c r="C22" s="16" t="s">
        <v>108</v>
      </c>
      <c r="D22" s="22"/>
      <c r="E22" s="40">
        <f>D11*(F7/D7)</f>
        <v>0.2</v>
      </c>
      <c r="F22" s="22"/>
      <c r="G22" s="17"/>
      <c r="H22" s="31"/>
      <c r="I22" s="32"/>
      <c r="J22" s="31"/>
      <c r="K22" s="1"/>
    </row>
    <row r="23" spans="1:11" ht="15">
      <c r="A23" s="1"/>
      <c r="B23" s="15"/>
      <c r="C23" s="16" t="s">
        <v>109</v>
      </c>
      <c r="D23" s="22"/>
      <c r="E23" s="22"/>
      <c r="F23" s="22"/>
      <c r="G23" s="17"/>
      <c r="H23" s="31"/>
      <c r="I23" s="32"/>
      <c r="J23" s="31"/>
      <c r="K23" s="1"/>
    </row>
    <row r="24" spans="1:11" ht="15">
      <c r="A24" s="1"/>
      <c r="B24" s="15"/>
      <c r="C24" s="16"/>
      <c r="D24" s="22"/>
      <c r="E24" s="22"/>
      <c r="F24" s="22"/>
      <c r="G24" s="17"/>
      <c r="H24" s="31"/>
      <c r="I24" s="32"/>
      <c r="J24" s="31"/>
      <c r="K24" s="1"/>
    </row>
    <row r="25" spans="1:11" ht="15">
      <c r="A25" s="1"/>
      <c r="B25" s="15"/>
      <c r="C25" s="36" t="s">
        <v>40</v>
      </c>
      <c r="D25" s="103">
        <f>(D12/D11)*D8*(D7/F7)</f>
        <v>922500</v>
      </c>
      <c r="E25" s="22"/>
      <c r="F25" s="22"/>
      <c r="G25" s="17"/>
      <c r="H25" s="31"/>
      <c r="I25" s="32"/>
      <c r="J25" s="31"/>
      <c r="K25" s="1"/>
    </row>
    <row r="26" spans="1:11" ht="15">
      <c r="A26" s="1"/>
      <c r="B26" s="15"/>
      <c r="C26" s="16" t="s">
        <v>41</v>
      </c>
      <c r="D26" s="103">
        <f>D25/(1+D9)</f>
        <v>838636.36363636353</v>
      </c>
      <c r="E26" s="33"/>
      <c r="F26" s="33"/>
      <c r="G26" s="17"/>
      <c r="H26" s="31"/>
      <c r="I26" s="32"/>
      <c r="J26" s="31"/>
      <c r="K26" s="1"/>
    </row>
    <row r="27" spans="1:11" ht="15.75">
      <c r="A27" s="1"/>
      <c r="B27" s="15"/>
      <c r="C27" s="16" t="s">
        <v>42</v>
      </c>
      <c r="D27" s="40">
        <f>D26/(D12/D11)</f>
        <v>2.0454545454545454</v>
      </c>
      <c r="E27" s="33"/>
      <c r="F27" s="33"/>
      <c r="G27" s="17"/>
      <c r="H27" s="31"/>
      <c r="I27" s="32"/>
      <c r="J27" s="31"/>
      <c r="K27" s="1"/>
    </row>
    <row r="28" spans="1:11" ht="15.75" thickBot="1">
      <c r="A28" s="1"/>
      <c r="B28" s="18"/>
      <c r="C28" s="19"/>
      <c r="D28" s="19"/>
      <c r="E28" s="19"/>
      <c r="F28" s="19"/>
      <c r="G28" s="20"/>
      <c r="H28" s="31"/>
      <c r="I28" s="31"/>
      <c r="J28" s="3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47"/>
  <sheetViews>
    <sheetView workbookViewId="0"/>
  </sheetViews>
  <sheetFormatPr defaultRowHeight="12.75"/>
  <cols>
    <col min="2" max="2" width="3.140625" customWidth="1"/>
    <col min="3" max="3" width="25.140625" customWidth="1"/>
    <col min="4" max="4" width="18.14062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43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133</v>
      </c>
      <c r="D7" s="60">
        <v>0.1</v>
      </c>
      <c r="E7" s="8"/>
      <c r="F7" s="31"/>
      <c r="G7" s="31"/>
      <c r="H7" s="31"/>
      <c r="I7" s="1"/>
    </row>
    <row r="8" spans="1:9" ht="15">
      <c r="A8" s="1"/>
      <c r="B8" s="6"/>
      <c r="C8" s="7" t="s">
        <v>20</v>
      </c>
      <c r="D8" s="62">
        <v>220000</v>
      </c>
      <c r="E8" s="8"/>
      <c r="F8" s="31"/>
      <c r="G8" s="31"/>
      <c r="H8" s="31"/>
      <c r="I8" s="1"/>
    </row>
    <row r="9" spans="1:9" ht="15">
      <c r="A9" s="1"/>
      <c r="B9" s="6"/>
      <c r="C9" s="7" t="s">
        <v>86</v>
      </c>
      <c r="D9" s="104">
        <v>110</v>
      </c>
      <c r="E9" s="8"/>
      <c r="F9" s="31"/>
      <c r="G9" s="31"/>
      <c r="H9" s="31"/>
      <c r="I9" s="1"/>
    </row>
    <row r="10" spans="1:9" ht="15">
      <c r="A10" s="1"/>
      <c r="B10" s="6"/>
      <c r="C10" s="7" t="s">
        <v>134</v>
      </c>
      <c r="D10" s="97">
        <v>4</v>
      </c>
      <c r="E10" s="8"/>
      <c r="F10" s="31"/>
      <c r="G10" s="31"/>
      <c r="H10" s="31"/>
      <c r="I10" s="1"/>
    </row>
    <row r="11" spans="1:9" ht="15">
      <c r="A11" s="1"/>
      <c r="B11" s="63" t="s">
        <v>91</v>
      </c>
      <c r="C11" s="7" t="s">
        <v>135</v>
      </c>
      <c r="D11" s="104">
        <v>4500000</v>
      </c>
      <c r="E11" s="8"/>
      <c r="F11" s="31"/>
      <c r="G11" s="31"/>
      <c r="H11" s="31"/>
      <c r="I11" s="1"/>
    </row>
    <row r="12" spans="1:9" ht="15">
      <c r="A12" s="1"/>
      <c r="B12" s="63"/>
      <c r="C12" s="7" t="s">
        <v>136</v>
      </c>
      <c r="D12" s="104">
        <v>1900000</v>
      </c>
      <c r="E12" s="8"/>
      <c r="F12" s="31"/>
      <c r="G12" s="31"/>
      <c r="H12" s="31"/>
      <c r="I12" s="1"/>
    </row>
    <row r="13" spans="1:9" ht="15.75" thickBot="1">
      <c r="A13" s="1"/>
      <c r="B13" s="9"/>
      <c r="C13" s="10"/>
      <c r="D13" s="10"/>
      <c r="E13" s="11"/>
      <c r="F13" s="31"/>
      <c r="G13" s="31"/>
      <c r="H13" s="31"/>
      <c r="I13" s="1"/>
    </row>
    <row r="14" spans="1:9" ht="15">
      <c r="A14" s="1"/>
      <c r="B14" s="1"/>
      <c r="C14" s="1"/>
      <c r="D14" s="1"/>
      <c r="E14" s="1"/>
      <c r="F14" s="1"/>
      <c r="G14" s="1"/>
      <c r="H14" s="1"/>
      <c r="I14" s="1"/>
    </row>
    <row r="15" spans="1:9" ht="15">
      <c r="A15" s="1"/>
      <c r="B15" s="1"/>
      <c r="C15" s="2" t="s">
        <v>2</v>
      </c>
      <c r="D15" s="1"/>
      <c r="E15" s="1"/>
      <c r="F15" s="1"/>
      <c r="G15" s="1"/>
      <c r="H15" s="1"/>
      <c r="I15" s="1"/>
    </row>
    <row r="16" spans="1:9" ht="15.75" thickBot="1">
      <c r="A16" s="1"/>
      <c r="B16" s="1"/>
      <c r="C16" s="1"/>
      <c r="D16" s="1"/>
      <c r="E16" s="1"/>
      <c r="F16" s="1"/>
      <c r="G16" s="1"/>
      <c r="H16" s="1"/>
      <c r="I16" s="1"/>
    </row>
    <row r="17" spans="1:9" ht="15">
      <c r="A17" s="1"/>
      <c r="B17" s="12"/>
      <c r="C17" s="13"/>
      <c r="D17" s="13"/>
      <c r="E17" s="14"/>
      <c r="F17" s="31"/>
      <c r="G17" s="31"/>
      <c r="H17" s="31"/>
      <c r="I17" s="1"/>
    </row>
    <row r="18" spans="1:9" ht="15.75">
      <c r="A18" s="1"/>
      <c r="B18" s="64" t="s">
        <v>83</v>
      </c>
      <c r="C18" s="16" t="s">
        <v>86</v>
      </c>
      <c r="D18" s="40">
        <f>D9-D10</f>
        <v>106</v>
      </c>
      <c r="E18" s="17"/>
      <c r="F18" s="31"/>
      <c r="G18" s="31"/>
      <c r="H18" s="31"/>
      <c r="I18" s="1"/>
    </row>
    <row r="19" spans="1:9" ht="15">
      <c r="A19" s="1"/>
      <c r="B19" s="64"/>
      <c r="C19" s="16"/>
      <c r="D19" s="22"/>
      <c r="E19" s="17"/>
      <c r="F19" s="31"/>
      <c r="G19" s="32"/>
      <c r="H19" s="31"/>
      <c r="I19" s="1"/>
    </row>
    <row r="20" spans="1:9" ht="15.75">
      <c r="A20" s="1"/>
      <c r="B20" s="64" t="s">
        <v>84</v>
      </c>
      <c r="C20" s="16" t="s">
        <v>86</v>
      </c>
      <c r="D20" s="123">
        <f>D9</f>
        <v>110</v>
      </c>
      <c r="E20" s="17"/>
      <c r="F20" s="31"/>
      <c r="G20" s="32"/>
      <c r="H20" s="31"/>
      <c r="I20" s="1"/>
    </row>
    <row r="21" spans="1:9" ht="15">
      <c r="A21" s="1"/>
      <c r="B21" s="64"/>
      <c r="C21" s="16"/>
      <c r="D21" s="22"/>
      <c r="E21" s="17"/>
      <c r="F21" s="31"/>
      <c r="G21" s="32"/>
      <c r="H21" s="31"/>
      <c r="I21" s="1"/>
    </row>
    <row r="22" spans="1:9" ht="15.75">
      <c r="A22" s="1"/>
      <c r="B22" s="64" t="s">
        <v>91</v>
      </c>
      <c r="C22" s="16" t="s">
        <v>137</v>
      </c>
      <c r="D22" s="66">
        <f>D11/D9</f>
        <v>40909.090909090912</v>
      </c>
      <c r="E22" s="17"/>
      <c r="F22" s="31"/>
      <c r="G22" s="32"/>
      <c r="H22" s="31"/>
      <c r="I22" s="1"/>
    </row>
    <row r="23" spans="1:9" ht="15">
      <c r="A23" s="1"/>
      <c r="B23" s="64"/>
      <c r="C23" s="16"/>
      <c r="D23" s="22"/>
      <c r="E23" s="17"/>
      <c r="F23" s="31"/>
      <c r="G23" s="32"/>
      <c r="H23" s="31"/>
      <c r="I23" s="1"/>
    </row>
    <row r="24" spans="1:9" ht="15">
      <c r="A24" s="1"/>
      <c r="B24" s="64" t="s">
        <v>92</v>
      </c>
      <c r="C24" s="128" t="s">
        <v>138</v>
      </c>
      <c r="D24" s="125"/>
      <c r="E24" s="17"/>
      <c r="F24" s="31"/>
      <c r="G24" s="32"/>
      <c r="H24" s="31"/>
      <c r="I24" s="1"/>
    </row>
    <row r="25" spans="1:9" ht="15">
      <c r="A25" s="1"/>
      <c r="B25" s="64"/>
      <c r="C25" s="128" t="s">
        <v>139</v>
      </c>
      <c r="D25" s="125"/>
      <c r="E25" s="17"/>
      <c r="F25" s="31"/>
      <c r="G25" s="32"/>
      <c r="H25" s="31"/>
      <c r="I25" s="1"/>
    </row>
    <row r="26" spans="1:9" ht="15">
      <c r="A26" s="1"/>
      <c r="B26" s="64"/>
      <c r="C26" s="128" t="s">
        <v>140</v>
      </c>
      <c r="D26" s="125"/>
      <c r="E26" s="17"/>
      <c r="F26" s="31"/>
      <c r="G26" s="32"/>
      <c r="H26" s="31"/>
      <c r="I26" s="1"/>
    </row>
    <row r="27" spans="1:9" ht="15">
      <c r="A27" s="1"/>
      <c r="B27" s="64"/>
      <c r="C27" s="128" t="s">
        <v>141</v>
      </c>
      <c r="D27" s="125"/>
      <c r="E27" s="17"/>
      <c r="F27" s="31"/>
      <c r="G27" s="32"/>
      <c r="H27" s="31"/>
      <c r="I27" s="1"/>
    </row>
    <row r="28" spans="1:9" ht="15">
      <c r="A28" s="1"/>
      <c r="B28" s="64"/>
      <c r="C28" s="129" t="s">
        <v>142</v>
      </c>
      <c r="D28" s="126"/>
      <c r="E28" s="17"/>
      <c r="F28" s="31"/>
      <c r="G28" s="32"/>
      <c r="H28" s="31"/>
      <c r="I28" s="1"/>
    </row>
    <row r="29" spans="1:9" ht="15.75" thickBot="1">
      <c r="A29" s="1"/>
      <c r="B29" s="105"/>
      <c r="C29" s="19"/>
      <c r="D29" s="19"/>
      <c r="E29" s="20"/>
      <c r="F29" s="31"/>
      <c r="G29" s="32"/>
      <c r="H29" s="31"/>
      <c r="I29" s="1"/>
    </row>
    <row r="30" spans="1:9" ht="15">
      <c r="A30" s="1"/>
      <c r="B30" s="31"/>
      <c r="C30" s="31"/>
      <c r="D30" s="31"/>
      <c r="E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E47" s="1"/>
      <c r="F47" s="1"/>
      <c r="G47" s="1"/>
      <c r="H47" s="1"/>
      <c r="I47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49"/>
  <sheetViews>
    <sheetView workbookViewId="0"/>
  </sheetViews>
  <sheetFormatPr defaultRowHeight="12.75"/>
  <cols>
    <col min="2" max="2" width="3.140625" customWidth="1"/>
    <col min="3" max="3" width="24.140625" customWidth="1"/>
    <col min="4" max="4" width="18.14062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44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110</v>
      </c>
      <c r="D7" s="106">
        <v>1000</v>
      </c>
      <c r="E7" s="8"/>
      <c r="F7" s="31"/>
      <c r="G7" s="31"/>
      <c r="H7" s="31"/>
      <c r="I7" s="1"/>
    </row>
    <row r="8" spans="1:9" ht="15">
      <c r="A8" s="1"/>
      <c r="B8" s="6"/>
      <c r="C8" s="7" t="s">
        <v>3</v>
      </c>
      <c r="D8" s="77">
        <v>1.1000000000000001</v>
      </c>
      <c r="E8" s="8"/>
      <c r="F8" s="31"/>
      <c r="G8" s="31"/>
      <c r="H8" s="31"/>
      <c r="I8" s="1"/>
    </row>
    <row r="9" spans="1:9" ht="15">
      <c r="A9" s="1"/>
      <c r="B9" s="6"/>
      <c r="C9" s="7" t="s">
        <v>50</v>
      </c>
      <c r="D9" s="61">
        <v>56</v>
      </c>
      <c r="E9" s="8"/>
      <c r="F9" s="31"/>
      <c r="G9" s="31"/>
      <c r="H9" s="31"/>
      <c r="I9" s="1"/>
    </row>
    <row r="10" spans="1:9" ht="15">
      <c r="A10" s="1"/>
      <c r="B10" s="6"/>
      <c r="C10" s="7" t="s">
        <v>49</v>
      </c>
      <c r="D10" s="60">
        <v>0.14000000000000001</v>
      </c>
      <c r="E10" s="8"/>
      <c r="F10" s="31"/>
      <c r="G10" s="31"/>
      <c r="H10" s="31"/>
      <c r="I10" s="1"/>
    </row>
    <row r="11" spans="1:9" ht="15.75" thickBot="1">
      <c r="A11" s="1"/>
      <c r="B11" s="9"/>
      <c r="C11" s="10"/>
      <c r="D11" s="10"/>
      <c r="E11" s="11"/>
      <c r="F11" s="31"/>
      <c r="G11" s="31"/>
      <c r="H11" s="31"/>
      <c r="I11" s="1"/>
    </row>
    <row r="12" spans="1:9" ht="15">
      <c r="A12" s="1"/>
      <c r="B12" s="1"/>
      <c r="C12" s="1"/>
      <c r="D12" s="1"/>
      <c r="E12" s="1"/>
      <c r="F12" s="1"/>
      <c r="G12" s="1"/>
      <c r="H12" s="1"/>
      <c r="I12" s="1"/>
    </row>
    <row r="13" spans="1:9" ht="15">
      <c r="A13" s="1"/>
      <c r="B13" s="1"/>
      <c r="C13" s="2" t="s">
        <v>2</v>
      </c>
      <c r="D13" s="1"/>
      <c r="E13" s="1"/>
      <c r="F13" s="1"/>
      <c r="G13" s="1"/>
      <c r="H13" s="1"/>
      <c r="I13" s="1"/>
    </row>
    <row r="14" spans="1:9" ht="15.75" thickBot="1">
      <c r="A14" s="1"/>
      <c r="B14" s="1"/>
      <c r="C14" s="1"/>
      <c r="D14" s="1"/>
      <c r="E14" s="1"/>
      <c r="F14" s="1"/>
      <c r="G14" s="1"/>
      <c r="H14" s="1"/>
      <c r="I14" s="1"/>
    </row>
    <row r="15" spans="1:9" ht="15">
      <c r="A15" s="1"/>
      <c r="B15" s="12"/>
      <c r="C15" s="13"/>
      <c r="D15" s="13"/>
      <c r="E15" s="14"/>
      <c r="F15" s="31"/>
      <c r="G15" s="31"/>
      <c r="H15" s="31"/>
      <c r="I15" s="1"/>
    </row>
    <row r="16" spans="1:9" ht="15.75">
      <c r="A16" s="1"/>
      <c r="B16" s="15"/>
      <c r="C16" s="16" t="s">
        <v>111</v>
      </c>
      <c r="D16" s="40">
        <f>((D8/(1+D10))+(D9/((1+D10)^2)))</f>
        <v>44.055093875038459</v>
      </c>
      <c r="E16" s="17"/>
      <c r="F16" s="31"/>
      <c r="G16" s="31"/>
      <c r="H16" s="31"/>
      <c r="I16" s="1"/>
    </row>
    <row r="17" spans="1:9" ht="15.75">
      <c r="A17" s="1"/>
      <c r="B17" s="15"/>
      <c r="C17" s="16"/>
      <c r="D17" s="107"/>
      <c r="E17" s="17"/>
      <c r="F17" s="31"/>
      <c r="G17" s="31"/>
      <c r="H17" s="31"/>
      <c r="I17" s="1"/>
    </row>
    <row r="18" spans="1:9" ht="15.75">
      <c r="A18" s="1"/>
      <c r="B18" s="15"/>
      <c r="C18" s="16" t="s">
        <v>112</v>
      </c>
      <c r="D18" s="123">
        <f>-PMT(D10,2,D16,0,0)</f>
        <v>26.75420560747661</v>
      </c>
      <c r="E18" s="17"/>
      <c r="F18" s="31"/>
      <c r="G18" s="32"/>
      <c r="H18" s="31"/>
      <c r="I18" s="1"/>
    </row>
    <row r="19" spans="1:9" ht="15">
      <c r="A19" s="1"/>
      <c r="B19" s="15"/>
      <c r="C19" s="16"/>
      <c r="D19" s="108"/>
      <c r="E19" s="17"/>
      <c r="F19" s="31"/>
      <c r="G19" s="32"/>
      <c r="H19" s="31"/>
      <c r="I19" s="1"/>
    </row>
    <row r="20" spans="1:9" ht="15">
      <c r="A20" s="1"/>
      <c r="B20" s="15"/>
      <c r="C20" s="16" t="s">
        <v>113</v>
      </c>
      <c r="D20" s="108">
        <f>D9/(1+D10)</f>
        <v>49.122807017543856</v>
      </c>
      <c r="E20" s="17"/>
      <c r="F20" s="31"/>
      <c r="G20" s="32"/>
      <c r="H20" s="31"/>
      <c r="I20" s="1"/>
    </row>
    <row r="21" spans="1:9" ht="15">
      <c r="A21" s="1"/>
      <c r="B21" s="15"/>
      <c r="C21" s="16"/>
      <c r="D21" s="108"/>
      <c r="E21" s="17"/>
      <c r="F21" s="31"/>
      <c r="G21" s="32"/>
      <c r="H21" s="31"/>
      <c r="I21" s="1"/>
    </row>
    <row r="22" spans="1:9" ht="15">
      <c r="A22" s="1"/>
      <c r="B22" s="15"/>
      <c r="C22" s="16" t="s">
        <v>114</v>
      </c>
      <c r="D22" s="103">
        <f>D7*D18</f>
        <v>26754.205607476611</v>
      </c>
      <c r="E22" s="17"/>
      <c r="F22" s="31"/>
      <c r="G22" s="32"/>
      <c r="H22" s="31"/>
      <c r="I22" s="1"/>
    </row>
    <row r="23" spans="1:9" ht="15">
      <c r="A23" s="1"/>
      <c r="B23" s="15"/>
      <c r="C23" s="16" t="s">
        <v>115</v>
      </c>
      <c r="D23" s="22"/>
      <c r="E23" s="17"/>
      <c r="F23" s="31"/>
      <c r="G23" s="32"/>
      <c r="H23" s="31"/>
      <c r="I23" s="1"/>
    </row>
    <row r="24" spans="1:9" ht="15">
      <c r="A24" s="1"/>
      <c r="B24" s="15"/>
      <c r="C24" s="16" t="s">
        <v>116</v>
      </c>
      <c r="D24" s="93">
        <f>D7*D8</f>
        <v>1100</v>
      </c>
      <c r="E24" s="17"/>
      <c r="F24" s="31"/>
      <c r="G24" s="32"/>
      <c r="H24" s="31"/>
      <c r="I24" s="1"/>
    </row>
    <row r="25" spans="1:9" ht="15">
      <c r="A25" s="1"/>
      <c r="B25" s="15"/>
      <c r="C25" s="16"/>
      <c r="D25" s="93"/>
      <c r="E25" s="17"/>
      <c r="F25" s="31"/>
      <c r="G25" s="32"/>
      <c r="H25" s="31"/>
      <c r="I25" s="1"/>
    </row>
    <row r="26" spans="1:9" ht="15">
      <c r="A26" s="1"/>
      <c r="B26" s="15"/>
      <c r="C26" s="16" t="s">
        <v>117</v>
      </c>
      <c r="D26" s="109">
        <f>(D22-D24)/D20</f>
        <v>522.24632843791676</v>
      </c>
      <c r="E26" s="17"/>
      <c r="F26" s="31"/>
      <c r="G26" s="32"/>
      <c r="H26" s="31"/>
      <c r="I26" s="1"/>
    </row>
    <row r="27" spans="1:9" ht="15">
      <c r="A27" s="1"/>
      <c r="B27" s="15"/>
      <c r="C27" s="16" t="s">
        <v>118</v>
      </c>
      <c r="D27" s="93"/>
      <c r="E27" s="17"/>
      <c r="F27" s="31"/>
      <c r="G27" s="32"/>
      <c r="H27" s="31"/>
      <c r="I27" s="1"/>
    </row>
    <row r="28" spans="1:9" ht="15">
      <c r="A28" s="1"/>
      <c r="B28" s="15"/>
      <c r="C28" s="16"/>
      <c r="D28" s="93"/>
      <c r="E28" s="17"/>
      <c r="F28" s="31"/>
      <c r="G28" s="32"/>
      <c r="H28" s="31"/>
      <c r="I28" s="1"/>
    </row>
    <row r="29" spans="1:9" ht="15">
      <c r="A29" s="1"/>
      <c r="B29" s="15"/>
      <c r="C29" s="16" t="s">
        <v>119</v>
      </c>
      <c r="D29" s="93">
        <f>(D7*D8)+(D26*D20)</f>
        <v>26754.205607476611</v>
      </c>
      <c r="E29" s="17"/>
      <c r="F29" s="31"/>
      <c r="G29" s="32"/>
      <c r="H29" s="31"/>
      <c r="I29" s="1"/>
    </row>
    <row r="30" spans="1:9" ht="15">
      <c r="A30" s="1"/>
      <c r="B30" s="15"/>
      <c r="C30" s="16" t="s">
        <v>51</v>
      </c>
      <c r="D30" s="93">
        <f>(D7-D26)*D9</f>
        <v>26754.205607476662</v>
      </c>
      <c r="E30" s="17"/>
      <c r="F30" s="31"/>
      <c r="G30" s="32"/>
      <c r="H30" s="31"/>
      <c r="I30" s="1"/>
    </row>
    <row r="31" spans="1:9" ht="15.75" thickBot="1">
      <c r="A31" s="1"/>
      <c r="B31" s="18"/>
      <c r="C31" s="19"/>
      <c r="D31" s="19"/>
      <c r="E31" s="20"/>
      <c r="F31" s="31"/>
      <c r="G31" s="31"/>
      <c r="H31" s="3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</sheetData>
  <phoneticPr fontId="1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46"/>
  <sheetViews>
    <sheetView workbookViewId="0"/>
  </sheetViews>
  <sheetFormatPr defaultRowHeight="12.75"/>
  <cols>
    <col min="2" max="2" width="3.140625" customWidth="1"/>
    <col min="3" max="3" width="28.28515625" bestFit="1" customWidth="1"/>
    <col min="4" max="4" width="18.14062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46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120</v>
      </c>
      <c r="D7" s="159">
        <v>500</v>
      </c>
      <c r="E7" s="8"/>
      <c r="F7" s="31"/>
      <c r="G7" s="31"/>
      <c r="H7" s="31"/>
      <c r="I7" s="1"/>
    </row>
    <row r="8" spans="1:9" ht="15">
      <c r="A8" s="1"/>
      <c r="B8" s="6"/>
      <c r="C8" s="7" t="s">
        <v>110</v>
      </c>
      <c r="D8" s="110">
        <f ca="1">'#11'!D7</f>
        <v>1000</v>
      </c>
      <c r="E8" s="8"/>
      <c r="F8" s="31"/>
      <c r="G8" s="31"/>
      <c r="H8" s="31"/>
      <c r="I8" s="1"/>
    </row>
    <row r="9" spans="1:9" ht="15">
      <c r="A9" s="1"/>
      <c r="B9" s="6"/>
      <c r="C9" s="7" t="s">
        <v>3</v>
      </c>
      <c r="D9" s="111">
        <f ca="1">'#11'!D8</f>
        <v>1.1000000000000001</v>
      </c>
      <c r="E9" s="8"/>
      <c r="F9" s="31"/>
      <c r="G9" s="31"/>
      <c r="H9" s="31"/>
      <c r="I9" s="1"/>
    </row>
    <row r="10" spans="1:9" ht="15">
      <c r="A10" s="1"/>
      <c r="B10" s="6"/>
      <c r="C10" s="7" t="s">
        <v>50</v>
      </c>
      <c r="D10" s="76">
        <f ca="1">'#11'!D9</f>
        <v>56</v>
      </c>
      <c r="E10" s="8"/>
      <c r="F10" s="31"/>
      <c r="G10" s="31"/>
      <c r="H10" s="31"/>
      <c r="I10" s="1"/>
    </row>
    <row r="11" spans="1:9" ht="15">
      <c r="A11" s="1"/>
      <c r="B11" s="6"/>
      <c r="C11" s="7" t="s">
        <v>49</v>
      </c>
      <c r="D11" s="112">
        <f ca="1">'#11'!D10</f>
        <v>0.14000000000000001</v>
      </c>
      <c r="E11" s="8"/>
      <c r="F11" s="31"/>
      <c r="G11" s="31"/>
      <c r="H11" s="31"/>
      <c r="I11" s="1"/>
    </row>
    <row r="12" spans="1:9" ht="15.75" thickBot="1">
      <c r="A12" s="1"/>
      <c r="B12" s="9"/>
      <c r="C12" s="10"/>
      <c r="D12" s="10"/>
      <c r="E12" s="11"/>
      <c r="F12" s="31"/>
      <c r="G12" s="31"/>
      <c r="H12" s="31"/>
      <c r="I12" s="1"/>
    </row>
    <row r="13" spans="1:9" ht="15">
      <c r="A13" s="1"/>
      <c r="B13" s="1"/>
      <c r="C13" s="1"/>
      <c r="D13" s="1"/>
      <c r="E13" s="1"/>
      <c r="F13" s="1"/>
      <c r="G13" s="1"/>
      <c r="H13" s="1"/>
      <c r="I13" s="1"/>
    </row>
    <row r="14" spans="1:9" ht="15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">
      <c r="A16" s="1"/>
      <c r="B16" s="12"/>
      <c r="C16" s="13"/>
      <c r="D16" s="13"/>
      <c r="E16" s="14"/>
      <c r="F16" s="31"/>
      <c r="G16" s="31"/>
      <c r="H16" s="31"/>
      <c r="I16" s="1"/>
    </row>
    <row r="17" spans="1:9" ht="15">
      <c r="A17" s="1"/>
      <c r="B17" s="15"/>
      <c r="C17" s="16" t="s">
        <v>113</v>
      </c>
      <c r="D17" s="108">
        <f>D10/(1+D11)</f>
        <v>49.122807017543856</v>
      </c>
      <c r="E17" s="17"/>
      <c r="F17" s="31"/>
      <c r="G17" s="32"/>
      <c r="H17" s="31"/>
      <c r="I17" s="1"/>
    </row>
    <row r="18" spans="1:9" ht="15">
      <c r="A18" s="1"/>
      <c r="B18" s="15"/>
      <c r="C18" s="16" t="s">
        <v>121</v>
      </c>
      <c r="D18" s="103">
        <f>D8*D9</f>
        <v>1100</v>
      </c>
      <c r="E18" s="17"/>
      <c r="F18" s="31"/>
      <c r="G18" s="32"/>
      <c r="H18" s="31"/>
      <c r="I18" s="1"/>
    </row>
    <row r="19" spans="1:9" ht="15">
      <c r="A19" s="1"/>
      <c r="B19" s="15"/>
      <c r="C19" s="16"/>
      <c r="D19" s="103"/>
      <c r="E19" s="17"/>
      <c r="F19" s="31"/>
      <c r="G19" s="32"/>
      <c r="H19" s="31"/>
      <c r="I19" s="1"/>
    </row>
    <row r="20" spans="1:9" ht="15">
      <c r="A20" s="1"/>
      <c r="B20" s="15"/>
      <c r="C20" s="16" t="s">
        <v>122</v>
      </c>
      <c r="D20" s="113">
        <f>(D18-D7)/D17</f>
        <v>12.214285714285715</v>
      </c>
      <c r="E20" s="17"/>
      <c r="F20" s="31"/>
      <c r="G20" s="32"/>
      <c r="H20" s="31"/>
      <c r="I20" s="1"/>
    </row>
    <row r="21" spans="1:9" ht="15">
      <c r="A21" s="1"/>
      <c r="B21" s="15"/>
      <c r="C21" s="16" t="s">
        <v>118</v>
      </c>
      <c r="D21" s="93"/>
      <c r="E21" s="17"/>
      <c r="F21" s="31"/>
      <c r="G21" s="32"/>
      <c r="H21" s="31"/>
      <c r="I21" s="1"/>
    </row>
    <row r="22" spans="1:9" ht="15">
      <c r="A22" s="1"/>
      <c r="B22" s="15"/>
      <c r="C22" s="16"/>
      <c r="D22" s="93"/>
      <c r="E22" s="17"/>
      <c r="F22" s="31"/>
      <c r="G22" s="32"/>
      <c r="H22" s="31"/>
      <c r="I22" s="1"/>
    </row>
    <row r="23" spans="1:9" ht="15.75">
      <c r="A23" s="1"/>
      <c r="B23" s="15"/>
      <c r="C23" s="16" t="s">
        <v>123</v>
      </c>
      <c r="D23" s="114">
        <f>(D8+D20)*D10</f>
        <v>56684</v>
      </c>
      <c r="E23" s="17"/>
      <c r="F23" s="31"/>
      <c r="G23" s="32"/>
      <c r="H23" s="31"/>
      <c r="I23" s="1"/>
    </row>
    <row r="24" spans="1:9" ht="15">
      <c r="A24" s="1"/>
      <c r="B24" s="15"/>
      <c r="C24" s="16" t="s">
        <v>118</v>
      </c>
      <c r="D24" s="93"/>
      <c r="E24" s="17"/>
      <c r="F24" s="31"/>
      <c r="G24" s="32"/>
      <c r="H24" s="31"/>
      <c r="I24" s="1"/>
    </row>
    <row r="25" spans="1:9" ht="15">
      <c r="A25" s="1"/>
      <c r="B25" s="15"/>
      <c r="C25" s="16"/>
      <c r="D25" s="93"/>
      <c r="E25" s="17"/>
      <c r="F25" s="31"/>
      <c r="G25" s="32"/>
      <c r="H25" s="31"/>
      <c r="I25" s="1"/>
    </row>
    <row r="26" spans="1:9" ht="15">
      <c r="A26" s="1"/>
      <c r="B26" s="15"/>
      <c r="C26" s="16" t="s">
        <v>124</v>
      </c>
      <c r="D26" s="93">
        <f>(D7/(1+D11))+(D23/((1+D11)^2))</f>
        <v>44055.093875038459</v>
      </c>
      <c r="E26" s="17"/>
      <c r="F26" s="31"/>
      <c r="G26" s="32"/>
      <c r="H26" s="31"/>
      <c r="I26" s="1"/>
    </row>
    <row r="27" spans="1:9" ht="15">
      <c r="A27" s="1"/>
      <c r="B27" s="15"/>
      <c r="C27" s="16" t="s">
        <v>125</v>
      </c>
      <c r="D27" s="93">
        <f>((D8*D9)/(1+D11))+((D8*D10)/((1+D11)^2))</f>
        <v>44055.093875038467</v>
      </c>
      <c r="E27" s="17"/>
      <c r="F27" s="31"/>
      <c r="G27" s="32"/>
      <c r="H27" s="31"/>
      <c r="I27" s="1"/>
    </row>
    <row r="28" spans="1:9" ht="15.75" thickBot="1">
      <c r="A28" s="1"/>
      <c r="B28" s="18"/>
      <c r="C28" s="19"/>
      <c r="D28" s="19"/>
      <c r="E28" s="20"/>
      <c r="F28" s="31"/>
      <c r="G28" s="31"/>
      <c r="H28" s="3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</sheetData>
  <phoneticPr fontId="1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61"/>
  <sheetViews>
    <sheetView zoomScaleNormal="100" workbookViewId="0"/>
  </sheetViews>
  <sheetFormatPr defaultRowHeight="12.75"/>
  <cols>
    <col min="2" max="2" width="3.140625" customWidth="1"/>
    <col min="3" max="3" width="22.7109375" customWidth="1"/>
    <col min="4" max="4" width="18.140625" customWidth="1"/>
    <col min="5" max="5" width="4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47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54</v>
      </c>
      <c r="D7" s="117">
        <v>4000</v>
      </c>
      <c r="E7" s="8"/>
      <c r="F7" s="31"/>
      <c r="G7" s="31"/>
      <c r="H7" s="31"/>
      <c r="I7" s="1"/>
    </row>
    <row r="8" spans="1:9" ht="15">
      <c r="A8" s="1"/>
      <c r="B8" s="6"/>
      <c r="C8" s="7" t="s">
        <v>45</v>
      </c>
      <c r="D8" s="77">
        <v>2.1</v>
      </c>
      <c r="E8" s="8"/>
      <c r="F8" s="31"/>
      <c r="G8" s="31"/>
      <c r="H8" s="31"/>
      <c r="I8" s="1"/>
    </row>
    <row r="9" spans="1:9" ht="15">
      <c r="A9" s="1"/>
      <c r="B9" s="6"/>
      <c r="C9" s="7" t="s">
        <v>55</v>
      </c>
      <c r="D9" s="117">
        <v>46</v>
      </c>
      <c r="E9" s="8"/>
      <c r="F9" s="31"/>
      <c r="G9" s="31"/>
      <c r="H9" s="31"/>
      <c r="I9" s="1"/>
    </row>
    <row r="10" spans="1:9" ht="15">
      <c r="A10" s="1"/>
      <c r="B10" s="6"/>
      <c r="C10" s="7" t="s">
        <v>20</v>
      </c>
      <c r="D10" s="78">
        <v>800</v>
      </c>
      <c r="E10" s="8"/>
      <c r="F10" s="31"/>
      <c r="G10" s="31"/>
      <c r="H10" s="31"/>
      <c r="I10" s="1"/>
    </row>
    <row r="11" spans="1:9" ht="15.75" thickBot="1">
      <c r="A11" s="1"/>
      <c r="B11" s="9"/>
      <c r="C11" s="10"/>
      <c r="D11" s="10"/>
      <c r="E11" s="11"/>
      <c r="F11" s="31"/>
      <c r="G11" s="31"/>
      <c r="H11" s="31"/>
      <c r="I11" s="1"/>
    </row>
    <row r="12" spans="1:9" ht="15">
      <c r="A12" s="1"/>
      <c r="B12" s="1"/>
      <c r="C12" s="1"/>
      <c r="D12" s="1"/>
      <c r="E12" s="1"/>
      <c r="F12" s="1"/>
      <c r="G12" s="1"/>
      <c r="H12" s="1"/>
      <c r="I12" s="1"/>
    </row>
    <row r="13" spans="1:9" ht="15">
      <c r="A13" s="1"/>
      <c r="B13" s="1"/>
      <c r="C13" s="2" t="s">
        <v>2</v>
      </c>
      <c r="D13" s="1"/>
      <c r="E13" s="1"/>
      <c r="F13" s="1"/>
      <c r="G13" s="1"/>
      <c r="H13" s="1"/>
      <c r="I13" s="1"/>
    </row>
    <row r="14" spans="1:9" ht="15.75" thickBot="1">
      <c r="A14" s="1"/>
      <c r="B14" s="1"/>
      <c r="C14" s="1"/>
      <c r="D14" s="1"/>
      <c r="E14" s="1"/>
      <c r="F14" s="1"/>
      <c r="G14" s="1"/>
      <c r="H14" s="1"/>
      <c r="I14" s="1"/>
    </row>
    <row r="15" spans="1:9" ht="15">
      <c r="A15" s="1"/>
      <c r="B15" s="12"/>
      <c r="C15" s="13"/>
      <c r="D15" s="13"/>
      <c r="E15" s="14"/>
      <c r="F15" s="31"/>
      <c r="G15" s="31"/>
      <c r="H15" s="31"/>
      <c r="I15" s="1"/>
    </row>
    <row r="16" spans="1:9" ht="15">
      <c r="A16" s="1"/>
      <c r="B16" s="64" t="s">
        <v>83</v>
      </c>
      <c r="C16" s="41" t="s">
        <v>57</v>
      </c>
      <c r="D16" s="16"/>
      <c r="E16" s="17"/>
      <c r="F16" s="31"/>
      <c r="G16" s="31"/>
      <c r="H16" s="31"/>
      <c r="I16" s="1"/>
    </row>
    <row r="17" spans="1:9" ht="15">
      <c r="A17" s="1"/>
      <c r="B17" s="15"/>
      <c r="C17" s="16" t="s">
        <v>56</v>
      </c>
      <c r="D17" s="118">
        <f>D7/D10</f>
        <v>5</v>
      </c>
      <c r="E17" s="17"/>
      <c r="F17" s="31"/>
      <c r="G17" s="31"/>
      <c r="H17" s="31"/>
      <c r="I17" s="1"/>
    </row>
    <row r="18" spans="1:9" ht="15.75">
      <c r="A18" s="1"/>
      <c r="B18" s="15"/>
      <c r="C18" s="16" t="s">
        <v>55</v>
      </c>
      <c r="D18" s="42">
        <f>D9-D17</f>
        <v>41</v>
      </c>
      <c r="E18" s="17"/>
      <c r="F18" s="31"/>
      <c r="G18" s="32"/>
      <c r="H18" s="31"/>
      <c r="I18" s="1"/>
    </row>
    <row r="19" spans="1:9" ht="15.75">
      <c r="A19" s="1"/>
      <c r="B19" s="15"/>
      <c r="C19" s="16" t="s">
        <v>126</v>
      </c>
      <c r="D19" s="39"/>
      <c r="E19" s="17"/>
      <c r="F19" s="31"/>
      <c r="G19" s="32"/>
      <c r="H19" s="31"/>
      <c r="I19" s="1"/>
    </row>
    <row r="20" spans="1:9" ht="15.75">
      <c r="A20" s="1"/>
      <c r="B20" s="15"/>
      <c r="C20" s="16" t="s">
        <v>127</v>
      </c>
      <c r="D20" s="40">
        <f>D17+D18</f>
        <v>46</v>
      </c>
      <c r="E20" s="17"/>
      <c r="F20" s="31"/>
      <c r="G20" s="32"/>
      <c r="H20" s="31"/>
      <c r="I20" s="1"/>
    </row>
    <row r="21" spans="1:9" ht="15">
      <c r="A21" s="1"/>
      <c r="B21" s="15"/>
      <c r="C21" s="16"/>
      <c r="D21" s="22"/>
      <c r="E21" s="17"/>
      <c r="F21" s="31"/>
      <c r="G21" s="32"/>
      <c r="H21" s="31"/>
      <c r="I21" s="1"/>
    </row>
    <row r="22" spans="1:9" ht="15.75">
      <c r="A22" s="1"/>
      <c r="B22" s="15"/>
      <c r="C22" s="41" t="s">
        <v>58</v>
      </c>
      <c r="D22" s="39"/>
      <c r="E22" s="17"/>
      <c r="F22" s="31"/>
      <c r="G22" s="32"/>
      <c r="H22" s="31"/>
      <c r="I22" s="1"/>
    </row>
    <row r="23" spans="1:9" ht="15">
      <c r="A23" s="1"/>
      <c r="B23" s="15"/>
      <c r="C23" s="16" t="s">
        <v>128</v>
      </c>
      <c r="D23" s="113">
        <f>D7/D9</f>
        <v>86.956521739130437</v>
      </c>
      <c r="E23" s="17"/>
      <c r="F23" s="31"/>
      <c r="G23" s="32"/>
      <c r="H23" s="31"/>
      <c r="I23" s="1"/>
    </row>
    <row r="24" spans="1:9" ht="15">
      <c r="A24" s="1"/>
      <c r="B24" s="15"/>
      <c r="C24" s="16" t="s">
        <v>129</v>
      </c>
      <c r="D24" s="22"/>
      <c r="E24" s="17"/>
      <c r="F24" s="31"/>
      <c r="G24" s="32"/>
      <c r="H24" s="31"/>
      <c r="I24" s="1"/>
    </row>
    <row r="25" spans="1:9" ht="15">
      <c r="A25" s="1"/>
      <c r="B25" s="15"/>
      <c r="C25" s="16" t="s">
        <v>59</v>
      </c>
      <c r="D25" s="103">
        <f>D9</f>
        <v>46</v>
      </c>
      <c r="E25" s="17"/>
      <c r="F25" s="31"/>
      <c r="G25" s="32"/>
      <c r="H25" s="31"/>
      <c r="I25" s="1"/>
    </row>
    <row r="26" spans="1:9" ht="15">
      <c r="A26" s="1"/>
      <c r="B26" s="15"/>
      <c r="C26" s="16" t="s">
        <v>130</v>
      </c>
      <c r="D26" s="22"/>
      <c r="E26" s="17"/>
      <c r="F26" s="31"/>
      <c r="G26" s="32"/>
      <c r="H26" s="31"/>
      <c r="I26" s="1"/>
    </row>
    <row r="27" spans="1:9" ht="15">
      <c r="A27" s="1"/>
      <c r="B27" s="15"/>
      <c r="C27" s="16" t="s">
        <v>131</v>
      </c>
      <c r="D27" s="103">
        <f>D9</f>
        <v>46</v>
      </c>
      <c r="E27" s="17"/>
      <c r="F27" s="31"/>
      <c r="G27" s="32"/>
      <c r="H27" s="31"/>
      <c r="I27" s="1"/>
    </row>
    <row r="28" spans="1:9" ht="15">
      <c r="A28" s="1"/>
      <c r="B28" s="15"/>
      <c r="C28" s="16"/>
      <c r="D28" s="103"/>
      <c r="E28" s="17"/>
      <c r="F28" s="31"/>
      <c r="G28" s="32"/>
      <c r="H28" s="31"/>
      <c r="I28" s="1"/>
    </row>
    <row r="29" spans="1:9" ht="15">
      <c r="A29" s="1"/>
      <c r="B29" s="64" t="s">
        <v>84</v>
      </c>
      <c r="C29" s="41" t="s">
        <v>57</v>
      </c>
      <c r="D29" s="103"/>
      <c r="E29" s="17"/>
      <c r="F29" s="31"/>
      <c r="G29" s="32"/>
      <c r="H29" s="31"/>
      <c r="I29" s="1"/>
    </row>
    <row r="30" spans="1:9" ht="15.75">
      <c r="A30" s="1"/>
      <c r="B30" s="15"/>
      <c r="C30" s="16" t="s">
        <v>132</v>
      </c>
      <c r="D30" s="42">
        <f>D8</f>
        <v>2.1</v>
      </c>
      <c r="E30" s="17"/>
      <c r="F30" s="31"/>
      <c r="G30" s="32"/>
      <c r="H30" s="31"/>
      <c r="I30" s="1"/>
    </row>
    <row r="31" spans="1:9" ht="15.75">
      <c r="A31" s="1"/>
      <c r="B31" s="15"/>
      <c r="C31" s="16" t="s">
        <v>60</v>
      </c>
      <c r="D31" s="43">
        <f>D18/D30</f>
        <v>19.523809523809522</v>
      </c>
      <c r="E31" s="17"/>
      <c r="F31" s="31"/>
      <c r="G31" s="32"/>
      <c r="H31" s="31"/>
      <c r="I31" s="1"/>
    </row>
    <row r="32" spans="1:9" ht="15.75">
      <c r="A32" s="1"/>
      <c r="B32" s="15"/>
      <c r="C32" s="16"/>
      <c r="D32" s="115"/>
      <c r="E32" s="17"/>
      <c r="F32" s="31"/>
      <c r="G32" s="32"/>
      <c r="H32" s="31"/>
      <c r="I32" s="1"/>
    </row>
    <row r="33" spans="1:9" ht="15.75">
      <c r="A33" s="1"/>
      <c r="B33" s="15"/>
      <c r="C33" s="41" t="s">
        <v>58</v>
      </c>
      <c r="D33" s="116"/>
      <c r="E33" s="17"/>
      <c r="F33" s="31"/>
      <c r="G33" s="32"/>
      <c r="H33" s="31"/>
      <c r="I33" s="1"/>
    </row>
    <row r="34" spans="1:9" ht="15.75">
      <c r="A34" s="1"/>
      <c r="B34" s="15"/>
      <c r="C34" s="16" t="s">
        <v>132</v>
      </c>
      <c r="D34" s="40">
        <f>(D30*D10)/(D10-D23)</f>
        <v>2.3560975609756101</v>
      </c>
      <c r="E34" s="17"/>
      <c r="F34" s="31"/>
      <c r="G34" s="32"/>
      <c r="H34" s="31"/>
      <c r="I34" s="1"/>
    </row>
    <row r="35" spans="1:9" ht="15.75">
      <c r="A35" s="1"/>
      <c r="B35" s="15"/>
      <c r="C35" s="16" t="s">
        <v>60</v>
      </c>
      <c r="D35" s="43">
        <f>D9/D34</f>
        <v>19.523809523809522</v>
      </c>
      <c r="E35" s="17"/>
      <c r="F35" s="31"/>
      <c r="G35" s="32"/>
      <c r="H35" s="31"/>
      <c r="I35" s="1"/>
    </row>
    <row r="36" spans="1:9" ht="15">
      <c r="A36" s="1"/>
      <c r="B36" s="15"/>
      <c r="C36" s="16"/>
      <c r="D36" s="22"/>
      <c r="E36" s="17"/>
      <c r="F36" s="31"/>
      <c r="G36" s="32"/>
      <c r="H36" s="31"/>
      <c r="I36" s="1"/>
    </row>
    <row r="37" spans="1:9" ht="15">
      <c r="A37" s="1"/>
      <c r="B37" s="64" t="s">
        <v>91</v>
      </c>
      <c r="C37" s="16" t="s">
        <v>61</v>
      </c>
      <c r="D37" s="22"/>
      <c r="E37" s="17"/>
      <c r="F37" s="31"/>
      <c r="G37" s="32"/>
      <c r="H37" s="31"/>
      <c r="I37" s="1"/>
    </row>
    <row r="38" spans="1:9" ht="15">
      <c r="A38" s="1"/>
      <c r="B38" s="15"/>
      <c r="C38" s="16" t="s">
        <v>62</v>
      </c>
      <c r="D38" s="22"/>
      <c r="E38" s="17"/>
      <c r="F38" s="31"/>
      <c r="G38" s="32"/>
      <c r="H38" s="31"/>
      <c r="I38" s="1"/>
    </row>
    <row r="39" spans="1:9" ht="15">
      <c r="A39" s="1"/>
      <c r="B39" s="15"/>
      <c r="C39" s="16" t="s">
        <v>63</v>
      </c>
      <c r="D39" s="22"/>
      <c r="E39" s="17"/>
      <c r="F39" s="31"/>
      <c r="G39" s="32"/>
      <c r="H39" s="31"/>
      <c r="I39" s="1"/>
    </row>
    <row r="40" spans="1:9" ht="15">
      <c r="A40" s="1"/>
      <c r="B40" s="15"/>
      <c r="C40" s="16" t="s">
        <v>64</v>
      </c>
      <c r="D40" s="22"/>
      <c r="E40" s="17"/>
      <c r="F40" s="31"/>
      <c r="G40" s="32"/>
      <c r="H40" s="31"/>
      <c r="I40" s="1"/>
    </row>
    <row r="41" spans="1:9" ht="15">
      <c r="A41" s="1"/>
      <c r="B41" s="15"/>
      <c r="C41" s="16" t="s">
        <v>65</v>
      </c>
      <c r="D41" s="22"/>
      <c r="E41" s="17"/>
      <c r="F41" s="31"/>
      <c r="G41" s="32"/>
      <c r="H41" s="31"/>
      <c r="I41" s="1"/>
    </row>
    <row r="42" spans="1:9" ht="15">
      <c r="A42" s="1"/>
      <c r="B42" s="15"/>
      <c r="C42" s="16" t="s">
        <v>66</v>
      </c>
      <c r="D42" s="22"/>
      <c r="E42" s="17"/>
      <c r="F42" s="31"/>
      <c r="G42" s="32"/>
      <c r="H42" s="31"/>
      <c r="I42" s="1"/>
    </row>
    <row r="43" spans="1:9" ht="15.75" thickBot="1">
      <c r="A43" s="1"/>
      <c r="B43" s="18"/>
      <c r="C43" s="19"/>
      <c r="D43" s="19"/>
      <c r="E43" s="20"/>
      <c r="F43" s="31"/>
      <c r="G43" s="31"/>
      <c r="H43" s="3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</sheetData>
  <phoneticPr fontId="1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57"/>
  <sheetViews>
    <sheetView workbookViewId="0"/>
  </sheetViews>
  <sheetFormatPr defaultRowHeight="12.75"/>
  <cols>
    <col min="2" max="2" width="3.140625" customWidth="1"/>
    <col min="3" max="3" width="27" customWidth="1"/>
    <col min="4" max="4" width="18.14062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48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143</v>
      </c>
      <c r="D7" s="130">
        <v>85000</v>
      </c>
      <c r="E7" s="8"/>
      <c r="F7" s="31"/>
      <c r="G7" s="31"/>
      <c r="H7" s="31"/>
      <c r="I7" s="1"/>
    </row>
    <row r="8" spans="1:9" ht="15">
      <c r="A8" s="1"/>
      <c r="B8" s="6"/>
      <c r="C8" s="7" t="s">
        <v>20</v>
      </c>
      <c r="D8" s="62">
        <v>25000</v>
      </c>
      <c r="E8" s="8"/>
      <c r="F8" s="31"/>
      <c r="G8" s="31"/>
      <c r="H8" s="31"/>
      <c r="I8" s="1"/>
    </row>
    <row r="9" spans="1:9" ht="15">
      <c r="A9" s="1"/>
      <c r="B9" s="6"/>
      <c r="C9" s="7" t="s">
        <v>145</v>
      </c>
      <c r="D9" s="104">
        <v>1725000</v>
      </c>
      <c r="E9" s="8"/>
      <c r="F9" s="31"/>
      <c r="G9" s="31"/>
      <c r="H9" s="31"/>
      <c r="I9" s="1"/>
    </row>
    <row r="10" spans="1:9" ht="15">
      <c r="A10" s="1"/>
      <c r="B10" s="6"/>
      <c r="C10" s="7" t="s">
        <v>133</v>
      </c>
      <c r="D10" s="60">
        <v>0.12</v>
      </c>
      <c r="E10" s="8"/>
      <c r="F10" s="31"/>
      <c r="G10" s="31"/>
      <c r="H10" s="31"/>
      <c r="I10" s="1"/>
    </row>
    <row r="11" spans="1:9" ht="15">
      <c r="A11" s="1"/>
      <c r="B11" s="63" t="s">
        <v>91</v>
      </c>
      <c r="C11" s="7" t="s">
        <v>146</v>
      </c>
      <c r="D11" s="131">
        <v>4.5999999999999996</v>
      </c>
      <c r="E11" s="8"/>
      <c r="F11" s="31"/>
      <c r="G11" s="31"/>
      <c r="H11" s="31"/>
      <c r="I11" s="1"/>
    </row>
    <row r="12" spans="1:9" ht="15.75" thickBot="1">
      <c r="A12" s="1"/>
      <c r="B12" s="9"/>
      <c r="C12" s="10"/>
      <c r="D12" s="10"/>
      <c r="E12" s="11"/>
      <c r="F12" s="31"/>
      <c r="G12" s="31"/>
      <c r="H12" s="31"/>
      <c r="I12" s="1"/>
    </row>
    <row r="13" spans="1:9" ht="15">
      <c r="A13" s="1"/>
      <c r="B13" s="1"/>
      <c r="C13" s="1"/>
      <c r="D13" s="1"/>
      <c r="E13" s="1"/>
      <c r="F13" s="1"/>
      <c r="G13" s="1"/>
      <c r="H13" s="1"/>
      <c r="I13" s="1"/>
    </row>
    <row r="14" spans="1:9" ht="15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">
      <c r="A16" s="1"/>
      <c r="B16" s="12"/>
      <c r="C16" s="13"/>
      <c r="D16" s="13"/>
      <c r="E16" s="14"/>
      <c r="F16" s="31"/>
      <c r="G16" s="31"/>
      <c r="H16" s="31"/>
      <c r="I16" s="1"/>
    </row>
    <row r="17" spans="1:9" ht="15.75">
      <c r="A17" s="1"/>
      <c r="B17" s="64" t="s">
        <v>83</v>
      </c>
      <c r="C17" s="16" t="s">
        <v>147</v>
      </c>
      <c r="D17" s="40">
        <f>D7+(D9/(1+D10))</f>
        <v>1625178.5714285714</v>
      </c>
      <c r="E17" s="17"/>
      <c r="F17" s="31"/>
      <c r="G17" s="31"/>
      <c r="H17" s="31"/>
      <c r="I17" s="1"/>
    </row>
    <row r="18" spans="1:9" ht="15">
      <c r="A18" s="1"/>
      <c r="B18" s="64"/>
      <c r="C18" s="16"/>
      <c r="D18" s="22"/>
      <c r="E18" s="17"/>
      <c r="F18" s="31"/>
      <c r="G18" s="32"/>
      <c r="H18" s="31"/>
      <c r="I18" s="1"/>
    </row>
    <row r="19" spans="1:9" ht="15">
      <c r="A19" s="1"/>
      <c r="B19" s="64" t="s">
        <v>84</v>
      </c>
      <c r="C19" s="16" t="s">
        <v>148</v>
      </c>
      <c r="D19" s="133">
        <f>D17/D8</f>
        <v>65.007142857142853</v>
      </c>
      <c r="E19" s="17"/>
      <c r="F19" s="31"/>
      <c r="G19" s="32"/>
      <c r="H19" s="31"/>
      <c r="I19" s="1"/>
    </row>
    <row r="20" spans="1:9" ht="15">
      <c r="A20" s="1"/>
      <c r="B20" s="64"/>
      <c r="C20" s="16" t="s">
        <v>149</v>
      </c>
      <c r="D20" s="133">
        <f>D7/D8</f>
        <v>3.4</v>
      </c>
      <c r="E20" s="17"/>
      <c r="F20" s="31"/>
      <c r="G20" s="32"/>
      <c r="H20" s="31"/>
      <c r="I20" s="1"/>
    </row>
    <row r="21" spans="1:9" ht="15.75">
      <c r="A21" s="1"/>
      <c r="B21" s="64"/>
      <c r="C21" s="16"/>
      <c r="D21" s="132"/>
      <c r="E21" s="17"/>
      <c r="F21" s="31"/>
      <c r="G21" s="32"/>
      <c r="H21" s="31"/>
      <c r="I21" s="1"/>
    </row>
    <row r="22" spans="1:9" ht="15.75">
      <c r="A22" s="1"/>
      <c r="B22" s="64"/>
      <c r="C22" s="16" t="s">
        <v>7</v>
      </c>
      <c r="D22" s="123">
        <f>D19-D20</f>
        <v>61.607142857142854</v>
      </c>
      <c r="E22" s="17"/>
      <c r="F22" s="31"/>
      <c r="G22" s="32"/>
      <c r="H22" s="31"/>
      <c r="I22" s="1"/>
    </row>
    <row r="23" spans="1:9" ht="15">
      <c r="A23" s="1"/>
      <c r="B23" s="64"/>
      <c r="C23" s="16"/>
      <c r="D23" s="22"/>
      <c r="E23" s="17"/>
      <c r="F23" s="31"/>
      <c r="G23" s="32"/>
      <c r="H23" s="31"/>
      <c r="I23" s="1"/>
    </row>
    <row r="24" spans="1:9" ht="15">
      <c r="A24" s="1"/>
      <c r="B24" s="64" t="s">
        <v>91</v>
      </c>
      <c r="C24" s="16" t="s">
        <v>150</v>
      </c>
      <c r="D24" s="70">
        <f>D11*D8</f>
        <v>114999.99999999999</v>
      </c>
      <c r="E24" s="17"/>
      <c r="F24" s="31"/>
      <c r="G24" s="32"/>
      <c r="H24" s="31"/>
      <c r="I24" s="1"/>
    </row>
    <row r="25" spans="1:9" ht="15">
      <c r="A25" s="1"/>
      <c r="B25" s="64"/>
      <c r="C25" s="16" t="s">
        <v>151</v>
      </c>
      <c r="D25" s="70">
        <f>D24-D7</f>
        <v>29999.999999999985</v>
      </c>
      <c r="E25" s="17"/>
      <c r="F25" s="31"/>
      <c r="G25" s="32"/>
      <c r="H25" s="31"/>
      <c r="I25" s="1"/>
    </row>
    <row r="26" spans="1:9" ht="15">
      <c r="A26" s="1"/>
      <c r="B26" s="64"/>
      <c r="C26" s="128" t="s">
        <v>152</v>
      </c>
      <c r="D26" s="103"/>
      <c r="E26" s="17"/>
      <c r="F26" s="31"/>
      <c r="G26" s="32"/>
      <c r="H26" s="31"/>
      <c r="I26" s="1"/>
    </row>
    <row r="27" spans="1:9" ht="15">
      <c r="A27" s="1"/>
      <c r="B27" s="64"/>
      <c r="C27" s="128" t="s">
        <v>153</v>
      </c>
      <c r="D27" s="103">
        <f>D25*(1+D10)</f>
        <v>33599.999999999985</v>
      </c>
      <c r="E27" s="17"/>
      <c r="F27" s="31"/>
      <c r="G27" s="32"/>
      <c r="H27" s="31"/>
      <c r="I27" s="1"/>
    </row>
    <row r="28" spans="1:9" ht="15">
      <c r="A28" s="1"/>
      <c r="B28" s="64"/>
      <c r="C28" s="128" t="s">
        <v>154</v>
      </c>
      <c r="D28" s="103"/>
      <c r="E28" s="17"/>
      <c r="F28" s="31"/>
      <c r="G28" s="32"/>
      <c r="H28" s="31"/>
      <c r="I28" s="1"/>
    </row>
    <row r="29" spans="1:9" ht="15">
      <c r="A29" s="1"/>
      <c r="B29" s="64"/>
      <c r="C29" s="128" t="s">
        <v>153</v>
      </c>
      <c r="D29" s="103">
        <f>D9-D27</f>
        <v>1691400</v>
      </c>
      <c r="E29" s="17"/>
      <c r="F29" s="31"/>
      <c r="G29" s="32"/>
      <c r="H29" s="31"/>
      <c r="I29" s="1"/>
    </row>
    <row r="30" spans="1:9" ht="15">
      <c r="A30" s="1"/>
      <c r="B30" s="64"/>
      <c r="C30" s="128"/>
      <c r="D30" s="103"/>
      <c r="E30" s="17"/>
      <c r="F30" s="31"/>
      <c r="G30" s="32"/>
      <c r="H30" s="31"/>
      <c r="I30" s="1"/>
    </row>
    <row r="31" spans="1:9" ht="15.75">
      <c r="A31" s="1"/>
      <c r="B31" s="64"/>
      <c r="C31" s="128" t="s">
        <v>155</v>
      </c>
      <c r="D31" s="40">
        <f>D24+(D29/(1+D10))</f>
        <v>1625178.5714285714</v>
      </c>
      <c r="E31" s="17"/>
      <c r="F31" s="31"/>
      <c r="G31" s="32"/>
      <c r="H31" s="31"/>
      <c r="I31" s="1"/>
    </row>
    <row r="32" spans="1:9" ht="15.75">
      <c r="A32" s="1"/>
      <c r="B32" s="64"/>
      <c r="C32" s="128"/>
      <c r="D32" s="39"/>
      <c r="E32" s="17"/>
      <c r="F32" s="31"/>
      <c r="G32" s="32"/>
      <c r="H32" s="31"/>
      <c r="I32" s="1"/>
    </row>
    <row r="33" spans="1:9" ht="15.75">
      <c r="A33" s="1"/>
      <c r="B33" s="64"/>
      <c r="C33" s="128" t="s">
        <v>156</v>
      </c>
      <c r="D33" s="39"/>
      <c r="E33" s="17"/>
      <c r="F33" s="31"/>
      <c r="G33" s="32"/>
      <c r="H33" s="31"/>
      <c r="I33" s="1"/>
    </row>
    <row r="34" spans="1:9" ht="15.75">
      <c r="A34" s="1"/>
      <c r="B34" s="64"/>
      <c r="C34" s="128"/>
      <c r="D34" s="39"/>
      <c r="E34" s="17"/>
      <c r="F34" s="31"/>
      <c r="G34" s="32"/>
      <c r="H34" s="31"/>
      <c r="I34" s="1"/>
    </row>
    <row r="35" spans="1:9" ht="15">
      <c r="A35" s="1"/>
      <c r="B35" s="64" t="s">
        <v>92</v>
      </c>
      <c r="C35" s="128" t="s">
        <v>157</v>
      </c>
      <c r="D35" s="103">
        <f>D29/(1+D10)</f>
        <v>1510178.5714285714</v>
      </c>
      <c r="E35" s="17"/>
      <c r="F35" s="31"/>
      <c r="G35" s="32"/>
      <c r="H35" s="31"/>
      <c r="I35" s="1"/>
    </row>
    <row r="36" spans="1:9" ht="15">
      <c r="A36" s="1"/>
      <c r="B36" s="64"/>
      <c r="C36" s="128" t="s">
        <v>158</v>
      </c>
      <c r="D36" s="103">
        <f>D35/D8</f>
        <v>60.407142857142851</v>
      </c>
      <c r="E36" s="17"/>
      <c r="F36" s="31"/>
      <c r="G36" s="32"/>
      <c r="H36" s="31"/>
      <c r="I36" s="1"/>
    </row>
    <row r="37" spans="1:9" ht="15">
      <c r="A37" s="1"/>
      <c r="B37" s="64"/>
      <c r="C37" s="128"/>
      <c r="D37" s="103"/>
      <c r="E37" s="17"/>
      <c r="F37" s="31"/>
      <c r="G37" s="32"/>
      <c r="H37" s="31"/>
      <c r="I37" s="1"/>
    </row>
    <row r="38" spans="1:9" ht="15.75">
      <c r="A38" s="1"/>
      <c r="B38" s="64"/>
      <c r="C38" s="128" t="s">
        <v>137</v>
      </c>
      <c r="D38" s="134">
        <f>D25/D36</f>
        <v>496.63001064207145</v>
      </c>
      <c r="E38" s="17"/>
      <c r="F38" s="31"/>
      <c r="G38" s="32"/>
      <c r="H38" s="31"/>
      <c r="I38" s="1"/>
    </row>
    <row r="39" spans="1:9" ht="15.75" thickBot="1">
      <c r="A39" s="1"/>
      <c r="B39" s="105"/>
      <c r="C39" s="19"/>
      <c r="D39" s="19"/>
      <c r="E39" s="20"/>
      <c r="F39" s="31"/>
      <c r="G39" s="32"/>
      <c r="H39" s="31"/>
      <c r="I39" s="1"/>
    </row>
    <row r="40" spans="1:9" ht="15">
      <c r="A40" s="1"/>
      <c r="B40" s="31"/>
      <c r="C40" s="31"/>
      <c r="D40" s="31"/>
      <c r="E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E57" s="1"/>
      <c r="F57" s="1"/>
      <c r="G57" s="1"/>
      <c r="H57" s="1"/>
      <c r="I57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42"/>
  <sheetViews>
    <sheetView workbookViewId="0"/>
  </sheetViews>
  <sheetFormatPr defaultRowHeight="12.75"/>
  <cols>
    <col min="2" max="2" width="3.140625" customWidth="1"/>
    <col min="3" max="3" width="27" customWidth="1"/>
    <col min="4" max="4" width="18.14062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52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160</v>
      </c>
      <c r="D7" s="130">
        <v>1100000</v>
      </c>
      <c r="E7" s="8"/>
      <c r="F7" s="31"/>
      <c r="G7" s="31"/>
      <c r="H7" s="31"/>
      <c r="I7" s="1"/>
    </row>
    <row r="8" spans="1:9" ht="15">
      <c r="A8" s="1"/>
      <c r="B8" s="6"/>
      <c r="C8" s="7" t="s">
        <v>161</v>
      </c>
      <c r="D8" s="104">
        <v>15000000</v>
      </c>
      <c r="E8" s="8"/>
      <c r="F8" s="31"/>
      <c r="G8" s="31"/>
      <c r="H8" s="31"/>
      <c r="I8" s="1"/>
    </row>
    <row r="9" spans="1:9" ht="15">
      <c r="A9" s="1"/>
      <c r="B9" s="6"/>
      <c r="C9" s="7" t="s">
        <v>20</v>
      </c>
      <c r="D9" s="78">
        <v>600000</v>
      </c>
      <c r="E9" s="8"/>
      <c r="F9" s="31"/>
      <c r="G9" s="31"/>
      <c r="H9" s="31"/>
      <c r="I9" s="1"/>
    </row>
    <row r="10" spans="1:9" ht="15">
      <c r="A10" s="1"/>
      <c r="B10" s="63" t="s">
        <v>84</v>
      </c>
      <c r="C10" s="7" t="s">
        <v>162</v>
      </c>
      <c r="D10" s="60">
        <v>0.5</v>
      </c>
      <c r="E10" s="8"/>
      <c r="F10" s="31"/>
      <c r="G10" s="31"/>
      <c r="H10" s="31"/>
      <c r="I10" s="1"/>
    </row>
    <row r="11" spans="1:9" ht="15">
      <c r="A11" s="1"/>
      <c r="B11" s="63"/>
      <c r="C11" s="7" t="s">
        <v>110</v>
      </c>
      <c r="D11" s="62">
        <v>1000</v>
      </c>
      <c r="E11" s="8"/>
      <c r="F11" s="31"/>
      <c r="G11" s="31"/>
      <c r="H11" s="31"/>
      <c r="I11" s="1"/>
    </row>
    <row r="12" spans="1:9" ht="15.75" thickBot="1">
      <c r="A12" s="1"/>
      <c r="B12" s="9"/>
      <c r="C12" s="10"/>
      <c r="D12" s="10"/>
      <c r="E12" s="11"/>
      <c r="F12" s="31"/>
      <c r="G12" s="31"/>
      <c r="H12" s="31"/>
      <c r="I12" s="1"/>
    </row>
    <row r="13" spans="1:9" ht="15">
      <c r="A13" s="1"/>
      <c r="B13" s="1"/>
      <c r="C13" s="1"/>
      <c r="D13" s="1"/>
      <c r="E13" s="1"/>
      <c r="F13" s="1"/>
      <c r="G13" s="1"/>
      <c r="H13" s="1"/>
      <c r="I13" s="1"/>
    </row>
    <row r="14" spans="1:9" ht="15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">
      <c r="A16" s="1"/>
      <c r="B16" s="12"/>
      <c r="C16" s="13"/>
      <c r="D16" s="13"/>
      <c r="E16" s="14"/>
      <c r="F16" s="31"/>
      <c r="G16" s="31"/>
      <c r="H16" s="31"/>
      <c r="I16" s="1"/>
    </row>
    <row r="17" spans="1:9" ht="15.75">
      <c r="A17" s="1"/>
      <c r="B17" s="64" t="s">
        <v>83</v>
      </c>
      <c r="C17" s="16" t="s">
        <v>86</v>
      </c>
      <c r="D17" s="40">
        <f>(D8+D7)/D9</f>
        <v>26.833333333333332</v>
      </c>
      <c r="E17" s="17"/>
      <c r="F17" s="31"/>
      <c r="G17" s="31"/>
      <c r="H17" s="31"/>
      <c r="I17" s="1"/>
    </row>
    <row r="18" spans="1:9" ht="15">
      <c r="A18" s="1"/>
      <c r="B18" s="64"/>
      <c r="C18" s="16"/>
      <c r="D18" s="22"/>
      <c r="E18" s="17"/>
      <c r="F18" s="31"/>
      <c r="G18" s="32"/>
      <c r="H18" s="31"/>
      <c r="I18" s="1"/>
    </row>
    <row r="19" spans="1:9" ht="15">
      <c r="A19" s="1"/>
      <c r="B19" s="64" t="s">
        <v>84</v>
      </c>
      <c r="C19" s="16" t="s">
        <v>3</v>
      </c>
      <c r="D19" s="133">
        <f>(D7*D10)/D9</f>
        <v>0.91666666666666663</v>
      </c>
      <c r="E19" s="17"/>
      <c r="F19" s="31"/>
      <c r="G19" s="32"/>
      <c r="H19" s="31"/>
      <c r="I19" s="1"/>
    </row>
    <row r="20" spans="1:9" ht="15">
      <c r="A20" s="1"/>
      <c r="B20" s="64"/>
      <c r="C20" s="16" t="s">
        <v>163</v>
      </c>
      <c r="D20" s="133">
        <f>D19*D11</f>
        <v>916.66666666666663</v>
      </c>
      <c r="E20" s="17"/>
      <c r="F20" s="31"/>
      <c r="G20" s="32"/>
      <c r="H20" s="31"/>
      <c r="I20" s="1"/>
    </row>
    <row r="21" spans="1:9" ht="15">
      <c r="A21" s="1"/>
      <c r="B21" s="64"/>
      <c r="C21" s="16" t="s">
        <v>7</v>
      </c>
      <c r="D21" s="133">
        <f>D17-D19</f>
        <v>25.916666666666664</v>
      </c>
      <c r="E21" s="17"/>
      <c r="F21" s="31"/>
      <c r="G21" s="32"/>
      <c r="H21" s="31"/>
      <c r="I21" s="1"/>
    </row>
    <row r="22" spans="1:9" ht="15">
      <c r="A22" s="1"/>
      <c r="B22" s="64"/>
      <c r="C22" s="128"/>
      <c r="D22" s="103"/>
      <c r="E22" s="17"/>
      <c r="F22" s="31"/>
      <c r="G22" s="32"/>
      <c r="H22" s="31"/>
      <c r="I22" s="1"/>
    </row>
    <row r="23" spans="1:9" ht="15.75">
      <c r="A23" s="1"/>
      <c r="B23" s="64"/>
      <c r="C23" s="128" t="s">
        <v>164</v>
      </c>
      <c r="D23" s="134">
        <f>D20/D21</f>
        <v>35.369774919614152</v>
      </c>
      <c r="E23" s="17"/>
      <c r="F23" s="31"/>
      <c r="G23" s="32"/>
      <c r="H23" s="31"/>
      <c r="I23" s="1"/>
    </row>
    <row r="24" spans="1:9" ht="15.75" thickBot="1">
      <c r="A24" s="1"/>
      <c r="B24" s="105"/>
      <c r="C24" s="19"/>
      <c r="D24" s="19"/>
      <c r="E24" s="20"/>
      <c r="F24" s="31"/>
      <c r="G24" s="32"/>
      <c r="H24" s="31"/>
      <c r="I24" s="1"/>
    </row>
    <row r="25" spans="1:9" ht="15">
      <c r="A25" s="1"/>
      <c r="B25" s="31"/>
      <c r="C25" s="31"/>
      <c r="D25" s="31"/>
      <c r="E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E42" s="1"/>
      <c r="F42" s="1"/>
      <c r="G42" s="1"/>
      <c r="H42" s="1"/>
      <c r="I42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41"/>
  <sheetViews>
    <sheetView workbookViewId="0"/>
  </sheetViews>
  <sheetFormatPr defaultRowHeight="12.75"/>
  <cols>
    <col min="2" max="2" width="3.140625" customWidth="1"/>
    <col min="3" max="3" width="27" customWidth="1"/>
    <col min="4" max="4" width="18.14062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53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166</v>
      </c>
      <c r="D7" s="135">
        <v>1.8</v>
      </c>
      <c r="E7" s="8"/>
      <c r="F7" s="31"/>
      <c r="G7" s="31"/>
      <c r="H7" s="31"/>
      <c r="I7" s="1"/>
    </row>
    <row r="8" spans="1:9" ht="15">
      <c r="A8" s="1"/>
      <c r="B8" s="6"/>
      <c r="C8" s="7" t="s">
        <v>144</v>
      </c>
      <c r="D8" s="60">
        <v>0.4</v>
      </c>
      <c r="E8" s="8"/>
      <c r="F8" s="31"/>
      <c r="G8" s="31"/>
      <c r="H8" s="31"/>
      <c r="I8" s="1"/>
    </row>
    <row r="9" spans="1:9" ht="15">
      <c r="A9" s="1"/>
      <c r="B9" s="6"/>
      <c r="C9" s="7" t="s">
        <v>167</v>
      </c>
      <c r="D9" s="131">
        <v>4.95</v>
      </c>
      <c r="E9" s="8"/>
      <c r="F9" s="31"/>
      <c r="G9" s="31"/>
      <c r="H9" s="31"/>
      <c r="I9" s="1"/>
    </row>
    <row r="10" spans="1:9" ht="15">
      <c r="A10" s="1"/>
      <c r="B10" s="63" t="s">
        <v>83</v>
      </c>
      <c r="C10" s="7" t="s">
        <v>168</v>
      </c>
      <c r="D10" s="160">
        <v>0.3</v>
      </c>
      <c r="E10" s="8"/>
      <c r="F10" s="31"/>
      <c r="G10" s="31"/>
      <c r="H10" s="31"/>
      <c r="I10" s="1"/>
    </row>
    <row r="11" spans="1:9" ht="15">
      <c r="A11" s="1"/>
      <c r="B11" s="63" t="s">
        <v>84</v>
      </c>
      <c r="C11" s="7" t="s">
        <v>168</v>
      </c>
      <c r="D11" s="160">
        <v>0.6</v>
      </c>
      <c r="E11" s="8"/>
      <c r="F11" s="31"/>
      <c r="G11" s="31"/>
      <c r="H11" s="31"/>
      <c r="I11" s="1"/>
    </row>
    <row r="12" spans="1:9" ht="15.75" thickBot="1">
      <c r="A12" s="1"/>
      <c r="B12" s="9"/>
      <c r="C12" s="10"/>
      <c r="D12" s="10"/>
      <c r="E12" s="11"/>
      <c r="F12" s="31"/>
      <c r="G12" s="31"/>
      <c r="H12" s="31"/>
      <c r="I12" s="1"/>
    </row>
    <row r="13" spans="1:9" ht="15">
      <c r="A13" s="1"/>
      <c r="B13" s="1"/>
      <c r="C13" s="1"/>
      <c r="D13" s="1"/>
      <c r="E13" s="1"/>
      <c r="F13" s="1"/>
      <c r="G13" s="1"/>
      <c r="H13" s="1"/>
      <c r="I13" s="1"/>
    </row>
    <row r="14" spans="1:9" ht="15">
      <c r="A14" s="1"/>
      <c r="B14" s="1"/>
      <c r="C14" s="2" t="s">
        <v>2</v>
      </c>
      <c r="D14" s="1"/>
      <c r="E14" s="1"/>
      <c r="F14" s="1"/>
      <c r="G14" s="1"/>
      <c r="H14" s="1"/>
      <c r="I14" s="1"/>
    </row>
    <row r="15" spans="1:9" ht="15.75" thickBot="1">
      <c r="A15" s="1"/>
      <c r="B15" s="1"/>
      <c r="C15" s="1"/>
      <c r="D15" s="1"/>
      <c r="E15" s="1"/>
      <c r="F15" s="1"/>
      <c r="G15" s="1"/>
      <c r="H15" s="1"/>
      <c r="I15" s="1"/>
    </row>
    <row r="16" spans="1:9" ht="15">
      <c r="A16" s="1"/>
      <c r="B16" s="12"/>
      <c r="C16" s="13"/>
      <c r="D16" s="13"/>
      <c r="E16" s="14"/>
      <c r="F16" s="31"/>
      <c r="G16" s="31"/>
      <c r="H16" s="31"/>
      <c r="I16" s="1"/>
    </row>
    <row r="17" spans="1:9" ht="15.75">
      <c r="A17" s="1"/>
      <c r="B17" s="64" t="s">
        <v>83</v>
      </c>
      <c r="C17" s="16" t="s">
        <v>169</v>
      </c>
      <c r="D17" s="40">
        <f>D7+D10*((D8*D9)-D7)</f>
        <v>1.8540000000000001</v>
      </c>
      <c r="E17" s="17"/>
      <c r="F17" s="31"/>
      <c r="G17" s="31"/>
      <c r="H17" s="31"/>
      <c r="I17" s="1"/>
    </row>
    <row r="18" spans="1:9" ht="15">
      <c r="A18" s="1"/>
      <c r="B18" s="64"/>
      <c r="C18" s="16"/>
      <c r="D18" s="33"/>
      <c r="E18" s="17"/>
      <c r="F18" s="31"/>
      <c r="G18" s="32"/>
      <c r="H18" s="31"/>
      <c r="I18" s="1"/>
    </row>
    <row r="19" spans="1:9" ht="15.75">
      <c r="A19" s="1"/>
      <c r="B19" s="64" t="s">
        <v>84</v>
      </c>
      <c r="C19" s="16" t="s">
        <v>169</v>
      </c>
      <c r="D19" s="40">
        <f>D7+(D11*((D8*D9)-D7))</f>
        <v>1.9080000000000001</v>
      </c>
      <c r="E19" s="17"/>
      <c r="F19" s="31"/>
      <c r="G19" s="32"/>
      <c r="H19" s="31"/>
      <c r="I19" s="1"/>
    </row>
    <row r="20" spans="1:9" ht="15.75">
      <c r="A20" s="1"/>
      <c r="B20" s="64"/>
      <c r="C20" s="16"/>
      <c r="D20" s="136"/>
      <c r="E20" s="17"/>
      <c r="F20" s="31"/>
      <c r="G20" s="32"/>
      <c r="H20" s="31"/>
      <c r="I20" s="1"/>
    </row>
    <row r="21" spans="1:9" ht="15.75">
      <c r="A21" s="1"/>
      <c r="B21" s="64" t="s">
        <v>91</v>
      </c>
      <c r="C21" s="16" t="s">
        <v>170</v>
      </c>
      <c r="D21" s="136"/>
      <c r="E21" s="17"/>
      <c r="F21" s="31"/>
      <c r="G21" s="32"/>
      <c r="H21" s="31"/>
      <c r="I21" s="1"/>
    </row>
    <row r="22" spans="1:9" ht="15.75">
      <c r="A22" s="1"/>
      <c r="B22" s="64"/>
      <c r="C22" s="16" t="s">
        <v>171</v>
      </c>
      <c r="D22" s="136"/>
      <c r="E22" s="17"/>
      <c r="F22" s="31"/>
      <c r="G22" s="32"/>
      <c r="H22" s="31"/>
      <c r="I22" s="1"/>
    </row>
    <row r="23" spans="1:9" ht="15.75" thickBot="1">
      <c r="A23" s="1"/>
      <c r="B23" s="105"/>
      <c r="C23" s="19"/>
      <c r="D23" s="19"/>
      <c r="E23" s="20"/>
      <c r="F23" s="31"/>
      <c r="G23" s="32"/>
      <c r="H23" s="31"/>
      <c r="I23" s="1"/>
    </row>
    <row r="24" spans="1:9" ht="15">
      <c r="A24" s="1"/>
      <c r="B24" s="31"/>
      <c r="C24" s="31"/>
      <c r="D24" s="31"/>
      <c r="E24" s="1"/>
    </row>
    <row r="25" spans="1:9" ht="15">
      <c r="A25" s="1"/>
      <c r="B25" s="1"/>
      <c r="C25" s="1"/>
      <c r="D25" s="1"/>
      <c r="E25" s="1"/>
      <c r="F25" s="1"/>
      <c r="G25" s="1"/>
      <c r="H25" s="1"/>
      <c r="I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E41" s="1"/>
      <c r="F41" s="1"/>
      <c r="G41" s="1"/>
      <c r="H41" s="1"/>
      <c r="I41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"/>
  <sheetViews>
    <sheetView workbookViewId="0"/>
  </sheetViews>
  <sheetFormatPr defaultRowHeight="12.75"/>
  <cols>
    <col min="2" max="2" width="3.140625" customWidth="1"/>
    <col min="3" max="3" width="24" customWidth="1"/>
    <col min="4" max="4" width="18.140625" customWidth="1"/>
    <col min="5" max="5" width="4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67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68</v>
      </c>
      <c r="D7" s="122">
        <v>5.5E-2</v>
      </c>
      <c r="E7" s="8"/>
      <c r="F7" s="31"/>
      <c r="G7" s="31"/>
      <c r="H7" s="31"/>
      <c r="I7" s="1"/>
    </row>
    <row r="8" spans="1:9" ht="15">
      <c r="A8" s="1"/>
      <c r="B8" s="6"/>
      <c r="C8" s="7" t="s">
        <v>181</v>
      </c>
      <c r="D8" s="60">
        <v>0.35</v>
      </c>
      <c r="E8" s="8"/>
      <c r="F8" s="31"/>
      <c r="G8" s="31"/>
      <c r="H8" s="31"/>
      <c r="I8" s="1"/>
    </row>
    <row r="9" spans="1:9" ht="15">
      <c r="A9" s="1"/>
      <c r="B9" s="6"/>
      <c r="C9" s="7" t="s">
        <v>69</v>
      </c>
      <c r="D9" s="60">
        <v>0.13</v>
      </c>
      <c r="E9" s="8"/>
      <c r="F9" s="31"/>
      <c r="G9" s="31"/>
      <c r="H9" s="31"/>
      <c r="I9" s="1"/>
    </row>
    <row r="10" spans="1:9" ht="15.75" thickBot="1">
      <c r="A10" s="1"/>
      <c r="B10" s="9"/>
      <c r="C10" s="10"/>
      <c r="D10" s="10"/>
      <c r="E10" s="11"/>
      <c r="F10" s="31"/>
      <c r="G10" s="31"/>
      <c r="H10" s="31"/>
      <c r="I10" s="1"/>
    </row>
    <row r="11" spans="1:9" ht="15">
      <c r="A11" s="1"/>
      <c r="B11" s="1"/>
      <c r="C11" s="1"/>
      <c r="D11" s="1"/>
      <c r="E11" s="1"/>
      <c r="F11" s="1"/>
      <c r="G11" s="1"/>
      <c r="H11" s="1"/>
      <c r="I11" s="1"/>
    </row>
    <row r="12" spans="1:9" ht="15">
      <c r="A12" s="1"/>
      <c r="B12" s="1"/>
      <c r="C12" s="2" t="s">
        <v>2</v>
      </c>
      <c r="D12" s="1"/>
      <c r="E12" s="1"/>
      <c r="F12" s="1"/>
      <c r="G12" s="1"/>
      <c r="H12" s="1"/>
      <c r="I12" s="1"/>
    </row>
    <row r="13" spans="1:9" ht="15.75" thickBot="1">
      <c r="A13" s="1"/>
      <c r="B13" s="1"/>
      <c r="C13" s="1"/>
      <c r="D13" s="1"/>
      <c r="E13" s="1"/>
      <c r="F13" s="1"/>
      <c r="G13" s="1"/>
      <c r="H13" s="1"/>
      <c r="I13" s="1"/>
    </row>
    <row r="14" spans="1:9" ht="15">
      <c r="A14" s="1"/>
      <c r="B14" s="12"/>
      <c r="C14" s="13"/>
      <c r="D14" s="13"/>
      <c r="E14" s="14"/>
      <c r="F14" s="31"/>
      <c r="G14" s="31"/>
      <c r="H14" s="31"/>
      <c r="I14" s="1"/>
    </row>
    <row r="15" spans="1:9" ht="15">
      <c r="A15" s="1"/>
      <c r="B15" s="15"/>
      <c r="C15" s="16" t="s">
        <v>70</v>
      </c>
      <c r="D15" s="120">
        <f>D9-(D7*(1-D8))</f>
        <v>9.425E-2</v>
      </c>
      <c r="E15" s="17"/>
      <c r="F15" s="31"/>
      <c r="G15" s="31"/>
      <c r="H15" s="31"/>
      <c r="I15" s="1"/>
    </row>
    <row r="16" spans="1:9" ht="15">
      <c r="A16" s="1"/>
      <c r="B16" s="15"/>
      <c r="C16" s="16"/>
      <c r="D16" s="119"/>
      <c r="E16" s="17"/>
      <c r="F16" s="31"/>
      <c r="G16" s="31"/>
      <c r="H16" s="31"/>
      <c r="I16" s="1"/>
    </row>
    <row r="17" spans="1:9" ht="15.75">
      <c r="A17" s="1"/>
      <c r="B17" s="15"/>
      <c r="C17" s="16" t="s">
        <v>72</v>
      </c>
      <c r="D17" s="37">
        <f>D15+D7</f>
        <v>0.14924999999999999</v>
      </c>
      <c r="E17" s="17"/>
      <c r="F17" s="31"/>
      <c r="G17" s="31"/>
      <c r="H17" s="31"/>
      <c r="I17" s="1"/>
    </row>
    <row r="18" spans="1:9" ht="15.75" thickBot="1">
      <c r="A18" s="1"/>
      <c r="B18" s="18"/>
      <c r="C18" s="19"/>
      <c r="D18" s="19"/>
      <c r="E18" s="20"/>
      <c r="F18" s="31"/>
      <c r="G18" s="31"/>
      <c r="H18" s="31"/>
      <c r="I18" s="1"/>
    </row>
    <row r="19" spans="1:9" ht="15">
      <c r="A19" s="1"/>
      <c r="B19" s="1"/>
      <c r="C19" s="1"/>
      <c r="D19" s="1"/>
      <c r="E19" s="1"/>
      <c r="F19" s="1"/>
      <c r="G19" s="1"/>
      <c r="H19" s="1"/>
      <c r="I19" s="1"/>
    </row>
    <row r="20" spans="1:9" ht="15">
      <c r="A20" s="1"/>
      <c r="B20" s="1"/>
      <c r="C20" s="1"/>
      <c r="D20" s="1"/>
      <c r="E20" s="1"/>
      <c r="F20" s="1"/>
      <c r="G20" s="1"/>
      <c r="H20" s="1"/>
      <c r="I20" s="1"/>
    </row>
    <row r="21" spans="1:9" ht="15">
      <c r="A21" s="1"/>
      <c r="B21" s="1"/>
      <c r="C21" s="1"/>
      <c r="D21" s="1"/>
      <c r="E21" s="1"/>
      <c r="F21" s="1"/>
      <c r="G21" s="1"/>
      <c r="H21" s="1"/>
      <c r="I21" s="1"/>
    </row>
    <row r="22" spans="1:9" ht="15">
      <c r="A22" s="1"/>
      <c r="B22" s="1"/>
      <c r="C22" s="1"/>
      <c r="D22" s="1"/>
      <c r="E22" s="1"/>
      <c r="F22" s="1"/>
      <c r="G22" s="1"/>
      <c r="H22" s="1"/>
      <c r="I22" s="1"/>
    </row>
    <row r="23" spans="1:9" ht="15">
      <c r="A23" s="1"/>
      <c r="B23" s="1"/>
      <c r="C23" s="1"/>
      <c r="D23" s="1"/>
      <c r="E23" s="1"/>
      <c r="F23" s="1"/>
      <c r="G23" s="1"/>
      <c r="H23" s="1"/>
      <c r="I23" s="1"/>
    </row>
    <row r="24" spans="1:9" ht="15">
      <c r="A24" s="1"/>
      <c r="B24" s="1"/>
      <c r="C24" s="1"/>
      <c r="D24" s="1"/>
      <c r="E24" s="1"/>
      <c r="F24" s="1"/>
      <c r="G24" s="1"/>
      <c r="H24" s="1"/>
      <c r="I24" s="1"/>
    </row>
    <row r="25" spans="1:9" ht="15">
      <c r="A25" s="1"/>
      <c r="B25" s="1"/>
      <c r="C25" s="1"/>
      <c r="D25" s="1"/>
      <c r="E25" s="1"/>
      <c r="F25" s="1"/>
      <c r="G25" s="1"/>
      <c r="H25" s="1"/>
      <c r="I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51"/>
  <sheetViews>
    <sheetView workbookViewId="0"/>
  </sheetViews>
  <sheetFormatPr defaultRowHeight="12.75"/>
  <cols>
    <col min="2" max="2" width="3.140625" customWidth="1"/>
    <col min="3" max="3" width="24" customWidth="1"/>
    <col min="4" max="4" width="18.140625" customWidth="1"/>
    <col min="5" max="5" width="4.140625" customWidth="1"/>
    <col min="6" max="6" width="4" customWidth="1"/>
    <col min="7" max="7" width="13.140625" customWidth="1"/>
    <col min="8" max="8" width="14" customWidth="1"/>
    <col min="9" max="9" width="3.140625" customWidth="1"/>
  </cols>
  <sheetData>
    <row r="1" spans="1:10" ht="18">
      <c r="A1" s="1"/>
      <c r="B1" s="1"/>
      <c r="C1" s="121" t="s">
        <v>222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71</v>
      </c>
      <c r="D2" s="1"/>
      <c r="E2" s="1"/>
      <c r="F2" s="1"/>
      <c r="G2" s="1"/>
      <c r="H2" s="1"/>
      <c r="I2" s="1"/>
      <c r="J2" s="1"/>
    </row>
    <row r="3" spans="1:10" ht="15.75" thickBo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3"/>
      <c r="C4" s="4"/>
      <c r="D4" s="4"/>
      <c r="E4" s="4"/>
      <c r="F4" s="5"/>
      <c r="G4" s="1"/>
      <c r="H4" s="1"/>
      <c r="I4" s="1"/>
      <c r="J4" s="1"/>
    </row>
    <row r="5" spans="1:10" ht="15">
      <c r="A5" s="1"/>
      <c r="B5" s="63" t="s">
        <v>83</v>
      </c>
      <c r="C5" s="7" t="s">
        <v>172</v>
      </c>
      <c r="D5" s="60">
        <v>0</v>
      </c>
      <c r="E5" s="7"/>
      <c r="F5" s="8"/>
      <c r="G5" s="1"/>
      <c r="H5" s="1"/>
      <c r="I5" s="1"/>
      <c r="J5" s="1"/>
    </row>
    <row r="6" spans="1:10" ht="15">
      <c r="A6" s="1"/>
      <c r="B6" s="63"/>
      <c r="C6" s="7" t="s">
        <v>173</v>
      </c>
      <c r="D6" s="60">
        <v>0</v>
      </c>
      <c r="E6" s="7"/>
      <c r="F6" s="8"/>
      <c r="G6" s="1"/>
      <c r="H6" s="1"/>
      <c r="I6" s="1"/>
      <c r="J6" s="1"/>
    </row>
    <row r="7" spans="1:10" ht="15">
      <c r="A7" s="1"/>
      <c r="B7" s="63"/>
      <c r="C7" s="7"/>
      <c r="D7" s="60"/>
      <c r="E7" s="7"/>
      <c r="F7" s="8"/>
      <c r="G7" s="1"/>
      <c r="H7" s="1"/>
      <c r="I7" s="1"/>
      <c r="J7" s="1"/>
    </row>
    <row r="8" spans="1:10" ht="15">
      <c r="A8" s="1"/>
      <c r="B8" s="63" t="s">
        <v>84</v>
      </c>
      <c r="C8" s="7" t="s">
        <v>172</v>
      </c>
      <c r="D8" s="60">
        <v>0.15</v>
      </c>
      <c r="E8" s="7"/>
      <c r="F8" s="8"/>
      <c r="G8" s="1"/>
      <c r="H8" s="1"/>
      <c r="I8" s="1"/>
      <c r="J8" s="1"/>
    </row>
    <row r="9" spans="1:10" ht="15">
      <c r="A9" s="1"/>
      <c r="B9" s="63"/>
      <c r="C9" s="7" t="s">
        <v>173</v>
      </c>
      <c r="D9" s="60">
        <v>0</v>
      </c>
      <c r="E9" s="7"/>
      <c r="F9" s="8"/>
      <c r="G9" s="1"/>
      <c r="H9" s="1"/>
      <c r="I9" s="1"/>
      <c r="J9" s="1"/>
    </row>
    <row r="10" spans="1:10" ht="15">
      <c r="A10" s="1"/>
      <c r="B10" s="63"/>
      <c r="C10" s="7"/>
      <c r="D10" s="60"/>
      <c r="E10" s="7"/>
      <c r="F10" s="8"/>
      <c r="G10" s="1"/>
      <c r="H10" s="1"/>
      <c r="I10" s="1"/>
      <c r="J10" s="1"/>
    </row>
    <row r="11" spans="1:10" ht="15">
      <c r="A11" s="1"/>
      <c r="B11" s="63" t="s">
        <v>91</v>
      </c>
      <c r="C11" s="7" t="s">
        <v>172</v>
      </c>
      <c r="D11" s="60">
        <v>0.15</v>
      </c>
      <c r="E11" s="7"/>
      <c r="F11" s="8"/>
      <c r="G11" s="1"/>
      <c r="H11" s="1"/>
      <c r="I11" s="1"/>
      <c r="J11" s="1"/>
    </row>
    <row r="12" spans="1:10" ht="15">
      <c r="A12" s="1"/>
      <c r="B12" s="63"/>
      <c r="C12" s="7" t="s">
        <v>173</v>
      </c>
      <c r="D12" s="60">
        <v>0.2</v>
      </c>
      <c r="E12" s="7"/>
      <c r="F12" s="8"/>
      <c r="G12" s="1"/>
      <c r="H12" s="1"/>
      <c r="I12" s="1"/>
      <c r="J12" s="1"/>
    </row>
    <row r="13" spans="1:10" ht="15">
      <c r="A13" s="1"/>
      <c r="B13" s="63"/>
      <c r="C13" s="7"/>
      <c r="D13" s="60"/>
      <c r="E13" s="7"/>
      <c r="F13" s="8"/>
      <c r="G13" s="1"/>
      <c r="H13" s="1"/>
      <c r="I13" s="1"/>
      <c r="J13" s="1"/>
    </row>
    <row r="14" spans="1:10" ht="15">
      <c r="A14" s="1"/>
      <c r="B14" s="63" t="s">
        <v>92</v>
      </c>
      <c r="C14" s="137" t="s">
        <v>175</v>
      </c>
      <c r="D14" s="60"/>
      <c r="E14" s="7"/>
      <c r="F14" s="8"/>
      <c r="G14" s="1"/>
      <c r="H14" s="1"/>
      <c r="I14" s="1"/>
      <c r="J14" s="1"/>
    </row>
    <row r="15" spans="1:10" ht="15">
      <c r="A15" s="1"/>
      <c r="B15" s="6"/>
      <c r="C15" s="7" t="s">
        <v>172</v>
      </c>
      <c r="D15" s="60">
        <v>0.35</v>
      </c>
      <c r="E15" s="7"/>
      <c r="F15" s="8"/>
      <c r="G15" s="1"/>
      <c r="H15" s="1"/>
      <c r="I15" s="1"/>
      <c r="J15" s="1"/>
    </row>
    <row r="16" spans="1:10" ht="15">
      <c r="A16" s="1"/>
      <c r="B16" s="6"/>
      <c r="C16" s="7" t="s">
        <v>173</v>
      </c>
      <c r="D16" s="60">
        <v>0.35</v>
      </c>
      <c r="E16" s="7"/>
      <c r="F16" s="8"/>
      <c r="G16" s="1"/>
      <c r="H16" s="1"/>
      <c r="I16" s="1"/>
      <c r="J16" s="1"/>
    </row>
    <row r="17" spans="1:10" ht="15.75" thickBot="1">
      <c r="A17" s="1"/>
      <c r="B17" s="9"/>
      <c r="C17" s="10"/>
      <c r="D17" s="138"/>
      <c r="E17" s="10"/>
      <c r="F17" s="11"/>
      <c r="G17" s="1"/>
      <c r="H17" s="1"/>
      <c r="I17" s="1"/>
      <c r="J17" s="1"/>
    </row>
    <row r="18" spans="1:10" ht="1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">
      <c r="A19" s="1"/>
      <c r="B19" s="1"/>
      <c r="C19" s="2" t="s">
        <v>2</v>
      </c>
      <c r="D19" s="1"/>
      <c r="E19" s="1"/>
      <c r="F19" s="1"/>
      <c r="G19" s="1"/>
      <c r="H19" s="1"/>
      <c r="I19" s="1"/>
      <c r="J19" s="1"/>
    </row>
    <row r="20" spans="1:10" ht="15.75" thickBot="1">
      <c r="A20" s="1"/>
      <c r="B20" s="1"/>
      <c r="C20" s="1"/>
      <c r="D20" s="1"/>
      <c r="E20" s="1"/>
      <c r="F20" s="1"/>
      <c r="G20" s="31"/>
      <c r="H20" s="31"/>
      <c r="I20" s="31"/>
      <c r="J20" s="1"/>
    </row>
    <row r="21" spans="1:10" ht="15">
      <c r="A21" s="1"/>
      <c r="B21" s="12"/>
      <c r="C21" s="13"/>
      <c r="D21" s="13"/>
      <c r="E21" s="13"/>
      <c r="F21" s="14"/>
      <c r="G21" s="31"/>
      <c r="H21" s="31"/>
      <c r="I21" s="31"/>
      <c r="J21" s="1"/>
    </row>
    <row r="22" spans="1:10" ht="19.5">
      <c r="A22" s="1"/>
      <c r="B22" s="64" t="s">
        <v>83</v>
      </c>
      <c r="C22" s="16" t="s">
        <v>176</v>
      </c>
      <c r="D22" s="139"/>
      <c r="E22" s="140" t="s">
        <v>174</v>
      </c>
      <c r="F22" s="17"/>
      <c r="G22" s="31"/>
      <c r="H22" s="31"/>
      <c r="I22" s="31"/>
      <c r="J22" s="1"/>
    </row>
    <row r="23" spans="1:10" ht="19.5">
      <c r="A23" s="1"/>
      <c r="B23" s="64" t="s">
        <v>84</v>
      </c>
      <c r="C23" s="16" t="s">
        <v>176</v>
      </c>
      <c r="D23" s="141">
        <f>(1-D8)/(1-D9)</f>
        <v>0.85</v>
      </c>
      <c r="E23" s="140" t="s">
        <v>174</v>
      </c>
      <c r="F23" s="17"/>
      <c r="G23" s="31"/>
      <c r="H23" s="31"/>
      <c r="I23" s="31"/>
      <c r="J23" s="1"/>
    </row>
    <row r="24" spans="1:10" ht="19.5">
      <c r="A24" s="1"/>
      <c r="B24" s="64" t="s">
        <v>91</v>
      </c>
      <c r="C24" s="16" t="s">
        <v>177</v>
      </c>
      <c r="D24" s="141">
        <f>(1-D11)/(1-D12)</f>
        <v>1.0625</v>
      </c>
      <c r="E24" s="140" t="s">
        <v>174</v>
      </c>
      <c r="F24" s="17"/>
      <c r="G24" s="31"/>
      <c r="H24" s="31"/>
      <c r="I24" s="31"/>
      <c r="J24" s="1"/>
    </row>
    <row r="25" spans="1:10" ht="19.5">
      <c r="A25" s="1"/>
      <c r="B25" s="64" t="s">
        <v>92</v>
      </c>
      <c r="C25" s="16" t="s">
        <v>178</v>
      </c>
      <c r="D25" s="142">
        <f>(1-(D15*0.3))/(1-D16)</f>
        <v>1.3769230769230769</v>
      </c>
      <c r="E25" s="140" t="s">
        <v>174</v>
      </c>
      <c r="F25" s="17"/>
      <c r="G25" s="31"/>
      <c r="H25" s="31"/>
      <c r="I25" s="31"/>
      <c r="J25" s="1"/>
    </row>
    <row r="26" spans="1:10" ht="15.75">
      <c r="A26" s="1"/>
      <c r="B26" s="64" t="s">
        <v>93</v>
      </c>
      <c r="C26" s="16" t="s">
        <v>73</v>
      </c>
      <c r="D26" s="44"/>
      <c r="E26" s="44"/>
      <c r="F26" s="17"/>
      <c r="G26" s="31"/>
      <c r="H26" s="31"/>
      <c r="I26" s="31"/>
      <c r="J26" s="1"/>
    </row>
    <row r="27" spans="1:10" ht="15.75">
      <c r="A27" s="1"/>
      <c r="B27" s="15"/>
      <c r="C27" s="16" t="s">
        <v>74</v>
      </c>
      <c r="D27" s="38"/>
      <c r="E27" s="38"/>
      <c r="F27" s="17"/>
      <c r="G27" s="31"/>
      <c r="H27" s="31"/>
      <c r="I27" s="31"/>
      <c r="J27" s="1"/>
    </row>
    <row r="28" spans="1:10" ht="15.75">
      <c r="A28" s="1"/>
      <c r="B28" s="15"/>
      <c r="C28" s="16" t="s">
        <v>180</v>
      </c>
      <c r="D28" s="38"/>
      <c r="E28" s="38"/>
      <c r="F28" s="17"/>
      <c r="G28" s="31"/>
      <c r="H28" s="31"/>
      <c r="I28" s="31"/>
      <c r="J28" s="1"/>
    </row>
    <row r="29" spans="1:10" ht="15.75">
      <c r="A29" s="1"/>
      <c r="B29" s="15"/>
      <c r="C29" s="16" t="s">
        <v>179</v>
      </c>
      <c r="D29" s="38"/>
      <c r="E29" s="38"/>
      <c r="F29" s="17"/>
      <c r="G29" s="31"/>
      <c r="H29" s="31"/>
      <c r="I29" s="31"/>
      <c r="J29" s="1"/>
    </row>
    <row r="30" spans="1:10" ht="15.75">
      <c r="A30" s="1"/>
      <c r="B30" s="15"/>
      <c r="C30" s="16" t="s">
        <v>75</v>
      </c>
      <c r="D30" s="38"/>
      <c r="E30" s="38"/>
      <c r="F30" s="17"/>
      <c r="G30" s="31"/>
      <c r="H30" s="31"/>
      <c r="I30" s="31"/>
      <c r="J30" s="1"/>
    </row>
    <row r="31" spans="1:10" ht="15.75">
      <c r="A31" s="1"/>
      <c r="B31" s="15"/>
      <c r="C31" s="16" t="s">
        <v>76</v>
      </c>
      <c r="D31" s="38"/>
      <c r="E31" s="38"/>
      <c r="F31" s="17"/>
      <c r="G31" s="31"/>
      <c r="H31" s="31"/>
      <c r="I31" s="31"/>
      <c r="J31" s="1"/>
    </row>
    <row r="32" spans="1:10" ht="15.75">
      <c r="A32" s="1"/>
      <c r="B32" s="15"/>
      <c r="C32" s="16" t="s">
        <v>77</v>
      </c>
      <c r="D32" s="38"/>
      <c r="E32" s="38"/>
      <c r="F32" s="17"/>
      <c r="G32" s="31"/>
      <c r="H32" s="31"/>
      <c r="I32" s="31"/>
      <c r="J32" s="1"/>
    </row>
    <row r="33" spans="1:10" ht="15.75" thickBot="1">
      <c r="A33" s="1"/>
      <c r="B33" s="18"/>
      <c r="C33" s="19"/>
      <c r="D33" s="19"/>
      <c r="E33" s="19"/>
      <c r="F33" s="20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B51" s="1"/>
      <c r="C51" s="1"/>
      <c r="D51" s="1"/>
      <c r="E51" s="1"/>
      <c r="F51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8"/>
  <sheetViews>
    <sheetView workbookViewId="0"/>
  </sheetViews>
  <sheetFormatPr defaultRowHeight="12.75"/>
  <cols>
    <col min="2" max="2" width="3.140625" customWidth="1"/>
    <col min="3" max="3" width="20.140625" bestFit="1" customWidth="1"/>
    <col min="4" max="4" width="18.140625" customWidth="1"/>
    <col min="5" max="5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0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3"/>
      <c r="C6" s="4"/>
      <c r="D6" s="4"/>
      <c r="E6" s="5"/>
      <c r="F6" s="1"/>
      <c r="G6" s="1"/>
      <c r="H6" s="1"/>
      <c r="I6" s="1"/>
    </row>
    <row r="7" spans="1:9" ht="15.75" customHeight="1">
      <c r="A7" s="1"/>
      <c r="B7" s="6"/>
      <c r="C7" s="7" t="s">
        <v>3</v>
      </c>
      <c r="D7" s="59">
        <v>9.5</v>
      </c>
      <c r="E7" s="8"/>
      <c r="F7" s="1"/>
      <c r="G7" s="1"/>
      <c r="H7" s="1"/>
      <c r="I7" s="1"/>
    </row>
    <row r="8" spans="1:9" ht="15.75" customHeight="1">
      <c r="A8" s="1"/>
      <c r="B8" s="6"/>
      <c r="C8" s="7" t="s">
        <v>4</v>
      </c>
      <c r="D8" s="60">
        <v>0.15</v>
      </c>
      <c r="E8" s="8"/>
      <c r="F8" s="1"/>
      <c r="G8" s="1"/>
      <c r="H8" s="1"/>
      <c r="I8" s="1"/>
    </row>
    <row r="9" spans="1:9" ht="15.75" customHeight="1">
      <c r="A9" s="1"/>
      <c r="B9" s="6"/>
      <c r="C9" s="7" t="s">
        <v>5</v>
      </c>
      <c r="D9" s="61">
        <v>115</v>
      </c>
      <c r="E9" s="8"/>
      <c r="F9" s="1"/>
      <c r="G9" s="1"/>
      <c r="H9" s="1"/>
      <c r="I9" s="1"/>
    </row>
    <row r="10" spans="1:9" ht="15.75" customHeight="1" thickBot="1">
      <c r="A10" s="1"/>
      <c r="B10" s="9"/>
      <c r="C10" s="10"/>
      <c r="D10" s="10"/>
      <c r="E10" s="11"/>
      <c r="F10" s="1"/>
      <c r="G10" s="1"/>
      <c r="H10" s="1"/>
      <c r="I10" s="1"/>
    </row>
    <row r="11" spans="1:9" ht="15.75" customHeight="1">
      <c r="A11" s="1"/>
      <c r="B11" s="1"/>
      <c r="C11" s="1"/>
      <c r="D11" s="1"/>
      <c r="E11" s="1"/>
      <c r="F11" s="1"/>
      <c r="G11" s="1"/>
      <c r="H11" s="1"/>
      <c r="I11" s="1"/>
    </row>
    <row r="12" spans="1:9" ht="15.75" customHeight="1">
      <c r="A12" s="1"/>
      <c r="B12" s="1"/>
      <c r="C12" s="2" t="s">
        <v>2</v>
      </c>
      <c r="D12" s="1"/>
      <c r="E12" s="1"/>
      <c r="F12" s="1"/>
      <c r="G12" s="1"/>
      <c r="H12" s="1"/>
      <c r="I12" s="1"/>
    </row>
    <row r="13" spans="1:9" ht="15.75" customHeight="1" thickBot="1">
      <c r="A13" s="1"/>
      <c r="B13" s="1"/>
      <c r="C13" s="1"/>
      <c r="D13" s="1"/>
      <c r="E13" s="1"/>
      <c r="F13" s="1"/>
      <c r="G13" s="1"/>
      <c r="H13" s="1"/>
      <c r="I13" s="1"/>
    </row>
    <row r="14" spans="1:9" ht="15.75" customHeight="1">
      <c r="A14" s="1"/>
      <c r="B14" s="12"/>
      <c r="C14" s="13"/>
      <c r="D14" s="13"/>
      <c r="E14" s="14"/>
      <c r="F14" s="1"/>
      <c r="G14" s="1"/>
      <c r="H14" s="1"/>
      <c r="I14" s="1"/>
    </row>
    <row r="15" spans="1:9" ht="15.75" customHeight="1">
      <c r="A15" s="1"/>
      <c r="B15" s="15"/>
      <c r="C15" s="16" t="s">
        <v>6</v>
      </c>
      <c r="D15" s="103">
        <f>D7*(1-D8)</f>
        <v>8.0749999999999993</v>
      </c>
      <c r="E15" s="17"/>
      <c r="F15" s="1"/>
      <c r="G15" s="1"/>
      <c r="H15" s="1"/>
      <c r="I15" s="1"/>
    </row>
    <row r="16" spans="1:9" ht="15.75" customHeight="1">
      <c r="A16" s="1"/>
      <c r="B16" s="15"/>
      <c r="C16" s="16"/>
      <c r="D16" s="118"/>
      <c r="E16" s="17"/>
      <c r="F16" s="1"/>
      <c r="G16" s="1"/>
      <c r="H16" s="1"/>
      <c r="I16" s="1"/>
    </row>
    <row r="17" spans="1:9" ht="15.75" customHeight="1">
      <c r="A17" s="1"/>
      <c r="B17" s="15"/>
      <c r="C17" s="16" t="s">
        <v>7</v>
      </c>
      <c r="D17" s="40">
        <f>D9-D15</f>
        <v>106.925</v>
      </c>
      <c r="E17" s="17"/>
      <c r="F17" s="1"/>
      <c r="G17" s="1"/>
      <c r="H17" s="1"/>
      <c r="I17" s="1"/>
    </row>
    <row r="18" spans="1:9" ht="15.75" customHeight="1" thickBot="1">
      <c r="A18" s="1"/>
      <c r="B18" s="18"/>
      <c r="C18" s="19"/>
      <c r="D18" s="19"/>
      <c r="E18" s="20"/>
      <c r="F18" s="1"/>
      <c r="G18" s="1"/>
      <c r="H18" s="1"/>
      <c r="I18" s="1"/>
    </row>
    <row r="19" spans="1:9" ht="15.75" customHeight="1">
      <c r="A19" s="1"/>
      <c r="B19" s="1"/>
      <c r="C19" s="1"/>
      <c r="D19" s="1"/>
      <c r="E19" s="1"/>
      <c r="F19" s="1"/>
      <c r="G19" s="1"/>
      <c r="H19" s="1"/>
      <c r="I19" s="1"/>
    </row>
    <row r="20" spans="1:9" ht="15.75" customHeight="1">
      <c r="A20" s="1"/>
      <c r="B20" s="1"/>
      <c r="C20" s="1"/>
      <c r="D20" s="1"/>
      <c r="E20" s="1"/>
      <c r="F20" s="1"/>
      <c r="G20" s="1"/>
      <c r="H20" s="1"/>
      <c r="I20" s="1"/>
    </row>
    <row r="21" spans="1:9" ht="15.75" customHeight="1">
      <c r="A21" s="1"/>
      <c r="B21" s="1"/>
      <c r="C21" s="1"/>
      <c r="D21" s="1"/>
      <c r="E21" s="1"/>
      <c r="F21" s="1"/>
      <c r="G21" s="1"/>
      <c r="H21" s="1"/>
      <c r="I21" s="1"/>
    </row>
    <row r="22" spans="1:9" ht="15.75" customHeight="1">
      <c r="A22" s="1"/>
      <c r="B22" s="1"/>
      <c r="C22" s="1"/>
      <c r="D22" s="1"/>
      <c r="E22" s="1"/>
      <c r="F22" s="1"/>
      <c r="G22" s="1"/>
      <c r="H22" s="1"/>
      <c r="I22" s="1"/>
    </row>
    <row r="23" spans="1:9" ht="15.75" customHeight="1">
      <c r="A23" s="1"/>
      <c r="B23" s="1"/>
      <c r="C23" s="1"/>
      <c r="D23" s="1"/>
      <c r="E23" s="1"/>
      <c r="F23" s="1"/>
      <c r="G23" s="1"/>
      <c r="H23" s="1"/>
      <c r="I23" s="1"/>
    </row>
    <row r="24" spans="1:9" ht="15.75" customHeight="1">
      <c r="A24" s="1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/>
    <row r="38" spans="1:9" ht="15.75" customHeight="1"/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71"/>
  <sheetViews>
    <sheetView zoomScaleNormal="100" workbookViewId="0"/>
  </sheetViews>
  <sheetFormatPr defaultRowHeight="12.75"/>
  <cols>
    <col min="2" max="2" width="3.140625" customWidth="1"/>
    <col min="3" max="3" width="29" customWidth="1"/>
    <col min="4" max="4" width="20.140625" bestFit="1" customWidth="1"/>
    <col min="5" max="5" width="4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159</v>
      </c>
      <c r="D2" s="1"/>
      <c r="E2" s="1"/>
      <c r="F2" s="1"/>
      <c r="G2" s="1"/>
      <c r="H2" s="1"/>
      <c r="I2" s="1"/>
    </row>
    <row r="3" spans="1:9" ht="15.75" thickBot="1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3"/>
      <c r="C4" s="4"/>
      <c r="D4" s="4"/>
      <c r="E4" s="5"/>
      <c r="F4" s="1"/>
      <c r="G4" s="1"/>
      <c r="H4" s="1"/>
      <c r="I4" s="1"/>
    </row>
    <row r="5" spans="1:9" ht="15">
      <c r="A5" s="1"/>
      <c r="B5" s="63"/>
      <c r="C5" s="7" t="s">
        <v>182</v>
      </c>
      <c r="D5" s="130">
        <v>4000000</v>
      </c>
      <c r="E5" s="8"/>
      <c r="F5" s="1"/>
      <c r="G5" s="1"/>
      <c r="H5" s="1"/>
      <c r="I5" s="1"/>
    </row>
    <row r="6" spans="1:9" ht="15">
      <c r="A6" s="1"/>
      <c r="B6" s="63"/>
      <c r="C6" s="7" t="s">
        <v>183</v>
      </c>
      <c r="D6" s="143">
        <v>3</v>
      </c>
      <c r="E6" s="8"/>
      <c r="F6" s="1"/>
      <c r="G6" s="1"/>
      <c r="H6" s="1"/>
      <c r="I6" s="1"/>
    </row>
    <row r="7" spans="1:9" ht="15">
      <c r="A7" s="1"/>
      <c r="B7" s="63"/>
      <c r="C7" s="7" t="s">
        <v>184</v>
      </c>
      <c r="D7" s="60">
        <v>0.03</v>
      </c>
      <c r="E7" s="8"/>
      <c r="F7" s="1"/>
      <c r="G7" s="1"/>
      <c r="H7" s="1"/>
      <c r="I7" s="1"/>
    </row>
    <row r="8" spans="1:9" ht="15">
      <c r="A8" s="1"/>
      <c r="B8" s="63"/>
      <c r="C8" s="7" t="s">
        <v>185</v>
      </c>
      <c r="D8" s="60">
        <v>0.05</v>
      </c>
      <c r="E8" s="8"/>
      <c r="F8" s="1"/>
      <c r="G8" s="1"/>
      <c r="H8" s="1"/>
      <c r="I8" s="1"/>
    </row>
    <row r="9" spans="1:9" ht="15">
      <c r="A9" s="1"/>
      <c r="B9" s="63"/>
      <c r="C9" s="7" t="s">
        <v>213</v>
      </c>
      <c r="D9" s="60">
        <v>0.7</v>
      </c>
      <c r="E9" s="8"/>
      <c r="F9" s="1"/>
      <c r="G9" s="1"/>
      <c r="H9" s="1"/>
      <c r="I9" s="1"/>
    </row>
    <row r="10" spans="1:9" ht="15">
      <c r="A10" s="1"/>
      <c r="B10" s="63"/>
      <c r="C10" s="7" t="s">
        <v>186</v>
      </c>
      <c r="D10" s="60">
        <v>0.35</v>
      </c>
      <c r="E10" s="8"/>
      <c r="F10" s="1"/>
      <c r="G10" s="1"/>
      <c r="H10" s="1"/>
      <c r="I10" s="1"/>
    </row>
    <row r="11" spans="1:9" ht="15">
      <c r="A11" s="1"/>
      <c r="B11" s="63"/>
      <c r="C11" s="7" t="s">
        <v>192</v>
      </c>
      <c r="D11" s="60">
        <v>0.15</v>
      </c>
      <c r="E11" s="8"/>
      <c r="F11" s="1"/>
      <c r="G11" s="1"/>
      <c r="H11" s="1"/>
      <c r="I11" s="1"/>
    </row>
    <row r="12" spans="1:9" ht="15">
      <c r="A12" s="1"/>
      <c r="B12" s="63"/>
      <c r="C12" s="7" t="s">
        <v>193</v>
      </c>
      <c r="D12" s="60">
        <v>0.31</v>
      </c>
      <c r="E12" s="8"/>
      <c r="F12" s="1"/>
      <c r="G12" s="1"/>
      <c r="H12" s="1"/>
      <c r="I12" s="1"/>
    </row>
    <row r="13" spans="1:9" ht="15.75" thickBot="1">
      <c r="A13" s="1"/>
      <c r="B13" s="9"/>
      <c r="C13" s="10"/>
      <c r="D13" s="138"/>
      <c r="E13" s="11"/>
      <c r="F13" s="1"/>
      <c r="G13" s="1"/>
      <c r="H13" s="1"/>
      <c r="I13" s="1"/>
    </row>
    <row r="14" spans="1:9" ht="15">
      <c r="A14" s="1"/>
      <c r="B14" s="1"/>
      <c r="C14" s="1"/>
      <c r="D14" s="1"/>
      <c r="E14" s="1"/>
      <c r="F14" s="1"/>
      <c r="G14" s="1"/>
      <c r="H14" s="1"/>
      <c r="I14" s="1"/>
    </row>
    <row r="15" spans="1:9" ht="15">
      <c r="A15" s="1"/>
      <c r="B15" s="1"/>
      <c r="C15" s="2" t="s">
        <v>2</v>
      </c>
      <c r="D15" s="1"/>
      <c r="E15" s="1"/>
      <c r="F15" s="1"/>
      <c r="G15" s="1"/>
      <c r="H15" s="1"/>
      <c r="I15" s="1"/>
    </row>
    <row r="16" spans="1:9" ht="15.75" thickBot="1">
      <c r="A16" s="1"/>
      <c r="B16" s="1"/>
      <c r="C16" s="1"/>
      <c r="D16" s="1"/>
      <c r="E16" s="1"/>
      <c r="F16" s="31"/>
      <c r="G16" s="31"/>
      <c r="H16" s="31"/>
      <c r="I16" s="1"/>
    </row>
    <row r="17" spans="1:9" ht="15">
      <c r="A17" s="1"/>
      <c r="B17" s="12"/>
      <c r="C17" s="13"/>
      <c r="D17" s="13"/>
      <c r="E17" s="14"/>
      <c r="F17" s="31"/>
      <c r="G17" s="31"/>
      <c r="H17" s="31"/>
      <c r="I17" s="1"/>
    </row>
    <row r="18" spans="1:9" ht="15.75">
      <c r="A18" s="1"/>
      <c r="B18" s="15"/>
      <c r="C18" s="124" t="s">
        <v>195</v>
      </c>
      <c r="D18" s="16"/>
      <c r="E18" s="17"/>
      <c r="F18" s="31"/>
      <c r="G18" s="31"/>
      <c r="H18" s="31"/>
      <c r="I18" s="1"/>
    </row>
    <row r="19" spans="1:9" ht="15">
      <c r="A19" s="1"/>
      <c r="B19" s="64"/>
      <c r="C19" s="41" t="s">
        <v>187</v>
      </c>
      <c r="D19" s="144"/>
      <c r="E19" s="17"/>
      <c r="F19" s="31"/>
      <c r="G19" s="31"/>
      <c r="H19" s="31"/>
      <c r="I19" s="1"/>
    </row>
    <row r="20" spans="1:9" ht="15">
      <c r="A20" s="1"/>
      <c r="B20" s="64"/>
      <c r="C20" s="16" t="s">
        <v>188</v>
      </c>
      <c r="D20" s="146">
        <f>D7*(1-D10)</f>
        <v>1.95E-2</v>
      </c>
      <c r="E20" s="17"/>
      <c r="F20" s="31"/>
      <c r="G20" s="31"/>
      <c r="H20" s="31"/>
      <c r="I20" s="1"/>
    </row>
    <row r="21" spans="1:9" ht="15">
      <c r="A21" s="1"/>
      <c r="B21" s="64"/>
      <c r="C21" s="16" t="s">
        <v>189</v>
      </c>
      <c r="D21" s="92">
        <f>D5*((1+D20)^D6)</f>
        <v>4238592.659500001</v>
      </c>
      <c r="E21" s="17"/>
      <c r="F21" s="31"/>
      <c r="G21" s="31"/>
      <c r="H21" s="31"/>
      <c r="I21" s="1"/>
    </row>
    <row r="22" spans="1:9" ht="15">
      <c r="A22" s="1"/>
      <c r="B22" s="64"/>
      <c r="C22" s="16" t="s">
        <v>190</v>
      </c>
      <c r="D22" s="145"/>
      <c r="E22" s="17"/>
      <c r="F22" s="31"/>
      <c r="G22" s="31"/>
      <c r="H22" s="31"/>
      <c r="I22" s="1"/>
    </row>
    <row r="23" spans="1:9" ht="15.75">
      <c r="A23" s="1"/>
      <c r="B23" s="64"/>
      <c r="C23" s="16" t="s">
        <v>191</v>
      </c>
      <c r="D23" s="114">
        <f>D21*(1-D11)</f>
        <v>3602803.7605750007</v>
      </c>
      <c r="E23" s="17"/>
      <c r="F23" s="31"/>
      <c r="G23" s="31"/>
      <c r="H23" s="31"/>
      <c r="I23" s="1"/>
    </row>
    <row r="24" spans="1:9" ht="15">
      <c r="A24" s="1"/>
      <c r="B24" s="64"/>
      <c r="C24" s="16"/>
      <c r="D24" s="93"/>
      <c r="E24" s="17"/>
      <c r="F24" s="31"/>
      <c r="G24" s="31"/>
      <c r="H24" s="31"/>
      <c r="I24" s="1"/>
    </row>
    <row r="25" spans="1:9" ht="15">
      <c r="A25" s="1"/>
      <c r="B25" s="64"/>
      <c r="C25" s="41" t="s">
        <v>194</v>
      </c>
      <c r="D25" s="93"/>
      <c r="E25" s="17"/>
      <c r="F25" s="31"/>
      <c r="G25" s="31"/>
      <c r="H25" s="31"/>
      <c r="I25" s="1"/>
    </row>
    <row r="26" spans="1:9" ht="15">
      <c r="A26" s="1"/>
      <c r="B26" s="64"/>
      <c r="C26" s="16" t="s">
        <v>196</v>
      </c>
      <c r="D26" s="93">
        <f>D5*D8</f>
        <v>200000</v>
      </c>
      <c r="E26" s="17"/>
      <c r="F26" s="31"/>
      <c r="G26" s="31"/>
      <c r="H26" s="31"/>
      <c r="I26" s="1"/>
    </row>
    <row r="27" spans="1:9" ht="15">
      <c r="A27" s="1"/>
      <c r="B27" s="64"/>
      <c r="C27" s="16" t="s">
        <v>211</v>
      </c>
      <c r="D27" s="93">
        <f>D26*D9</f>
        <v>140000</v>
      </c>
      <c r="E27" s="17"/>
      <c r="F27" s="31"/>
      <c r="G27" s="31"/>
      <c r="H27" s="31"/>
      <c r="I27" s="1"/>
    </row>
    <row r="28" spans="1:9" ht="15">
      <c r="A28" s="1"/>
      <c r="B28" s="64"/>
      <c r="C28" s="16" t="s">
        <v>197</v>
      </c>
      <c r="D28" s="93">
        <f>D26-D27</f>
        <v>60000</v>
      </c>
      <c r="E28" s="17"/>
      <c r="F28" s="31"/>
      <c r="G28" s="31"/>
      <c r="H28" s="31"/>
      <c r="I28" s="1"/>
    </row>
    <row r="29" spans="1:9" ht="15">
      <c r="A29" s="1"/>
      <c r="B29" s="64"/>
      <c r="C29" s="16" t="s">
        <v>198</v>
      </c>
      <c r="D29" s="93">
        <f>D28*D10</f>
        <v>21000</v>
      </c>
      <c r="E29" s="17"/>
      <c r="F29" s="31"/>
      <c r="G29" s="31"/>
      <c r="H29" s="31"/>
      <c r="I29" s="1"/>
    </row>
    <row r="30" spans="1:9" ht="15">
      <c r="A30" s="1"/>
      <c r="B30" s="15"/>
      <c r="C30" s="16" t="s">
        <v>199</v>
      </c>
      <c r="D30" s="147">
        <f>D26-D29</f>
        <v>179000</v>
      </c>
      <c r="E30" s="17"/>
      <c r="F30" s="31"/>
      <c r="G30" s="31"/>
      <c r="H30" s="31"/>
      <c r="I30" s="1"/>
    </row>
    <row r="31" spans="1:9" ht="15">
      <c r="A31" s="1"/>
      <c r="B31" s="15"/>
      <c r="C31" s="16" t="s">
        <v>200</v>
      </c>
      <c r="D31" s="127"/>
      <c r="E31" s="17"/>
      <c r="F31" s="31"/>
      <c r="G31" s="31"/>
      <c r="H31" s="31"/>
      <c r="I31" s="1"/>
    </row>
    <row r="32" spans="1:9" ht="15">
      <c r="A32" s="1"/>
      <c r="B32" s="15"/>
      <c r="C32" s="16" t="s">
        <v>201</v>
      </c>
      <c r="D32" s="146">
        <f>D30/D5</f>
        <v>4.4749999999999998E-2</v>
      </c>
      <c r="E32" s="17"/>
      <c r="F32" s="31"/>
      <c r="G32" s="31"/>
      <c r="H32" s="31"/>
      <c r="I32" s="1"/>
    </row>
    <row r="33" spans="1:9" ht="15">
      <c r="A33" s="1"/>
      <c r="B33" s="15"/>
      <c r="C33" s="16" t="s">
        <v>202</v>
      </c>
      <c r="D33" s="147">
        <f>D5*((1+D32)^D6)</f>
        <v>4561389.2086875001</v>
      </c>
      <c r="E33" s="17"/>
      <c r="F33" s="31"/>
      <c r="G33" s="31"/>
      <c r="H33" s="31"/>
      <c r="I33" s="1"/>
    </row>
    <row r="34" spans="1:9" ht="15">
      <c r="A34" s="1"/>
      <c r="B34" s="15"/>
      <c r="C34" s="16" t="s">
        <v>190</v>
      </c>
      <c r="D34" s="146"/>
      <c r="E34" s="17"/>
      <c r="F34" s="31"/>
      <c r="G34" s="31"/>
      <c r="H34" s="31"/>
      <c r="I34" s="1"/>
    </row>
    <row r="35" spans="1:9" ht="15.75">
      <c r="A35" s="1"/>
      <c r="B35" s="15"/>
      <c r="C35" s="16" t="s">
        <v>191</v>
      </c>
      <c r="D35" s="148">
        <f>D33*(1-D11)</f>
        <v>3877180.827384375</v>
      </c>
      <c r="E35" s="17"/>
      <c r="F35" s="31"/>
      <c r="G35" s="31"/>
      <c r="H35" s="31"/>
      <c r="I35" s="1"/>
    </row>
    <row r="36" spans="1:9" ht="15">
      <c r="A36" s="1"/>
      <c r="B36" s="15"/>
      <c r="C36" s="16"/>
      <c r="D36" s="147"/>
      <c r="E36" s="17"/>
      <c r="F36" s="31"/>
      <c r="G36" s="31"/>
      <c r="H36" s="31"/>
      <c r="I36" s="1"/>
    </row>
    <row r="37" spans="1:9" ht="15.75">
      <c r="A37" s="1"/>
      <c r="B37" s="15"/>
      <c r="C37" s="124" t="s">
        <v>203</v>
      </c>
      <c r="D37" s="147"/>
      <c r="E37" s="17"/>
      <c r="F37" s="31"/>
      <c r="G37" s="31"/>
      <c r="H37" s="31"/>
      <c r="I37" s="1"/>
    </row>
    <row r="38" spans="1:9" ht="15">
      <c r="A38" s="1"/>
      <c r="B38" s="15"/>
      <c r="C38" s="16" t="s">
        <v>204</v>
      </c>
      <c r="D38" s="147"/>
      <c r="E38" s="17"/>
      <c r="F38" s="31"/>
      <c r="G38" s="31"/>
      <c r="H38" s="31"/>
      <c r="I38" s="1"/>
    </row>
    <row r="39" spans="1:9" ht="15">
      <c r="A39" s="1"/>
      <c r="B39" s="15"/>
      <c r="C39" s="16" t="s">
        <v>205</v>
      </c>
      <c r="D39" s="147">
        <f>D5*(1-D11)</f>
        <v>3400000</v>
      </c>
      <c r="E39" s="17"/>
      <c r="F39" s="31"/>
      <c r="G39" s="31"/>
      <c r="H39" s="31"/>
      <c r="I39" s="1"/>
    </row>
    <row r="40" spans="1:9" ht="15">
      <c r="A40" s="1"/>
      <c r="B40" s="15"/>
      <c r="C40" s="16"/>
      <c r="D40" s="147"/>
      <c r="E40" s="17"/>
      <c r="F40" s="31"/>
      <c r="G40" s="31"/>
      <c r="H40" s="31"/>
      <c r="I40" s="1"/>
    </row>
    <row r="41" spans="1:9" ht="15">
      <c r="A41" s="1"/>
      <c r="B41" s="15"/>
      <c r="C41" s="41" t="s">
        <v>208</v>
      </c>
      <c r="D41" s="147"/>
      <c r="E41" s="17"/>
      <c r="F41" s="31"/>
      <c r="G41" s="31"/>
      <c r="H41" s="31"/>
      <c r="I41" s="1"/>
    </row>
    <row r="42" spans="1:9" ht="15">
      <c r="A42" s="1"/>
      <c r="B42" s="15"/>
      <c r="C42" s="16" t="s">
        <v>206</v>
      </c>
      <c r="D42" s="147"/>
      <c r="E42" s="17"/>
      <c r="F42" s="31"/>
      <c r="G42" s="31"/>
      <c r="H42" s="31"/>
      <c r="I42" s="1"/>
    </row>
    <row r="43" spans="1:9" ht="15">
      <c r="A43" s="1"/>
      <c r="B43" s="15"/>
      <c r="C43" s="16" t="s">
        <v>207</v>
      </c>
      <c r="D43" s="146">
        <f>D7*(1-D12)</f>
        <v>2.0699999999999996E-2</v>
      </c>
      <c r="E43" s="17"/>
      <c r="F43" s="31"/>
      <c r="G43" s="31"/>
      <c r="H43" s="31"/>
      <c r="I43" s="1"/>
    </row>
    <row r="44" spans="1:9" ht="15.75">
      <c r="A44" s="1"/>
      <c r="B44" s="15"/>
      <c r="C44" s="16" t="s">
        <v>209</v>
      </c>
      <c r="D44" s="148">
        <f>D39*((1+D43)^D6)</f>
        <v>3615540.7551261997</v>
      </c>
      <c r="E44" s="17"/>
      <c r="F44" s="31"/>
      <c r="G44" s="31"/>
      <c r="H44" s="31"/>
      <c r="I44" s="1"/>
    </row>
    <row r="45" spans="1:9" ht="15">
      <c r="A45" s="1"/>
      <c r="B45" s="15"/>
      <c r="C45" s="16"/>
      <c r="D45" s="147"/>
      <c r="E45" s="17"/>
      <c r="F45" s="31"/>
      <c r="G45" s="31"/>
      <c r="H45" s="31"/>
      <c r="I45" s="1"/>
    </row>
    <row r="46" spans="1:9" ht="15">
      <c r="A46" s="1"/>
      <c r="B46" s="15"/>
      <c r="C46" s="41" t="s">
        <v>210</v>
      </c>
      <c r="D46" s="147"/>
      <c r="E46" s="17"/>
      <c r="F46" s="31"/>
      <c r="G46" s="31"/>
      <c r="H46" s="31"/>
      <c r="I46" s="1"/>
    </row>
    <row r="47" spans="1:9" ht="15">
      <c r="A47" s="1"/>
      <c r="B47" s="15"/>
      <c r="C47" s="16" t="s">
        <v>196</v>
      </c>
      <c r="D47" s="147">
        <f>D39*D8</f>
        <v>170000</v>
      </c>
      <c r="E47" s="17"/>
      <c r="F47" s="31"/>
      <c r="G47" s="31"/>
      <c r="H47" s="31"/>
      <c r="I47" s="1"/>
    </row>
    <row r="48" spans="1:9" ht="15">
      <c r="A48" s="1"/>
      <c r="B48" s="15"/>
      <c r="C48" s="16" t="s">
        <v>198</v>
      </c>
      <c r="D48" s="147">
        <f>D47*D12</f>
        <v>52700</v>
      </c>
      <c r="E48" s="17"/>
      <c r="F48" s="31"/>
      <c r="G48" s="31"/>
      <c r="H48" s="31"/>
      <c r="I48" s="1"/>
    </row>
    <row r="49" spans="1:9" ht="15">
      <c r="A49" s="1"/>
      <c r="B49" s="15"/>
      <c r="C49" s="16" t="s">
        <v>212</v>
      </c>
      <c r="D49" s="147">
        <f>D47-D48</f>
        <v>117300</v>
      </c>
      <c r="E49" s="17"/>
      <c r="F49" s="31"/>
      <c r="G49" s="31"/>
      <c r="H49" s="31"/>
      <c r="I49" s="1"/>
    </row>
    <row r="50" spans="1:9" ht="15">
      <c r="A50" s="1"/>
      <c r="B50" s="15"/>
      <c r="C50" s="16" t="s">
        <v>200</v>
      </c>
      <c r="D50" s="147"/>
      <c r="E50" s="17"/>
      <c r="F50" s="31"/>
      <c r="G50" s="31"/>
      <c r="H50" s="31"/>
      <c r="I50" s="1"/>
    </row>
    <row r="51" spans="1:9" ht="15">
      <c r="A51" s="1"/>
      <c r="B51" s="15"/>
      <c r="C51" s="16" t="s">
        <v>201</v>
      </c>
      <c r="D51" s="146">
        <f>D49/D39</f>
        <v>3.4500000000000003E-2</v>
      </c>
      <c r="E51" s="17"/>
      <c r="F51" s="31"/>
      <c r="G51" s="31"/>
      <c r="H51" s="31"/>
      <c r="I51" s="1"/>
    </row>
    <row r="52" spans="1:9" ht="15.75">
      <c r="A52" s="1"/>
      <c r="B52" s="15"/>
      <c r="C52" s="16" t="s">
        <v>202</v>
      </c>
      <c r="D52" s="148">
        <f>D39*((1+D51)^D6)</f>
        <v>3764180.1663250001</v>
      </c>
      <c r="E52" s="17"/>
      <c r="F52" s="31"/>
      <c r="G52" s="31"/>
      <c r="H52" s="31"/>
      <c r="I52" s="1"/>
    </row>
    <row r="53" spans="1:9" ht="15.75" thickBot="1">
      <c r="A53" s="1"/>
      <c r="B53" s="18"/>
      <c r="C53" s="19"/>
      <c r="D53" s="19"/>
      <c r="E53" s="20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B71" s="1"/>
      <c r="C71" s="1"/>
      <c r="D71" s="1"/>
      <c r="E71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  <rowBreaks count="1" manualBreakCount="1">
    <brk id="36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I36"/>
  <sheetViews>
    <sheetView zoomScaleNormal="100" workbookViewId="0"/>
  </sheetViews>
  <sheetFormatPr defaultRowHeight="12.75"/>
  <cols>
    <col min="2" max="2" width="3.140625" customWidth="1"/>
    <col min="3" max="3" width="29" customWidth="1"/>
    <col min="4" max="4" width="20.140625" bestFit="1" customWidth="1"/>
    <col min="5" max="5" width="4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165</v>
      </c>
      <c r="D2" s="1"/>
      <c r="E2" s="1"/>
      <c r="F2" s="1"/>
      <c r="G2" s="1"/>
      <c r="H2" s="1"/>
      <c r="I2" s="1"/>
    </row>
    <row r="3" spans="1:9" ht="15.75" thickBot="1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3"/>
      <c r="C4" s="4"/>
      <c r="D4" s="4"/>
      <c r="E4" s="5"/>
      <c r="F4" s="1"/>
      <c r="G4" s="1"/>
      <c r="H4" s="1"/>
      <c r="I4" s="1"/>
    </row>
    <row r="5" spans="1:9" ht="15">
      <c r="A5" s="1"/>
      <c r="B5" s="63"/>
      <c r="C5" s="7" t="s">
        <v>182</v>
      </c>
      <c r="D5" s="130">
        <v>1000</v>
      </c>
      <c r="E5" s="8"/>
      <c r="F5" s="1"/>
      <c r="G5" s="1"/>
      <c r="H5" s="1"/>
      <c r="I5" s="1"/>
    </row>
    <row r="6" spans="1:9" ht="15">
      <c r="A6" s="1"/>
      <c r="B6" s="63"/>
      <c r="C6" s="7" t="s">
        <v>214</v>
      </c>
      <c r="D6" s="60">
        <v>7.0000000000000007E-2</v>
      </c>
      <c r="E6" s="8"/>
      <c r="F6" s="1"/>
      <c r="G6" s="1"/>
      <c r="H6" s="1"/>
      <c r="I6" s="1"/>
    </row>
    <row r="7" spans="1:9" ht="15">
      <c r="A7" s="1"/>
      <c r="B7" s="63"/>
      <c r="C7" s="7" t="s">
        <v>186</v>
      </c>
      <c r="D7" s="60">
        <v>0.35</v>
      </c>
      <c r="E7" s="8"/>
      <c r="F7" s="1"/>
      <c r="G7" s="1"/>
      <c r="H7" s="1"/>
      <c r="I7" s="1"/>
    </row>
    <row r="8" spans="1:9" ht="15">
      <c r="A8" s="1"/>
      <c r="B8" s="63" t="s">
        <v>84</v>
      </c>
      <c r="C8" s="7" t="s">
        <v>185</v>
      </c>
      <c r="D8" s="60">
        <v>0.12</v>
      </c>
      <c r="E8" s="8"/>
      <c r="F8" s="1"/>
      <c r="G8" s="1"/>
      <c r="H8" s="1"/>
      <c r="I8" s="1"/>
    </row>
    <row r="9" spans="1:9" ht="15">
      <c r="A9" s="1"/>
      <c r="B9" s="63"/>
      <c r="C9" s="7" t="s">
        <v>213</v>
      </c>
      <c r="D9" s="60">
        <v>0.7</v>
      </c>
      <c r="E9" s="8"/>
      <c r="F9" s="1"/>
      <c r="G9" s="1"/>
      <c r="H9" s="1"/>
      <c r="I9" s="1"/>
    </row>
    <row r="10" spans="1:9" ht="15.75" thickBot="1">
      <c r="A10" s="1"/>
      <c r="B10" s="9"/>
      <c r="C10" s="10"/>
      <c r="D10" s="138"/>
      <c r="E10" s="11"/>
      <c r="F10" s="1"/>
      <c r="G10" s="1"/>
      <c r="H10" s="1"/>
      <c r="I10" s="1"/>
    </row>
    <row r="11" spans="1:9" ht="15">
      <c r="A11" s="1"/>
      <c r="B11" s="1"/>
      <c r="C11" s="1"/>
      <c r="D11" s="1"/>
      <c r="E11" s="1"/>
      <c r="F11" s="1"/>
      <c r="G11" s="1"/>
      <c r="H11" s="1"/>
      <c r="I11" s="1"/>
    </row>
    <row r="12" spans="1:9" ht="15">
      <c r="A12" s="1"/>
      <c r="B12" s="1"/>
      <c r="C12" s="2" t="s">
        <v>2</v>
      </c>
      <c r="D12" s="1"/>
      <c r="E12" s="1"/>
      <c r="F12" s="1"/>
      <c r="G12" s="1"/>
      <c r="H12" s="1"/>
      <c r="I12" s="1"/>
    </row>
    <row r="13" spans="1:9" ht="15.75" thickBot="1">
      <c r="A13" s="1"/>
      <c r="B13" s="1"/>
      <c r="C13" s="1"/>
      <c r="D13" s="1"/>
      <c r="E13" s="1"/>
      <c r="F13" s="31"/>
      <c r="G13" s="31"/>
      <c r="H13" s="31"/>
      <c r="I13" s="1"/>
    </row>
    <row r="14" spans="1:9" ht="15">
      <c r="A14" s="1"/>
      <c r="B14" s="12"/>
      <c r="C14" s="13"/>
      <c r="D14" s="13"/>
      <c r="E14" s="14"/>
      <c r="F14" s="31"/>
      <c r="G14" s="31"/>
      <c r="H14" s="31"/>
      <c r="I14" s="1"/>
    </row>
    <row r="15" spans="1:9" ht="15.75">
      <c r="A15" s="1"/>
      <c r="B15" s="64" t="s">
        <v>83</v>
      </c>
      <c r="C15" s="16" t="s">
        <v>215</v>
      </c>
      <c r="D15" s="37">
        <f>D7</f>
        <v>0.35</v>
      </c>
      <c r="E15" s="17"/>
      <c r="F15" s="31"/>
      <c r="G15" s="31"/>
      <c r="H15" s="31"/>
      <c r="I15" s="1"/>
    </row>
    <row r="16" spans="1:9" ht="15">
      <c r="A16" s="1"/>
      <c r="B16" s="64"/>
      <c r="C16" s="16"/>
      <c r="D16" s="93"/>
      <c r="E16" s="17"/>
      <c r="F16" s="31"/>
      <c r="G16" s="31"/>
      <c r="H16" s="31"/>
      <c r="I16" s="1"/>
    </row>
    <row r="17" spans="1:9" ht="15.75">
      <c r="A17" s="1"/>
      <c r="B17" s="64" t="s">
        <v>84</v>
      </c>
      <c r="C17" s="16" t="s">
        <v>215</v>
      </c>
      <c r="D17" s="37">
        <f>1-(D9+((1-D9)*(1-D7)))</f>
        <v>0.10499999999999998</v>
      </c>
      <c r="E17" s="17"/>
      <c r="F17" s="31"/>
      <c r="G17" s="31"/>
      <c r="H17" s="31"/>
      <c r="I17" s="1"/>
    </row>
    <row r="18" spans="1:9" ht="15.75" thickBot="1">
      <c r="A18" s="1"/>
      <c r="B18" s="18"/>
      <c r="C18" s="19"/>
      <c r="D18" s="19"/>
      <c r="E18" s="20"/>
      <c r="F18" s="1"/>
      <c r="G18" s="1"/>
      <c r="H18" s="1"/>
      <c r="I18" s="1"/>
    </row>
    <row r="19" spans="1:9" ht="15">
      <c r="A19" s="1"/>
      <c r="B19" s="1"/>
      <c r="C19" s="1"/>
      <c r="D19" s="1"/>
      <c r="E19" s="1"/>
      <c r="F19" s="1"/>
      <c r="G19" s="1"/>
      <c r="H19" s="1"/>
      <c r="I19" s="1"/>
    </row>
    <row r="20" spans="1:9" ht="15">
      <c r="A20" s="1"/>
      <c r="B20" s="1"/>
      <c r="C20" s="1"/>
      <c r="D20" s="1"/>
      <c r="E20" s="1"/>
      <c r="F20" s="1"/>
      <c r="G20" s="1"/>
      <c r="H20" s="1"/>
      <c r="I20" s="1"/>
    </row>
    <row r="21" spans="1:9" ht="15">
      <c r="A21" s="1"/>
      <c r="B21" s="1"/>
      <c r="C21" s="1"/>
      <c r="D21" s="1"/>
      <c r="E21" s="1"/>
      <c r="F21" s="1"/>
      <c r="G21" s="1"/>
      <c r="H21" s="1"/>
      <c r="I21" s="1"/>
    </row>
    <row r="22" spans="1:9" ht="15">
      <c r="A22" s="1"/>
      <c r="B22" s="1"/>
      <c r="C22" s="1"/>
      <c r="D22" s="1"/>
      <c r="E22" s="1"/>
      <c r="F22" s="1"/>
      <c r="G22" s="1"/>
      <c r="H22" s="1"/>
      <c r="I22" s="1"/>
    </row>
    <row r="23" spans="1:9" ht="15">
      <c r="A23" s="1"/>
      <c r="B23" s="1"/>
      <c r="C23" s="1"/>
      <c r="D23" s="1"/>
      <c r="E23" s="1"/>
      <c r="F23" s="1"/>
      <c r="G23" s="1"/>
      <c r="H23" s="1"/>
      <c r="I23" s="1"/>
    </row>
    <row r="24" spans="1:9" ht="15">
      <c r="A24" s="1"/>
      <c r="B24" s="1"/>
      <c r="C24" s="1"/>
      <c r="D24" s="1"/>
      <c r="E24" s="1"/>
      <c r="F24" s="1"/>
      <c r="G24" s="1"/>
      <c r="H24" s="1"/>
      <c r="I24" s="1"/>
    </row>
    <row r="25" spans="1:9" ht="15">
      <c r="A25" s="1"/>
      <c r="B25" s="1"/>
      <c r="C25" s="1"/>
      <c r="D25" s="1"/>
      <c r="E25" s="1"/>
      <c r="F25" s="1"/>
      <c r="G25" s="1"/>
      <c r="H25" s="1"/>
      <c r="I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B36" s="1"/>
      <c r="C36" s="1"/>
      <c r="D36" s="1"/>
      <c r="E36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08"/>
  <sheetViews>
    <sheetView zoomScaleNormal="100" workbookViewId="0"/>
  </sheetViews>
  <sheetFormatPr defaultRowHeight="12.75"/>
  <cols>
    <col min="2" max="2" width="3.140625" customWidth="1"/>
    <col min="3" max="3" width="30.85546875" bestFit="1" customWidth="1"/>
    <col min="4" max="4" width="18.140625" customWidth="1"/>
    <col min="5" max="5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8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3"/>
      <c r="C6" s="4"/>
      <c r="D6" s="4"/>
      <c r="E6" s="5"/>
      <c r="F6" s="1"/>
      <c r="G6" s="1"/>
      <c r="H6" s="1"/>
      <c r="I6" s="1"/>
    </row>
    <row r="7" spans="1:9" ht="15.75" customHeight="1">
      <c r="A7" s="1"/>
      <c r="B7" s="6"/>
      <c r="C7" s="7" t="s">
        <v>11</v>
      </c>
      <c r="D7" s="61">
        <v>30000</v>
      </c>
      <c r="E7" s="8"/>
      <c r="F7" s="1"/>
      <c r="G7" s="1"/>
      <c r="H7" s="1"/>
      <c r="I7" s="1"/>
    </row>
    <row r="8" spans="1:9" ht="15.75" customHeight="1">
      <c r="A8" s="1"/>
      <c r="B8" s="6"/>
      <c r="C8" s="7" t="s">
        <v>85</v>
      </c>
      <c r="D8" s="61">
        <v>1</v>
      </c>
      <c r="E8" s="8"/>
      <c r="F8" s="1"/>
      <c r="G8" s="1"/>
      <c r="H8" s="1"/>
      <c r="I8" s="1"/>
    </row>
    <row r="9" spans="1:9" ht="15.75" customHeight="1">
      <c r="A9" s="1"/>
      <c r="B9" s="6"/>
      <c r="C9" s="7" t="s">
        <v>12</v>
      </c>
      <c r="D9" s="61">
        <v>185000</v>
      </c>
      <c r="E9" s="8"/>
      <c r="F9" s="1"/>
      <c r="G9" s="1"/>
      <c r="H9" s="1"/>
      <c r="I9" s="1"/>
    </row>
    <row r="10" spans="1:9" ht="15.75" customHeight="1">
      <c r="A10" s="1"/>
      <c r="B10" s="6"/>
      <c r="C10" s="7" t="s">
        <v>13</v>
      </c>
      <c r="D10" s="61">
        <v>627500</v>
      </c>
      <c r="E10" s="8"/>
      <c r="F10" s="1"/>
      <c r="G10" s="1"/>
      <c r="H10" s="1"/>
      <c r="I10" s="1"/>
    </row>
    <row r="11" spans="1:9" ht="15.75" customHeight="1">
      <c r="A11" s="1"/>
      <c r="B11" s="6"/>
      <c r="C11" s="7" t="s">
        <v>36</v>
      </c>
      <c r="D11" s="150">
        <f>(D7*D8)+D9+D10</f>
        <v>842500</v>
      </c>
      <c r="E11" s="8"/>
      <c r="F11" s="1"/>
      <c r="G11" s="1"/>
      <c r="H11" s="1"/>
      <c r="I11" s="1"/>
    </row>
    <row r="12" spans="1:9" ht="15.75" customHeight="1">
      <c r="A12" s="1"/>
      <c r="B12" s="6"/>
      <c r="C12" s="7"/>
      <c r="D12" s="61"/>
      <c r="E12" s="8"/>
      <c r="F12" s="1"/>
      <c r="G12" s="1"/>
      <c r="H12" s="1"/>
      <c r="I12" s="1"/>
    </row>
    <row r="13" spans="1:9" ht="15.75" customHeight="1">
      <c r="A13" s="1"/>
      <c r="B13" s="63" t="s">
        <v>83</v>
      </c>
      <c r="C13" s="7" t="s">
        <v>86</v>
      </c>
      <c r="D13" s="61">
        <v>37</v>
      </c>
      <c r="E13" s="8"/>
      <c r="F13" s="1"/>
      <c r="G13" s="1"/>
      <c r="H13" s="1"/>
      <c r="I13" s="1"/>
    </row>
    <row r="14" spans="1:9" ht="15.75" customHeight="1">
      <c r="A14" s="1"/>
      <c r="B14" s="63"/>
      <c r="C14" s="7" t="s">
        <v>10</v>
      </c>
      <c r="D14" s="60">
        <v>0.1</v>
      </c>
      <c r="E14" s="8"/>
      <c r="F14" s="1"/>
      <c r="G14" s="1"/>
      <c r="H14" s="1"/>
      <c r="I14" s="1"/>
    </row>
    <row r="15" spans="1:9" ht="15.75" customHeight="1">
      <c r="A15" s="1"/>
      <c r="B15" s="63"/>
      <c r="C15" s="7"/>
      <c r="D15" s="60"/>
      <c r="E15" s="8"/>
      <c r="F15" s="1"/>
      <c r="G15" s="1"/>
      <c r="H15" s="1"/>
      <c r="I15" s="1"/>
    </row>
    <row r="16" spans="1:9" ht="15.75" customHeight="1">
      <c r="A16" s="1"/>
      <c r="B16" s="63" t="s">
        <v>84</v>
      </c>
      <c r="C16" s="7" t="s">
        <v>10</v>
      </c>
      <c r="D16" s="60">
        <v>0.25</v>
      </c>
      <c r="E16" s="8"/>
      <c r="F16" s="1"/>
      <c r="G16" s="1"/>
      <c r="H16" s="1"/>
      <c r="I16" s="1"/>
    </row>
    <row r="17" spans="1:9" ht="15.75" customHeight="1" thickBot="1">
      <c r="A17" s="1"/>
      <c r="B17" s="9"/>
      <c r="C17" s="10"/>
      <c r="D17" s="10"/>
      <c r="E17" s="11"/>
      <c r="F17" s="1"/>
      <c r="G17" s="1"/>
      <c r="H17" s="1"/>
      <c r="I17" s="1"/>
    </row>
    <row r="18" spans="1:9" ht="15.75" customHeight="1">
      <c r="A18" s="1"/>
      <c r="B18" s="1"/>
      <c r="C18" s="1"/>
      <c r="D18" s="1"/>
      <c r="E18" s="1"/>
      <c r="F18" s="1"/>
      <c r="G18" s="1"/>
      <c r="H18" s="1"/>
      <c r="I18" s="1"/>
    </row>
    <row r="19" spans="1:9" ht="15.75" customHeight="1">
      <c r="A19" s="1"/>
      <c r="B19" s="1"/>
      <c r="C19" s="2" t="s">
        <v>2</v>
      </c>
      <c r="D19" s="1"/>
      <c r="E19" s="1"/>
      <c r="F19" s="1"/>
      <c r="G19" s="1"/>
      <c r="H19" s="1"/>
      <c r="I19" s="1"/>
    </row>
    <row r="20" spans="1:9" ht="15.75" customHeight="1" thickBot="1">
      <c r="A20" s="1"/>
      <c r="B20" s="1"/>
      <c r="C20" s="1"/>
      <c r="D20" s="1"/>
      <c r="E20" s="1"/>
      <c r="F20" s="1"/>
      <c r="G20" s="1"/>
      <c r="H20" s="1"/>
      <c r="I20" s="1"/>
    </row>
    <row r="21" spans="1:9" ht="15.75" customHeight="1">
      <c r="A21" s="1"/>
      <c r="B21" s="12"/>
      <c r="C21" s="13"/>
      <c r="D21" s="13"/>
      <c r="E21" s="14"/>
      <c r="F21" s="1"/>
      <c r="G21" s="1"/>
      <c r="H21" s="1"/>
      <c r="I21" s="1"/>
    </row>
    <row r="22" spans="1:9" ht="15.75" customHeight="1">
      <c r="A22" s="1"/>
      <c r="B22" s="64" t="s">
        <v>83</v>
      </c>
      <c r="C22" s="16" t="s">
        <v>16</v>
      </c>
      <c r="D22" s="65">
        <f>(D7/D8)*(1+D14)</f>
        <v>33000</v>
      </c>
      <c r="E22" s="17"/>
      <c r="F22" s="1"/>
      <c r="G22" s="1"/>
      <c r="H22" s="1"/>
      <c r="I22" s="1"/>
    </row>
    <row r="23" spans="1:9" ht="15.75" customHeight="1">
      <c r="A23" s="1"/>
      <c r="B23" s="15"/>
      <c r="C23" s="16" t="s">
        <v>15</v>
      </c>
      <c r="D23" s="66">
        <f>D22-(D7/1)</f>
        <v>3000</v>
      </c>
      <c r="E23" s="17"/>
      <c r="F23" s="1"/>
      <c r="G23" s="1"/>
      <c r="H23" s="1"/>
      <c r="I23" s="1"/>
    </row>
    <row r="24" spans="1:9" ht="15.75" customHeight="1">
      <c r="A24" s="1"/>
      <c r="B24" s="15"/>
      <c r="C24" s="16" t="s">
        <v>17</v>
      </c>
      <c r="D24" s="67">
        <f>D23*(D13-D8)</f>
        <v>108000</v>
      </c>
      <c r="E24" s="17"/>
      <c r="F24" s="1"/>
      <c r="G24" s="1"/>
      <c r="H24" s="1"/>
      <c r="I24" s="1"/>
    </row>
    <row r="25" spans="1:9" ht="15.75" customHeight="1">
      <c r="A25" s="1"/>
      <c r="B25" s="15"/>
      <c r="C25" s="16"/>
      <c r="D25" s="68"/>
      <c r="E25" s="17"/>
      <c r="F25" s="1"/>
      <c r="G25" s="1"/>
      <c r="H25" s="1"/>
      <c r="I25" s="1"/>
    </row>
    <row r="26" spans="1:9" ht="15.75" customHeight="1">
      <c r="A26" s="1"/>
      <c r="B26" s="15"/>
      <c r="C26" s="16" t="s">
        <v>11</v>
      </c>
      <c r="D26" s="24">
        <f>D22*D8</f>
        <v>33000</v>
      </c>
      <c r="E26" s="17"/>
      <c r="F26" s="1"/>
      <c r="G26" s="1"/>
      <c r="H26" s="1"/>
      <c r="I26" s="1"/>
    </row>
    <row r="27" spans="1:9" ht="15.75" customHeight="1">
      <c r="A27" s="1"/>
      <c r="B27" s="15"/>
      <c r="C27" s="16" t="s">
        <v>12</v>
      </c>
      <c r="D27" s="68">
        <f>D24+D9</f>
        <v>293000</v>
      </c>
      <c r="E27" s="17"/>
      <c r="F27" s="1"/>
      <c r="G27" s="1"/>
      <c r="H27" s="1"/>
      <c r="I27" s="1"/>
    </row>
    <row r="28" spans="1:9" ht="15.75" customHeight="1">
      <c r="A28" s="1"/>
      <c r="B28" s="15"/>
      <c r="C28" s="16" t="s">
        <v>13</v>
      </c>
      <c r="D28" s="68">
        <f>D29-D27-D26</f>
        <v>516500</v>
      </c>
      <c r="E28" s="17"/>
      <c r="F28" s="1"/>
      <c r="G28" s="1"/>
      <c r="H28" s="1"/>
      <c r="I28" s="1"/>
    </row>
    <row r="29" spans="1:9" ht="15.75" customHeight="1" thickBot="1">
      <c r="A29" s="1"/>
      <c r="B29" s="15"/>
      <c r="C29" s="16"/>
      <c r="D29" s="69">
        <f>D11</f>
        <v>842500</v>
      </c>
      <c r="E29" s="17"/>
      <c r="F29" s="1"/>
      <c r="G29" s="1"/>
      <c r="H29" s="1"/>
      <c r="I29" s="1"/>
    </row>
    <row r="30" spans="1:9" ht="15.75" customHeight="1" thickTop="1">
      <c r="A30" s="1"/>
      <c r="B30" s="15"/>
      <c r="C30" s="16"/>
      <c r="D30" s="24"/>
      <c r="E30" s="17"/>
      <c r="F30" s="1"/>
      <c r="G30" s="1"/>
      <c r="H30" s="1"/>
      <c r="I30" s="1"/>
    </row>
    <row r="31" spans="1:9" ht="15.75" customHeight="1">
      <c r="A31" s="1"/>
      <c r="B31" s="64" t="s">
        <v>84</v>
      </c>
      <c r="C31" s="16" t="s">
        <v>16</v>
      </c>
      <c r="D31" s="65">
        <f>(D7/D8)*(1+D16)</f>
        <v>37500</v>
      </c>
      <c r="E31" s="17"/>
      <c r="F31" s="1"/>
      <c r="G31" s="1"/>
      <c r="H31" s="1"/>
      <c r="I31" s="1"/>
    </row>
    <row r="32" spans="1:9" ht="15.75" customHeight="1">
      <c r="A32" s="1"/>
      <c r="B32" s="15"/>
      <c r="C32" s="16" t="s">
        <v>15</v>
      </c>
      <c r="D32" s="66">
        <f>D31-(D7/D8)</f>
        <v>7500</v>
      </c>
      <c r="E32" s="17"/>
      <c r="F32" s="1"/>
      <c r="G32" s="1"/>
      <c r="H32" s="1"/>
      <c r="I32" s="1"/>
    </row>
    <row r="33" spans="1:9" ht="15.75" customHeight="1">
      <c r="A33" s="1"/>
      <c r="B33" s="15"/>
      <c r="C33" s="16" t="s">
        <v>17</v>
      </c>
      <c r="D33" s="70">
        <f>D32*(D13-D8)</f>
        <v>270000</v>
      </c>
      <c r="E33" s="17"/>
      <c r="F33" s="1"/>
      <c r="G33" s="1"/>
      <c r="H33" s="1"/>
      <c r="I33" s="1"/>
    </row>
    <row r="34" spans="1:9" ht="15.75" customHeight="1">
      <c r="A34" s="1"/>
      <c r="B34" s="15"/>
      <c r="C34" s="16"/>
      <c r="D34" s="22"/>
      <c r="E34" s="17"/>
      <c r="F34" s="1"/>
      <c r="G34" s="1"/>
      <c r="H34" s="1"/>
      <c r="I34" s="1"/>
    </row>
    <row r="35" spans="1:9" ht="15.75" customHeight="1">
      <c r="A35" s="1"/>
      <c r="B35" s="15"/>
      <c r="C35" s="16" t="s">
        <v>11</v>
      </c>
      <c r="D35" s="71">
        <f>D31*D8</f>
        <v>37500</v>
      </c>
      <c r="E35" s="17"/>
      <c r="F35" s="1"/>
      <c r="G35" s="1"/>
      <c r="H35" s="1"/>
      <c r="I35" s="1"/>
    </row>
    <row r="36" spans="1:9" ht="15.75" customHeight="1">
      <c r="A36" s="1"/>
      <c r="B36" s="15"/>
      <c r="C36" s="16" t="s">
        <v>12</v>
      </c>
      <c r="D36" s="68">
        <f>D33+D9</f>
        <v>455000</v>
      </c>
      <c r="E36" s="17"/>
      <c r="F36" s="1"/>
      <c r="G36" s="1"/>
      <c r="H36" s="1"/>
      <c r="I36" s="1"/>
    </row>
    <row r="37" spans="1:9" ht="15.75" customHeight="1">
      <c r="A37" s="1"/>
      <c r="B37" s="15"/>
      <c r="C37" s="16" t="s">
        <v>13</v>
      </c>
      <c r="D37" s="68">
        <f>D38-D36-D35</f>
        <v>350000</v>
      </c>
      <c r="E37" s="17"/>
      <c r="F37" s="1"/>
      <c r="G37" s="1"/>
      <c r="H37" s="1"/>
      <c r="I37" s="1"/>
    </row>
    <row r="38" spans="1:9" ht="15.75" customHeight="1" thickBot="1">
      <c r="A38" s="1"/>
      <c r="B38" s="15"/>
      <c r="C38" s="16"/>
      <c r="D38" s="72">
        <f>D11</f>
        <v>842500</v>
      </c>
      <c r="E38" s="17"/>
      <c r="F38" s="1"/>
      <c r="G38" s="1"/>
      <c r="H38" s="1"/>
      <c r="I38" s="1"/>
    </row>
    <row r="39" spans="1:9" ht="15.75" customHeight="1" thickTop="1" thickBot="1">
      <c r="A39" s="1"/>
      <c r="B39" s="18"/>
      <c r="C39" s="19"/>
      <c r="D39" s="19"/>
      <c r="E39" s="20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5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5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5.75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15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15.75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15.75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15.7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15.75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15.75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15.75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15.75" customHeight="1"/>
    <row r="59" spans="1:9" ht="15.75" customHeight="1"/>
    <row r="60" spans="1:9" ht="15.75" customHeight="1"/>
    <row r="61" spans="1:9" ht="15.75" customHeight="1"/>
    <row r="62" spans="1:9" ht="15.75" customHeight="1"/>
    <row r="63" spans="1:9" ht="15.75" customHeight="1"/>
    <row r="64" spans="1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</sheetData>
  <phoneticPr fontId="1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8"/>
  <sheetViews>
    <sheetView workbookViewId="0"/>
  </sheetViews>
  <sheetFormatPr defaultRowHeight="12.75"/>
  <cols>
    <col min="2" max="2" width="3.140625" customWidth="1"/>
    <col min="3" max="3" width="30.85546875" bestFit="1" customWidth="1"/>
    <col min="4" max="4" width="15.140625" customWidth="1"/>
    <col min="5" max="6" width="4.85546875" customWidth="1"/>
    <col min="7" max="7" width="3.140625" customWidth="1"/>
  </cols>
  <sheetData>
    <row r="1" spans="1:11" ht="18">
      <c r="A1" s="1"/>
      <c r="B1" s="1"/>
      <c r="C1" s="121" t="s">
        <v>222</v>
      </c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 t="s">
        <v>9</v>
      </c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</row>
    <row r="5" spans="1:11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3"/>
      <c r="C6" s="4"/>
      <c r="D6" s="4"/>
      <c r="E6" s="4"/>
      <c r="F6" s="4"/>
      <c r="G6" s="5"/>
      <c r="H6" s="1"/>
      <c r="I6" s="1"/>
      <c r="J6" s="1"/>
      <c r="K6" s="1"/>
    </row>
    <row r="7" spans="1:11" ht="15.75" customHeight="1">
      <c r="A7" s="1"/>
      <c r="B7" s="6"/>
      <c r="C7" s="7" t="s">
        <v>11</v>
      </c>
      <c r="D7" s="76">
        <f ca="1">'#2'!D7</f>
        <v>30000</v>
      </c>
      <c r="E7" s="61"/>
      <c r="F7" s="61"/>
      <c r="G7" s="8"/>
      <c r="H7" s="1"/>
      <c r="I7" s="1"/>
      <c r="J7" s="1"/>
      <c r="K7" s="1"/>
    </row>
    <row r="8" spans="1:11" ht="15.75" customHeight="1">
      <c r="A8" s="1"/>
      <c r="B8" s="6"/>
      <c r="C8" s="7" t="s">
        <v>85</v>
      </c>
      <c r="D8" s="76">
        <f ca="1">'#2'!D8</f>
        <v>1</v>
      </c>
      <c r="E8" s="61"/>
      <c r="F8" s="61"/>
      <c r="G8" s="8"/>
      <c r="H8" s="1"/>
      <c r="I8" s="1"/>
      <c r="J8" s="1"/>
      <c r="K8" s="1"/>
    </row>
    <row r="9" spans="1:11" ht="15.75" customHeight="1">
      <c r="A9" s="1"/>
      <c r="B9" s="6"/>
      <c r="C9" s="7" t="s">
        <v>12</v>
      </c>
      <c r="D9" s="76">
        <f ca="1">'#2'!D9</f>
        <v>185000</v>
      </c>
      <c r="E9" s="61"/>
      <c r="F9" s="61"/>
      <c r="G9" s="8"/>
      <c r="H9" s="1"/>
      <c r="I9" s="1"/>
      <c r="J9" s="1"/>
      <c r="K9" s="1"/>
    </row>
    <row r="10" spans="1:11" ht="15.75" customHeight="1">
      <c r="A10" s="1"/>
      <c r="B10" s="6"/>
      <c r="C10" s="7" t="s">
        <v>13</v>
      </c>
      <c r="D10" s="76">
        <f ca="1">'#2'!D10</f>
        <v>627500</v>
      </c>
      <c r="E10" s="61"/>
      <c r="F10" s="61"/>
      <c r="G10" s="8"/>
      <c r="H10" s="1"/>
      <c r="I10" s="1"/>
      <c r="J10" s="1"/>
      <c r="K10" s="1"/>
    </row>
    <row r="11" spans="1:11" ht="15.75" customHeight="1">
      <c r="A11" s="1"/>
      <c r="B11" s="6"/>
      <c r="C11" s="7" t="s">
        <v>14</v>
      </c>
      <c r="D11" s="76">
        <f ca="1">'#2'!D11</f>
        <v>842500</v>
      </c>
      <c r="E11" s="61"/>
      <c r="F11" s="61"/>
      <c r="G11" s="8"/>
      <c r="H11" s="1"/>
      <c r="I11" s="1"/>
      <c r="J11" s="1"/>
      <c r="K11" s="1"/>
    </row>
    <row r="12" spans="1:11" ht="15.75" customHeight="1">
      <c r="A12" s="1"/>
      <c r="B12" s="63"/>
      <c r="C12" s="7" t="s">
        <v>86</v>
      </c>
      <c r="D12" s="76">
        <f ca="1">'#2'!D13</f>
        <v>37</v>
      </c>
      <c r="E12" s="61"/>
      <c r="F12" s="61"/>
      <c r="G12" s="8"/>
      <c r="H12" s="1"/>
      <c r="I12" s="1"/>
      <c r="J12" s="1"/>
      <c r="K12" s="1"/>
    </row>
    <row r="13" spans="1:11" ht="15.75" customHeight="1">
      <c r="A13" s="1"/>
      <c r="B13" s="63" t="s">
        <v>83</v>
      </c>
      <c r="C13" s="7" t="s">
        <v>19</v>
      </c>
      <c r="D13" s="73">
        <v>4</v>
      </c>
      <c r="E13" s="74" t="s">
        <v>87</v>
      </c>
      <c r="F13" s="73">
        <v>1</v>
      </c>
      <c r="G13" s="8"/>
      <c r="H13" s="1"/>
      <c r="I13" s="1"/>
      <c r="J13" s="1"/>
      <c r="K13" s="1"/>
    </row>
    <row r="14" spans="1:11" ht="15.75" customHeight="1">
      <c r="A14" s="1"/>
      <c r="B14" s="63" t="s">
        <v>84</v>
      </c>
      <c r="C14" s="7" t="s">
        <v>19</v>
      </c>
      <c r="D14" s="73">
        <v>1</v>
      </c>
      <c r="E14" s="74" t="s">
        <v>87</v>
      </c>
      <c r="F14" s="73">
        <v>5</v>
      </c>
      <c r="G14" s="8"/>
      <c r="H14" s="1"/>
      <c r="I14" s="1"/>
      <c r="J14" s="1"/>
      <c r="K14" s="1"/>
    </row>
    <row r="15" spans="1:11" ht="15.75" customHeight="1" thickBot="1">
      <c r="A15" s="1"/>
      <c r="B15" s="9"/>
      <c r="C15" s="10"/>
      <c r="D15" s="10"/>
      <c r="E15" s="10"/>
      <c r="F15" s="10"/>
      <c r="G15" s="11"/>
      <c r="H15" s="1"/>
      <c r="I15" s="1"/>
      <c r="J15" s="1"/>
      <c r="K15" s="1"/>
    </row>
    <row r="16" spans="1:11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.75" customHeight="1">
      <c r="A17" s="1"/>
      <c r="B17" s="1"/>
      <c r="C17" s="2" t="s">
        <v>2</v>
      </c>
      <c r="D17" s="1"/>
      <c r="E17" s="1"/>
      <c r="F17" s="1"/>
      <c r="G17" s="1"/>
      <c r="H17" s="1"/>
      <c r="I17" s="1"/>
      <c r="J17" s="1"/>
      <c r="K17" s="1"/>
    </row>
    <row r="18" spans="1:11" ht="15.75" customHeight="1" thickBo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.75" customHeight="1">
      <c r="A19" s="1"/>
      <c r="B19" s="12"/>
      <c r="C19" s="13"/>
      <c r="D19" s="13"/>
      <c r="E19" s="13"/>
      <c r="F19" s="13"/>
      <c r="G19" s="14"/>
      <c r="H19" s="1"/>
      <c r="I19" s="1"/>
      <c r="J19" s="1"/>
      <c r="K19" s="1"/>
    </row>
    <row r="20" spans="1:11" ht="15.75" customHeight="1">
      <c r="A20" s="1"/>
      <c r="B20" s="64" t="s">
        <v>83</v>
      </c>
      <c r="C20" s="16" t="s">
        <v>16</v>
      </c>
      <c r="D20" s="45">
        <f>(D7/D8)*(D13/F13)</f>
        <v>120000</v>
      </c>
      <c r="E20" s="65"/>
      <c r="F20" s="65"/>
      <c r="G20" s="17"/>
      <c r="H20" s="1"/>
      <c r="I20" s="1"/>
      <c r="J20" s="1"/>
      <c r="K20" s="1"/>
    </row>
    <row r="21" spans="1:11" ht="15.75" customHeight="1">
      <c r="A21" s="1"/>
      <c r="B21" s="15"/>
      <c r="C21" s="16" t="s">
        <v>88</v>
      </c>
      <c r="D21" s="75"/>
      <c r="E21" s="68"/>
      <c r="F21" s="68"/>
      <c r="G21" s="17"/>
      <c r="H21" s="1"/>
      <c r="I21" s="1"/>
      <c r="J21" s="1"/>
      <c r="K21" s="1"/>
    </row>
    <row r="22" spans="1:11" ht="15.75" customHeight="1">
      <c r="A22" s="1"/>
      <c r="B22" s="15"/>
      <c r="C22" s="16" t="s">
        <v>89</v>
      </c>
      <c r="D22" s="40">
        <f>D8*(F13/D13)</f>
        <v>0.25</v>
      </c>
      <c r="E22" s="67"/>
      <c r="F22" s="67"/>
      <c r="G22" s="17"/>
      <c r="H22" s="1"/>
      <c r="I22" s="1"/>
      <c r="J22" s="1"/>
      <c r="K22" s="1"/>
    </row>
    <row r="23" spans="1:11" ht="15.75" customHeight="1">
      <c r="A23" s="1"/>
      <c r="B23" s="15"/>
      <c r="C23" s="16"/>
      <c r="D23" s="68"/>
      <c r="E23" s="68"/>
      <c r="F23" s="68"/>
      <c r="G23" s="17"/>
      <c r="H23" s="1"/>
      <c r="I23" s="1"/>
      <c r="J23" s="1"/>
      <c r="K23" s="1"/>
    </row>
    <row r="24" spans="1:11" ht="15.75" customHeight="1">
      <c r="A24" s="1"/>
      <c r="B24" s="64" t="s">
        <v>84</v>
      </c>
      <c r="C24" s="16" t="s">
        <v>16</v>
      </c>
      <c r="D24" s="45">
        <f>(D7/D8)*(D14/F14)</f>
        <v>6000</v>
      </c>
      <c r="E24" s="70"/>
      <c r="F24" s="70"/>
      <c r="G24" s="17"/>
      <c r="H24" s="1"/>
      <c r="I24" s="1"/>
      <c r="J24" s="1"/>
      <c r="K24" s="1"/>
    </row>
    <row r="25" spans="1:11" ht="15.75" customHeight="1">
      <c r="A25" s="1"/>
      <c r="B25" s="15"/>
      <c r="C25" s="16" t="s">
        <v>88</v>
      </c>
      <c r="D25" s="75"/>
      <c r="E25" s="22"/>
      <c r="F25" s="22"/>
      <c r="G25" s="17"/>
      <c r="H25" s="1"/>
      <c r="I25" s="1"/>
      <c r="J25" s="1"/>
      <c r="K25" s="1"/>
    </row>
    <row r="26" spans="1:11" ht="15.75" customHeight="1">
      <c r="A26" s="1"/>
      <c r="B26" s="15"/>
      <c r="C26" s="16" t="s">
        <v>89</v>
      </c>
      <c r="D26" s="40">
        <f>D8*(F14/D14)</f>
        <v>5</v>
      </c>
      <c r="E26" s="71"/>
      <c r="F26" s="71"/>
      <c r="G26" s="17"/>
      <c r="H26" s="1"/>
      <c r="I26" s="1"/>
      <c r="J26" s="1"/>
      <c r="K26" s="1"/>
    </row>
    <row r="27" spans="1:11" ht="15.75" customHeight="1" thickBot="1">
      <c r="A27" s="1"/>
      <c r="B27" s="18"/>
      <c r="C27" s="19"/>
      <c r="D27" s="19"/>
      <c r="E27" s="19"/>
      <c r="F27" s="19"/>
      <c r="G27" s="20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/>
    <row r="47" spans="1:11" ht="15.75" customHeight="1"/>
    <row r="48" spans="1:11" ht="15.75" customHeight="1"/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"/>
  <sheetViews>
    <sheetView workbookViewId="0"/>
  </sheetViews>
  <sheetFormatPr defaultRowHeight="12.75"/>
  <cols>
    <col min="2" max="3" width="3.140625" customWidth="1"/>
    <col min="4" max="4" width="25" bestFit="1" customWidth="1"/>
    <col min="5" max="5" width="14.28515625" customWidth="1"/>
    <col min="6" max="6" width="5.7109375" customWidth="1"/>
    <col min="7" max="7" width="4.7109375" customWidth="1"/>
    <col min="8" max="8" width="3.140625" customWidth="1"/>
  </cols>
  <sheetData>
    <row r="1" spans="1:12" ht="18">
      <c r="A1" s="1"/>
      <c r="B1" s="1"/>
      <c r="C1" s="1"/>
      <c r="D1" s="121" t="s">
        <v>222</v>
      </c>
      <c r="E1" s="1"/>
      <c r="F1" s="1"/>
      <c r="G1" s="1"/>
      <c r="H1" s="1"/>
      <c r="I1" s="1"/>
      <c r="J1" s="1"/>
      <c r="K1" s="1"/>
      <c r="L1" s="1"/>
    </row>
    <row r="2" spans="1:12" ht="15.75" customHeight="1">
      <c r="A2" s="1"/>
      <c r="B2" s="1"/>
      <c r="C2" s="1"/>
      <c r="D2" s="1" t="s">
        <v>18</v>
      </c>
      <c r="E2" s="1"/>
      <c r="F2" s="1"/>
      <c r="G2" s="1"/>
      <c r="H2" s="1"/>
      <c r="I2" s="1"/>
      <c r="J2" s="1"/>
      <c r="K2" s="1"/>
      <c r="L2" s="1"/>
    </row>
    <row r="3" spans="1:12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customHeight="1">
      <c r="A4" s="1"/>
      <c r="B4" s="1"/>
      <c r="C4" s="1"/>
      <c r="D4" s="2" t="s">
        <v>1</v>
      </c>
      <c r="E4" s="1"/>
      <c r="F4" s="1"/>
      <c r="G4" s="1"/>
      <c r="H4" s="1"/>
      <c r="I4" s="1"/>
      <c r="J4" s="1"/>
      <c r="K4" s="1"/>
      <c r="L4" s="1"/>
    </row>
    <row r="5" spans="1:12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75" customHeight="1">
      <c r="A6" s="1"/>
      <c r="B6" s="3"/>
      <c r="C6" s="4"/>
      <c r="D6" s="4"/>
      <c r="E6" s="4"/>
      <c r="F6" s="4"/>
      <c r="G6" s="4"/>
      <c r="H6" s="5"/>
      <c r="I6" s="1"/>
      <c r="J6" s="1"/>
      <c r="K6" s="1"/>
      <c r="L6" s="1"/>
    </row>
    <row r="7" spans="1:12" ht="15.75" customHeight="1">
      <c r="A7" s="1"/>
      <c r="B7" s="6"/>
      <c r="C7" s="7"/>
      <c r="D7" s="7" t="s">
        <v>20</v>
      </c>
      <c r="E7" s="151">
        <v>330000</v>
      </c>
      <c r="F7" s="62"/>
      <c r="G7" s="62"/>
      <c r="H7" s="8"/>
      <c r="I7" s="1"/>
      <c r="J7" s="1"/>
      <c r="K7" s="1"/>
      <c r="L7" s="1"/>
    </row>
    <row r="8" spans="1:12" ht="15.75" customHeight="1">
      <c r="A8" s="1"/>
      <c r="B8" s="6"/>
      <c r="C8" s="7"/>
      <c r="D8" s="7" t="s">
        <v>86</v>
      </c>
      <c r="E8" s="77">
        <v>64</v>
      </c>
      <c r="F8" s="77"/>
      <c r="G8" s="77"/>
      <c r="H8" s="8"/>
      <c r="I8" s="1"/>
      <c r="J8" s="1"/>
      <c r="K8" s="1"/>
      <c r="L8" s="1"/>
    </row>
    <row r="9" spans="1:12" ht="15.75" customHeight="1">
      <c r="A9" s="1"/>
      <c r="B9" s="63" t="s">
        <v>83</v>
      </c>
      <c r="C9" s="7"/>
      <c r="D9" s="7" t="s">
        <v>19</v>
      </c>
      <c r="E9" s="78">
        <v>5</v>
      </c>
      <c r="F9" s="79" t="s">
        <v>90</v>
      </c>
      <c r="G9" s="78">
        <v>3</v>
      </c>
      <c r="H9" s="8"/>
      <c r="I9" s="1"/>
      <c r="J9" s="1"/>
      <c r="K9" s="1"/>
      <c r="L9" s="1"/>
    </row>
    <row r="10" spans="1:12" ht="15.75" customHeight="1">
      <c r="A10" s="1"/>
      <c r="B10" s="63" t="s">
        <v>84</v>
      </c>
      <c r="C10" s="7"/>
      <c r="D10" s="7" t="s">
        <v>216</v>
      </c>
      <c r="E10" s="80">
        <v>0.15</v>
      </c>
      <c r="F10" s="81"/>
      <c r="G10" s="82"/>
      <c r="H10" s="8"/>
      <c r="I10" s="1"/>
      <c r="J10" s="1"/>
      <c r="K10" s="1"/>
      <c r="L10" s="1"/>
    </row>
    <row r="11" spans="1:12" ht="15.75" customHeight="1">
      <c r="A11" s="1"/>
      <c r="B11" s="63" t="s">
        <v>91</v>
      </c>
      <c r="C11" s="7"/>
      <c r="D11" s="7" t="s">
        <v>216</v>
      </c>
      <c r="E11" s="80">
        <v>0.42499999999999999</v>
      </c>
      <c r="F11" s="81"/>
      <c r="G11" s="82"/>
      <c r="H11" s="8"/>
      <c r="I11" s="1"/>
      <c r="J11" s="1"/>
      <c r="K11" s="1"/>
      <c r="L11" s="1"/>
    </row>
    <row r="12" spans="1:12" ht="15.75" customHeight="1">
      <c r="A12" s="1"/>
      <c r="B12" s="63" t="s">
        <v>92</v>
      </c>
      <c r="C12" s="7"/>
      <c r="D12" s="7" t="s">
        <v>21</v>
      </c>
      <c r="E12" s="78">
        <v>4</v>
      </c>
      <c r="F12" s="79" t="s">
        <v>87</v>
      </c>
      <c r="G12" s="78">
        <v>7</v>
      </c>
      <c r="H12" s="8"/>
      <c r="I12" s="1"/>
      <c r="J12" s="1"/>
      <c r="K12" s="1"/>
      <c r="L12" s="1"/>
    </row>
    <row r="13" spans="1:12" ht="15.75" customHeight="1" thickBot="1">
      <c r="A13" s="1"/>
      <c r="B13" s="9"/>
      <c r="C13" s="10"/>
      <c r="D13" s="10"/>
      <c r="E13" s="10"/>
      <c r="F13" s="10"/>
      <c r="G13" s="10"/>
      <c r="H13" s="11"/>
      <c r="I13" s="1"/>
      <c r="J13" s="1"/>
      <c r="K13" s="1"/>
      <c r="L13" s="1"/>
    </row>
    <row r="14" spans="1:12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5.75" customHeight="1">
      <c r="A15" s="1"/>
      <c r="B15" s="1"/>
      <c r="C15" s="1"/>
      <c r="D15" s="2" t="s">
        <v>2</v>
      </c>
      <c r="E15" s="1"/>
      <c r="F15" s="1"/>
      <c r="G15" s="1"/>
      <c r="H15" s="1"/>
      <c r="I15" s="1"/>
      <c r="J15" s="1"/>
      <c r="K15" s="1"/>
      <c r="L15" s="1"/>
    </row>
    <row r="16" spans="1:12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5.75" customHeight="1">
      <c r="A17" s="1"/>
      <c r="B17" s="12"/>
      <c r="C17" s="13"/>
      <c r="D17" s="13"/>
      <c r="E17" s="13"/>
      <c r="F17" s="13"/>
      <c r="G17" s="13"/>
      <c r="H17" s="14"/>
      <c r="I17" s="1"/>
      <c r="J17" s="1"/>
      <c r="K17" s="1"/>
      <c r="L17" s="1"/>
    </row>
    <row r="18" spans="1:12" ht="15.75" customHeight="1">
      <c r="A18" s="1"/>
      <c r="B18" s="64" t="s">
        <v>83</v>
      </c>
      <c r="C18" s="41"/>
      <c r="D18" s="16" t="s">
        <v>19</v>
      </c>
      <c r="E18" s="42">
        <f>E8*(G9/E9)</f>
        <v>38.4</v>
      </c>
      <c r="F18" s="26"/>
      <c r="G18" s="26"/>
      <c r="H18" s="17"/>
      <c r="I18" s="1"/>
      <c r="J18" s="1"/>
      <c r="K18" s="1"/>
      <c r="L18" s="1"/>
    </row>
    <row r="19" spans="1:12" ht="15.75" customHeight="1">
      <c r="A19" s="1"/>
      <c r="B19" s="64" t="s">
        <v>84</v>
      </c>
      <c r="C19" s="41"/>
      <c r="D19" s="16" t="s">
        <v>10</v>
      </c>
      <c r="E19" s="42">
        <f>E8*(1/(1+E10))</f>
        <v>55.652173913043484</v>
      </c>
      <c r="F19" s="26"/>
      <c r="G19" s="26"/>
      <c r="H19" s="17"/>
      <c r="I19" s="1"/>
      <c r="J19" s="1"/>
      <c r="K19" s="1"/>
      <c r="L19" s="1"/>
    </row>
    <row r="20" spans="1:12" ht="15.75" customHeight="1">
      <c r="A20" s="1"/>
      <c r="B20" s="64" t="s">
        <v>91</v>
      </c>
      <c r="C20" s="41"/>
      <c r="D20" s="16" t="s">
        <v>10</v>
      </c>
      <c r="E20" s="42">
        <f>E8*(1/(1+E11))</f>
        <v>44.912280701754383</v>
      </c>
      <c r="F20" s="26"/>
      <c r="G20" s="26"/>
      <c r="H20" s="17"/>
      <c r="I20" s="1"/>
      <c r="J20" s="1"/>
      <c r="K20" s="1"/>
      <c r="L20" s="1"/>
    </row>
    <row r="21" spans="1:12" ht="15.75" customHeight="1">
      <c r="A21" s="1"/>
      <c r="B21" s="64" t="s">
        <v>92</v>
      </c>
      <c r="C21" s="41"/>
      <c r="D21" s="16" t="s">
        <v>19</v>
      </c>
      <c r="E21" s="42">
        <f>E8*(G12/E12)</f>
        <v>112</v>
      </c>
      <c r="F21" s="26"/>
      <c r="G21" s="26"/>
      <c r="H21" s="17"/>
      <c r="I21" s="1"/>
      <c r="J21" s="1"/>
      <c r="K21" s="1"/>
      <c r="L21" s="1"/>
    </row>
    <row r="22" spans="1:12" ht="15.75" customHeight="1">
      <c r="A22" s="1"/>
      <c r="B22" s="64"/>
      <c r="C22" s="41"/>
      <c r="D22" s="16"/>
      <c r="E22" s="25"/>
      <c r="F22" s="25"/>
      <c r="G22" s="25"/>
      <c r="H22" s="17"/>
      <c r="I22" s="1"/>
      <c r="J22" s="1"/>
      <c r="K22" s="1"/>
      <c r="L22" s="1"/>
    </row>
    <row r="23" spans="1:12" ht="15.75" customHeight="1">
      <c r="A23" s="1"/>
      <c r="B23" s="64" t="s">
        <v>93</v>
      </c>
      <c r="C23" s="41" t="s">
        <v>83</v>
      </c>
      <c r="D23" s="16" t="s">
        <v>16</v>
      </c>
      <c r="E23" s="66">
        <f>E7*(E9/G9)</f>
        <v>550000</v>
      </c>
      <c r="F23" s="26"/>
      <c r="G23" s="26"/>
      <c r="H23" s="17"/>
      <c r="I23" s="1"/>
      <c r="J23" s="1"/>
      <c r="K23" s="1"/>
      <c r="L23" s="1"/>
    </row>
    <row r="24" spans="1:12" ht="15.75" customHeight="1">
      <c r="A24" s="1"/>
      <c r="B24" s="64"/>
      <c r="C24" s="41" t="s">
        <v>84</v>
      </c>
      <c r="D24" s="16" t="s">
        <v>16</v>
      </c>
      <c r="E24" s="66">
        <f>E7*(1+E10)</f>
        <v>379499.99999999994</v>
      </c>
      <c r="F24" s="26"/>
      <c r="G24" s="26"/>
      <c r="H24" s="17"/>
      <c r="I24" s="1"/>
      <c r="J24" s="1"/>
      <c r="K24" s="1"/>
      <c r="L24" s="1"/>
    </row>
    <row r="25" spans="1:12" ht="15.75" customHeight="1">
      <c r="A25" s="1"/>
      <c r="B25" s="64"/>
      <c r="C25" s="41" t="s">
        <v>91</v>
      </c>
      <c r="D25" s="16" t="s">
        <v>16</v>
      </c>
      <c r="E25" s="66">
        <f>E7*(1+E11)</f>
        <v>470250</v>
      </c>
      <c r="F25" s="26"/>
      <c r="G25" s="26"/>
      <c r="H25" s="17"/>
      <c r="I25" s="1"/>
      <c r="J25" s="1"/>
      <c r="K25" s="1"/>
      <c r="L25" s="1"/>
    </row>
    <row r="26" spans="1:12" ht="15.75" customHeight="1">
      <c r="A26" s="1"/>
      <c r="B26" s="64"/>
      <c r="C26" s="41" t="s">
        <v>92</v>
      </c>
      <c r="D26" s="16" t="s">
        <v>16</v>
      </c>
      <c r="E26" s="66">
        <f>E7*(E12/G12)</f>
        <v>188571.42857142855</v>
      </c>
      <c r="F26" s="26"/>
      <c r="G26" s="26"/>
      <c r="H26" s="17"/>
      <c r="I26" s="1"/>
      <c r="J26" s="1"/>
      <c r="K26" s="1"/>
      <c r="L26" s="1"/>
    </row>
    <row r="27" spans="1:12" ht="15.75" customHeight="1" thickBot="1">
      <c r="A27" s="1"/>
      <c r="B27" s="18"/>
      <c r="C27" s="19"/>
      <c r="D27" s="19"/>
      <c r="E27" s="19"/>
      <c r="F27" s="19"/>
      <c r="G27" s="19"/>
      <c r="H27" s="20"/>
      <c r="I27" s="1"/>
      <c r="J27" s="1"/>
      <c r="K27" s="1"/>
      <c r="L27" s="1"/>
    </row>
    <row r="28" spans="1:12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 customHeight="1"/>
    <row r="47" spans="1:12" ht="15.75" customHeight="1"/>
    <row r="48" spans="1:1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</sheetData>
  <phoneticPr fontId="1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1"/>
  <sheetViews>
    <sheetView workbookViewId="0"/>
  </sheetViews>
  <sheetFormatPr defaultRowHeight="12.75"/>
  <cols>
    <col min="2" max="2" width="3.140625" customWidth="1"/>
    <col min="3" max="3" width="20.28515625" customWidth="1"/>
    <col min="4" max="4" width="12.710937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22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3"/>
      <c r="C6" s="4"/>
      <c r="D6" s="4"/>
      <c r="E6" s="4"/>
      <c r="F6" s="4"/>
      <c r="G6" s="4"/>
      <c r="H6" s="5"/>
      <c r="I6" s="1"/>
    </row>
    <row r="7" spans="1:9" ht="15.75" customHeight="1">
      <c r="A7" s="1"/>
      <c r="B7" s="6"/>
      <c r="C7" s="7" t="s">
        <v>20</v>
      </c>
      <c r="D7" s="151">
        <v>12000</v>
      </c>
      <c r="E7" s="7"/>
      <c r="F7" s="7"/>
      <c r="G7" s="7"/>
      <c r="H7" s="8"/>
      <c r="I7" s="1"/>
    </row>
    <row r="8" spans="1:9" ht="15.75" customHeight="1">
      <c r="A8" s="1"/>
      <c r="B8" s="6"/>
      <c r="C8" s="7" t="s">
        <v>3</v>
      </c>
      <c r="D8" s="152">
        <v>1.9</v>
      </c>
      <c r="E8" s="7"/>
      <c r="F8" s="7"/>
      <c r="G8" s="7"/>
      <c r="H8" s="8"/>
      <c r="I8" s="1"/>
    </row>
    <row r="9" spans="1:9" ht="15.75" customHeight="1">
      <c r="A9" s="1"/>
      <c r="B9" s="6"/>
      <c r="C9" s="7"/>
      <c r="D9" s="21"/>
      <c r="E9" s="7"/>
      <c r="F9" s="7"/>
      <c r="G9" s="7"/>
      <c r="H9" s="8"/>
      <c r="I9" s="1"/>
    </row>
    <row r="10" spans="1:9" ht="15.75" customHeight="1">
      <c r="A10" s="1"/>
      <c r="B10" s="6"/>
      <c r="C10" s="27" t="s">
        <v>26</v>
      </c>
      <c r="D10" s="28"/>
      <c r="E10" s="7"/>
      <c r="F10" s="7"/>
      <c r="G10" s="7"/>
      <c r="H10" s="8"/>
      <c r="I10" s="1"/>
    </row>
    <row r="11" spans="1:9" ht="15.75" customHeight="1">
      <c r="A11" s="1"/>
      <c r="B11" s="6"/>
      <c r="C11" s="7" t="s">
        <v>23</v>
      </c>
      <c r="D11" s="153">
        <v>55000</v>
      </c>
      <c r="E11" s="7"/>
      <c r="F11" s="7" t="s">
        <v>27</v>
      </c>
      <c r="G11" s="150">
        <f>D13</f>
        <v>465000</v>
      </c>
      <c r="H11" s="8"/>
      <c r="I11" s="1"/>
    </row>
    <row r="12" spans="1:9" ht="15.75" customHeight="1">
      <c r="A12" s="1"/>
      <c r="B12" s="6"/>
      <c r="C12" s="7" t="s">
        <v>24</v>
      </c>
      <c r="D12" s="155">
        <v>410000</v>
      </c>
      <c r="E12" s="7"/>
      <c r="F12" s="7"/>
      <c r="G12" s="150"/>
      <c r="H12" s="8"/>
      <c r="I12" s="1"/>
    </row>
    <row r="13" spans="1:9" ht="15.75" customHeight="1" thickBot="1">
      <c r="A13" s="1"/>
      <c r="B13" s="6"/>
      <c r="C13" s="7" t="s">
        <v>25</v>
      </c>
      <c r="D13" s="154">
        <f>D11+D12</f>
        <v>465000</v>
      </c>
      <c r="E13" s="7"/>
      <c r="F13" s="7" t="s">
        <v>25</v>
      </c>
      <c r="G13" s="154">
        <f>G11</f>
        <v>465000</v>
      </c>
      <c r="H13" s="8"/>
      <c r="I13" s="1"/>
    </row>
    <row r="14" spans="1:9" ht="15.75" customHeight="1" thickTop="1" thickBot="1">
      <c r="A14" s="1"/>
      <c r="B14" s="9"/>
      <c r="C14" s="10"/>
      <c r="D14" s="10"/>
      <c r="E14" s="10"/>
      <c r="F14" s="10"/>
      <c r="G14" s="10"/>
      <c r="H14" s="11"/>
      <c r="I14" s="1"/>
    </row>
    <row r="15" spans="1:9" ht="15.75" customHeigh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"/>
      <c r="C16" s="2" t="s">
        <v>2</v>
      </c>
      <c r="D16" s="1"/>
      <c r="E16" s="1"/>
      <c r="F16" s="1"/>
      <c r="G16" s="1"/>
      <c r="H16" s="1"/>
      <c r="I16" s="1"/>
    </row>
    <row r="17" spans="1:9" ht="15.75" customHeight="1" thickBot="1">
      <c r="A17" s="1"/>
      <c r="B17" s="1"/>
      <c r="C17" s="1"/>
      <c r="D17" s="1"/>
      <c r="E17" s="1"/>
      <c r="F17" s="1"/>
      <c r="G17" s="1"/>
      <c r="H17" s="1"/>
      <c r="I17" s="1"/>
    </row>
    <row r="18" spans="1:9" ht="15.75" customHeight="1">
      <c r="A18" s="1"/>
      <c r="B18" s="12"/>
      <c r="C18" s="13"/>
      <c r="D18" s="13"/>
      <c r="E18" s="13"/>
      <c r="F18" s="13"/>
      <c r="G18" s="13"/>
      <c r="H18" s="14"/>
      <c r="I18" s="1"/>
    </row>
    <row r="19" spans="1:9" ht="15.75" customHeight="1">
      <c r="A19" s="1"/>
      <c r="B19" s="15"/>
      <c r="C19" s="16" t="s">
        <v>94</v>
      </c>
      <c r="D19" s="42">
        <f>G11/D7</f>
        <v>38.75</v>
      </c>
      <c r="E19" s="16"/>
      <c r="F19" s="16"/>
      <c r="G19" s="16"/>
      <c r="H19" s="17"/>
      <c r="I19" s="1"/>
    </row>
    <row r="20" spans="1:9" ht="15.75" customHeight="1">
      <c r="A20" s="1"/>
      <c r="B20" s="15"/>
      <c r="C20" s="16" t="s">
        <v>95</v>
      </c>
      <c r="D20" s="42">
        <f>D19-D8</f>
        <v>36.85</v>
      </c>
      <c r="E20" s="16"/>
      <c r="F20" s="16"/>
      <c r="G20" s="16"/>
      <c r="H20" s="17"/>
      <c r="I20" s="1"/>
    </row>
    <row r="21" spans="1:9" ht="15.75" customHeight="1">
      <c r="A21" s="1"/>
      <c r="B21" s="15"/>
      <c r="C21" s="16"/>
      <c r="D21" s="83"/>
      <c r="E21" s="16"/>
      <c r="F21" s="16"/>
      <c r="G21" s="16"/>
      <c r="H21" s="17"/>
      <c r="I21" s="1"/>
    </row>
    <row r="22" spans="1:9" ht="15.75" customHeight="1">
      <c r="A22" s="1"/>
      <c r="B22" s="15"/>
      <c r="C22" s="16" t="s">
        <v>96</v>
      </c>
      <c r="D22" s="26"/>
      <c r="E22" s="16"/>
      <c r="F22" s="16"/>
      <c r="G22" s="86">
        <f>D7*D8</f>
        <v>22800</v>
      </c>
      <c r="H22" s="17"/>
      <c r="I22" s="1"/>
    </row>
    <row r="23" spans="1:9" ht="15.75" customHeight="1">
      <c r="A23" s="1"/>
      <c r="B23" s="15"/>
      <c r="C23" s="16"/>
      <c r="D23" s="16"/>
      <c r="E23" s="16"/>
      <c r="F23" s="16"/>
      <c r="G23" s="16"/>
      <c r="H23" s="17"/>
      <c r="I23" s="1"/>
    </row>
    <row r="24" spans="1:9" ht="15.75" customHeight="1">
      <c r="A24" s="1"/>
      <c r="B24" s="15"/>
      <c r="C24" s="36" t="s">
        <v>26</v>
      </c>
      <c r="D24" s="84"/>
      <c r="E24" s="16"/>
      <c r="F24" s="16"/>
      <c r="G24" s="16"/>
      <c r="H24" s="17"/>
      <c r="I24" s="1"/>
    </row>
    <row r="25" spans="1:9" ht="15.75" customHeight="1">
      <c r="A25" s="1"/>
      <c r="B25" s="15"/>
      <c r="C25" s="16" t="s">
        <v>23</v>
      </c>
      <c r="D25" s="70">
        <f>D11-G22</f>
        <v>32200</v>
      </c>
      <c r="E25" s="16"/>
      <c r="F25" s="16" t="s">
        <v>27</v>
      </c>
      <c r="G25" s="70">
        <f>G11-G22</f>
        <v>442200</v>
      </c>
      <c r="H25" s="17"/>
      <c r="I25" s="1"/>
    </row>
    <row r="26" spans="1:9" ht="15.75" customHeight="1">
      <c r="A26" s="1"/>
      <c r="B26" s="15"/>
      <c r="C26" s="16" t="s">
        <v>24</v>
      </c>
      <c r="D26" s="156">
        <f>D12</f>
        <v>410000</v>
      </c>
      <c r="E26" s="16"/>
      <c r="F26" s="16"/>
      <c r="G26" s="70"/>
      <c r="H26" s="17"/>
      <c r="I26" s="1"/>
    </row>
    <row r="27" spans="1:9" ht="15.75" customHeight="1" thickBot="1">
      <c r="A27" s="1"/>
      <c r="B27" s="15"/>
      <c r="C27" s="16" t="s">
        <v>25</v>
      </c>
      <c r="D27" s="85">
        <f>D25+D26</f>
        <v>442200</v>
      </c>
      <c r="E27" s="16"/>
      <c r="F27" s="16" t="s">
        <v>25</v>
      </c>
      <c r="G27" s="85">
        <f>G25+G26</f>
        <v>442200</v>
      </c>
      <c r="H27" s="17"/>
      <c r="I27" s="1"/>
    </row>
    <row r="28" spans="1:9" ht="15.75" customHeight="1" thickTop="1" thickBot="1">
      <c r="A28" s="1"/>
      <c r="B28" s="18"/>
      <c r="C28" s="19"/>
      <c r="D28" s="19"/>
      <c r="E28" s="19"/>
      <c r="F28" s="19"/>
      <c r="G28" s="19"/>
      <c r="H28" s="20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9"/>
  <sheetViews>
    <sheetView workbookViewId="0"/>
  </sheetViews>
  <sheetFormatPr defaultRowHeight="12.75"/>
  <cols>
    <col min="2" max="2" width="3.140625" customWidth="1"/>
    <col min="3" max="3" width="24.5703125" customWidth="1"/>
    <col min="4" max="4" width="12.7109375" customWidth="1"/>
    <col min="5" max="5" width="5" bestFit="1" customWidth="1"/>
    <col min="6" max="6" width="13.140625" customWidth="1"/>
    <col min="7" max="7" width="14" customWidth="1"/>
    <col min="8" max="8" width="4.28515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28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4"/>
      <c r="F6" s="4"/>
      <c r="G6" s="4"/>
      <c r="H6" s="5"/>
      <c r="I6" s="1"/>
    </row>
    <row r="7" spans="1:9" ht="15">
      <c r="A7" s="1"/>
      <c r="B7" s="6"/>
      <c r="C7" s="7" t="s">
        <v>29</v>
      </c>
      <c r="D7" s="150">
        <f>D8*D9</f>
        <v>22800</v>
      </c>
      <c r="E7" s="7"/>
      <c r="F7" s="7"/>
      <c r="G7" s="7"/>
      <c r="H7" s="8"/>
      <c r="I7" s="1"/>
    </row>
    <row r="8" spans="1:9" ht="15">
      <c r="A8" s="1"/>
      <c r="B8" s="6"/>
      <c r="C8" s="7" t="s">
        <v>20</v>
      </c>
      <c r="D8" s="87">
        <f ca="1">'#5'!D7</f>
        <v>12000</v>
      </c>
      <c r="E8" s="7"/>
      <c r="F8" s="7"/>
      <c r="G8" s="7"/>
      <c r="H8" s="8"/>
      <c r="I8" s="1"/>
    </row>
    <row r="9" spans="1:9" ht="15">
      <c r="A9" s="1"/>
      <c r="B9" s="6"/>
      <c r="C9" s="7" t="s">
        <v>3</v>
      </c>
      <c r="D9" s="88">
        <f ca="1">'#5'!D8</f>
        <v>1.9</v>
      </c>
      <c r="E9" s="7"/>
      <c r="F9" s="7"/>
      <c r="G9" s="7"/>
      <c r="H9" s="8"/>
      <c r="I9" s="1"/>
    </row>
    <row r="10" spans="1:9" ht="15">
      <c r="A10" s="1"/>
      <c r="B10" s="6"/>
      <c r="C10" s="7"/>
      <c r="D10" s="21"/>
      <c r="E10" s="7"/>
      <c r="F10" s="7"/>
      <c r="G10" s="7"/>
      <c r="H10" s="8"/>
      <c r="I10" s="1"/>
    </row>
    <row r="11" spans="1:9" ht="15">
      <c r="A11" s="1"/>
      <c r="B11" s="6"/>
      <c r="C11" s="27" t="s">
        <v>26</v>
      </c>
      <c r="D11" s="28"/>
      <c r="E11" s="7"/>
      <c r="F11" s="7"/>
      <c r="G11" s="7"/>
      <c r="H11" s="8"/>
      <c r="I11" s="1"/>
    </row>
    <row r="12" spans="1:9" ht="15">
      <c r="A12" s="1"/>
      <c r="B12" s="6"/>
      <c r="C12" s="7" t="s">
        <v>23</v>
      </c>
      <c r="D12" s="76">
        <f ca="1">'#5'!D11</f>
        <v>55000</v>
      </c>
      <c r="E12" s="7"/>
      <c r="F12" s="7" t="s">
        <v>27</v>
      </c>
      <c r="G12" s="76">
        <f ca="1">'#5'!G11</f>
        <v>465000</v>
      </c>
      <c r="H12" s="8"/>
      <c r="I12" s="1"/>
    </row>
    <row r="13" spans="1:9" ht="15">
      <c r="A13" s="1"/>
      <c r="B13" s="6"/>
      <c r="C13" s="7" t="s">
        <v>24</v>
      </c>
      <c r="D13" s="76">
        <f ca="1">'#5'!D12</f>
        <v>410000</v>
      </c>
      <c r="E13" s="7"/>
      <c r="F13" s="7"/>
      <c r="G13" s="76"/>
      <c r="H13" s="8"/>
      <c r="I13" s="1"/>
    </row>
    <row r="14" spans="1:9" ht="15.75" thickBot="1">
      <c r="A14" s="1"/>
      <c r="B14" s="6"/>
      <c r="C14" s="7" t="s">
        <v>25</v>
      </c>
      <c r="D14" s="89">
        <f ca="1">'#5'!D13</f>
        <v>465000</v>
      </c>
      <c r="E14" s="7"/>
      <c r="F14" s="7" t="s">
        <v>25</v>
      </c>
      <c r="G14" s="89">
        <f ca="1">'#5'!G13</f>
        <v>465000</v>
      </c>
      <c r="H14" s="8"/>
      <c r="I14" s="1"/>
    </row>
    <row r="15" spans="1:9" ht="16.5" thickTop="1" thickBot="1">
      <c r="A15" s="1"/>
      <c r="B15" s="9"/>
      <c r="C15" s="10"/>
      <c r="D15" s="10"/>
      <c r="E15" s="10"/>
      <c r="F15" s="10"/>
      <c r="G15" s="10"/>
      <c r="H15" s="11"/>
      <c r="I15" s="1"/>
    </row>
    <row r="16" spans="1:9" ht="15">
      <c r="A16" s="1"/>
      <c r="B16" s="1"/>
      <c r="C16" s="1"/>
      <c r="D16" s="1"/>
      <c r="E16" s="1"/>
      <c r="F16" s="1"/>
      <c r="G16" s="1"/>
      <c r="H16" s="1"/>
      <c r="I16" s="1"/>
    </row>
    <row r="17" spans="1:9" ht="15">
      <c r="A17" s="1"/>
      <c r="B17" s="1"/>
      <c r="C17" s="2" t="s">
        <v>2</v>
      </c>
      <c r="D17" s="1"/>
      <c r="E17" s="1"/>
      <c r="F17" s="1"/>
      <c r="G17" s="1"/>
      <c r="H17" s="1"/>
      <c r="I17" s="1"/>
    </row>
    <row r="18" spans="1:9" ht="15.75" thickBot="1">
      <c r="A18" s="1"/>
      <c r="B18" s="1"/>
      <c r="C18" s="1"/>
      <c r="D18" s="1"/>
      <c r="E18" s="1"/>
      <c r="F18" s="1"/>
      <c r="G18" s="1"/>
      <c r="H18" s="1"/>
      <c r="I18" s="1"/>
    </row>
    <row r="19" spans="1:9" ht="15">
      <c r="A19" s="1"/>
      <c r="B19" s="12"/>
      <c r="C19" s="13"/>
      <c r="D19" s="13"/>
      <c r="E19" s="13"/>
      <c r="F19" s="13"/>
      <c r="G19" s="13"/>
      <c r="H19" s="14"/>
      <c r="I19" s="1"/>
    </row>
    <row r="20" spans="1:9" ht="15">
      <c r="A20" s="1"/>
      <c r="B20" s="15"/>
      <c r="C20" s="16" t="s">
        <v>97</v>
      </c>
      <c r="D20" s="26"/>
      <c r="E20" s="16"/>
      <c r="F20" s="16"/>
      <c r="G20" s="16"/>
      <c r="H20" s="17"/>
      <c r="I20" s="1"/>
    </row>
    <row r="21" spans="1:9" ht="15">
      <c r="A21" s="1"/>
      <c r="B21" s="15"/>
      <c r="C21" s="16" t="s">
        <v>98</v>
      </c>
      <c r="D21" s="26"/>
      <c r="E21" s="16"/>
      <c r="F21" s="16"/>
      <c r="G21" s="90">
        <f>D7</f>
        <v>22800</v>
      </c>
      <c r="H21" s="17"/>
      <c r="I21" s="1"/>
    </row>
    <row r="22" spans="1:9" ht="15">
      <c r="A22" s="1"/>
      <c r="B22" s="15"/>
      <c r="C22" s="16" t="s">
        <v>30</v>
      </c>
      <c r="D22" s="26"/>
      <c r="E22" s="16"/>
      <c r="F22" s="16"/>
      <c r="G22" s="65">
        <f>D7/(G12/D8)</f>
        <v>588.38709677419354</v>
      </c>
      <c r="H22" s="17"/>
      <c r="I22" s="1"/>
    </row>
    <row r="23" spans="1:9" ht="15.75">
      <c r="A23" s="1"/>
      <c r="B23" s="15"/>
      <c r="C23" s="16" t="s">
        <v>16</v>
      </c>
      <c r="D23" s="22"/>
      <c r="E23" s="16"/>
      <c r="F23" s="16"/>
      <c r="G23" s="91">
        <f>D8-G22</f>
        <v>11411.612903225807</v>
      </c>
      <c r="H23" s="17"/>
      <c r="I23" s="1"/>
    </row>
    <row r="24" spans="1:9" ht="15.75">
      <c r="A24" s="1"/>
      <c r="B24" s="15"/>
      <c r="C24" s="16" t="s">
        <v>99</v>
      </c>
      <c r="D24" s="26"/>
      <c r="E24" s="16"/>
      <c r="F24" s="16"/>
      <c r="G24" s="42">
        <f>(G12-D7)/G23</f>
        <v>38.75</v>
      </c>
      <c r="H24" s="17"/>
      <c r="I24" s="1"/>
    </row>
    <row r="25" spans="1:9" ht="15">
      <c r="A25" s="1"/>
      <c r="B25" s="15"/>
      <c r="C25" s="16" t="s">
        <v>223</v>
      </c>
      <c r="D25" s="26"/>
      <c r="E25" s="16"/>
      <c r="F25" s="16"/>
      <c r="G25" s="157">
        <f>G12-D7</f>
        <v>442200</v>
      </c>
      <c r="H25" s="17"/>
      <c r="I25" s="1"/>
    </row>
    <row r="26" spans="1:9" ht="15">
      <c r="A26" s="1"/>
      <c r="B26" s="15"/>
      <c r="C26" s="16" t="s">
        <v>31</v>
      </c>
      <c r="D26" s="25"/>
      <c r="E26" s="16"/>
      <c r="F26" s="16"/>
      <c r="G26" s="16"/>
      <c r="H26" s="17"/>
      <c r="I26" s="1"/>
    </row>
    <row r="27" spans="1:9" ht="15">
      <c r="A27" s="1"/>
      <c r="B27" s="15"/>
      <c r="C27" s="16" t="s">
        <v>100</v>
      </c>
      <c r="D27" s="25"/>
      <c r="E27" s="16"/>
      <c r="F27" s="92">
        <f>G24</f>
        <v>38.75</v>
      </c>
      <c r="G27" s="16"/>
      <c r="H27" s="17"/>
      <c r="I27" s="1"/>
    </row>
    <row r="28" spans="1:9" ht="15">
      <c r="A28" s="1"/>
      <c r="B28" s="15"/>
      <c r="C28" s="16" t="s">
        <v>101</v>
      </c>
      <c r="D28" s="93">
        <f>F27-D9</f>
        <v>36.85</v>
      </c>
      <c r="E28" s="16" t="s">
        <v>102</v>
      </c>
      <c r="F28" s="92">
        <f>D9</f>
        <v>1.9</v>
      </c>
      <c r="G28" s="16" t="s">
        <v>103</v>
      </c>
      <c r="H28" s="17"/>
      <c r="I28" s="1"/>
    </row>
    <row r="29" spans="1:9" ht="15">
      <c r="A29" s="1"/>
      <c r="B29" s="15"/>
      <c r="C29" s="16" t="s">
        <v>104</v>
      </c>
      <c r="D29" s="25"/>
      <c r="E29" s="16"/>
      <c r="F29" s="16"/>
      <c r="G29" s="16"/>
      <c r="H29" s="17"/>
      <c r="I29" s="1"/>
    </row>
    <row r="30" spans="1:9" ht="15">
      <c r="A30" s="1"/>
      <c r="B30" s="15"/>
      <c r="C30" s="16" t="s">
        <v>32</v>
      </c>
      <c r="D30" s="25"/>
      <c r="E30" s="16"/>
      <c r="F30" s="16"/>
      <c r="G30" s="16"/>
      <c r="H30" s="17"/>
      <c r="I30" s="1"/>
    </row>
    <row r="31" spans="1:9" ht="15.75" thickBot="1">
      <c r="A31" s="1"/>
      <c r="B31" s="18"/>
      <c r="C31" s="19"/>
      <c r="D31" s="19"/>
      <c r="E31" s="19"/>
      <c r="F31" s="19"/>
      <c r="G31" s="19"/>
      <c r="H31" s="20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47"/>
  <sheetViews>
    <sheetView workbookViewId="0"/>
  </sheetViews>
  <sheetFormatPr defaultRowHeight="12.75"/>
  <cols>
    <col min="2" max="2" width="3.140625" customWidth="1"/>
    <col min="3" max="3" width="24.140625" customWidth="1"/>
    <col min="4" max="4" width="12.710937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33</v>
      </c>
      <c r="D2" s="1"/>
      <c r="E2" s="1"/>
      <c r="F2" s="1"/>
      <c r="G2" s="1"/>
      <c r="H2" s="1"/>
      <c r="I2" s="1"/>
    </row>
    <row r="3" spans="1:9" ht="15.7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customHeight="1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3"/>
      <c r="C6" s="4"/>
      <c r="D6" s="4"/>
      <c r="E6" s="4"/>
      <c r="F6" s="4"/>
      <c r="G6" s="4"/>
      <c r="H6" s="5"/>
      <c r="I6" s="1"/>
    </row>
    <row r="7" spans="1:9" ht="15.75" customHeight="1">
      <c r="A7" s="1"/>
      <c r="B7" s="6"/>
      <c r="C7" s="7" t="s">
        <v>20</v>
      </c>
      <c r="D7" s="62">
        <v>25000</v>
      </c>
      <c r="E7" s="7"/>
      <c r="F7" s="7"/>
      <c r="G7" s="7"/>
      <c r="H7" s="8"/>
      <c r="I7" s="1"/>
    </row>
    <row r="8" spans="1:9" ht="15.75" customHeight="1">
      <c r="A8" s="1"/>
      <c r="B8" s="6"/>
      <c r="C8" s="7" t="s">
        <v>10</v>
      </c>
      <c r="D8" s="60">
        <v>0.25</v>
      </c>
      <c r="E8" s="7"/>
      <c r="F8" s="7"/>
      <c r="G8" s="7"/>
      <c r="H8" s="8"/>
      <c r="I8" s="1"/>
    </row>
    <row r="9" spans="1:9" ht="15.75" customHeight="1">
      <c r="A9" s="1"/>
      <c r="B9" s="6"/>
      <c r="C9" s="7"/>
      <c r="D9" s="21"/>
      <c r="E9" s="7"/>
      <c r="F9" s="7"/>
      <c r="G9" s="7"/>
      <c r="H9" s="8"/>
      <c r="I9" s="1"/>
    </row>
    <row r="10" spans="1:9" ht="15.75" customHeight="1">
      <c r="A10" s="1"/>
      <c r="B10" s="6"/>
      <c r="C10" s="27" t="s">
        <v>26</v>
      </c>
      <c r="D10" s="28"/>
      <c r="E10" s="7"/>
      <c r="F10" s="7"/>
      <c r="G10" s="7"/>
      <c r="H10" s="8"/>
      <c r="I10" s="1"/>
    </row>
    <row r="11" spans="1:9" ht="15.75" customHeight="1">
      <c r="A11" s="1"/>
      <c r="B11" s="6"/>
      <c r="C11" s="7" t="s">
        <v>23</v>
      </c>
      <c r="D11" s="61">
        <v>295000</v>
      </c>
      <c r="E11" s="7"/>
      <c r="F11" s="7" t="s">
        <v>34</v>
      </c>
      <c r="G11" s="61">
        <v>180000</v>
      </c>
      <c r="H11" s="8"/>
      <c r="I11" s="1"/>
    </row>
    <row r="12" spans="1:9" ht="15.75" customHeight="1">
      <c r="A12" s="1"/>
      <c r="B12" s="6"/>
      <c r="C12" s="7" t="s">
        <v>24</v>
      </c>
      <c r="D12" s="73">
        <v>540000</v>
      </c>
      <c r="E12" s="7"/>
      <c r="F12" s="7" t="s">
        <v>27</v>
      </c>
      <c r="G12" s="158">
        <f>G13-G11</f>
        <v>655000</v>
      </c>
      <c r="H12" s="8"/>
      <c r="I12" s="1"/>
    </row>
    <row r="13" spans="1:9" ht="15.75" customHeight="1" thickBot="1">
      <c r="A13" s="1"/>
      <c r="B13" s="6"/>
      <c r="C13" s="7" t="s">
        <v>25</v>
      </c>
      <c r="D13" s="154">
        <f>SUM(D11:D12)</f>
        <v>835000</v>
      </c>
      <c r="E13" s="7"/>
      <c r="F13" s="7" t="s">
        <v>25</v>
      </c>
      <c r="G13" s="154">
        <f>D13</f>
        <v>835000</v>
      </c>
      <c r="H13" s="8"/>
      <c r="I13" s="1"/>
    </row>
    <row r="14" spans="1:9" ht="15.75" customHeight="1" thickTop="1" thickBot="1">
      <c r="A14" s="1"/>
      <c r="B14" s="9"/>
      <c r="C14" s="10"/>
      <c r="D14" s="10"/>
      <c r="E14" s="10"/>
      <c r="F14" s="10"/>
      <c r="G14" s="10"/>
      <c r="H14" s="11"/>
      <c r="I14" s="1"/>
    </row>
    <row r="15" spans="1:9" ht="15.75" customHeight="1">
      <c r="A15" s="1"/>
      <c r="B15" s="1"/>
      <c r="C15" s="1"/>
      <c r="D15" s="1"/>
      <c r="E15" s="1"/>
      <c r="F15" s="1"/>
      <c r="G15" s="1"/>
      <c r="H15" s="1"/>
      <c r="I15" s="1"/>
    </row>
    <row r="16" spans="1:9" ht="15.75" customHeight="1">
      <c r="A16" s="1"/>
      <c r="B16" s="1"/>
      <c r="C16" s="2" t="s">
        <v>2</v>
      </c>
      <c r="D16" s="1"/>
      <c r="E16" s="1"/>
      <c r="F16" s="1"/>
      <c r="G16" s="1"/>
      <c r="H16" s="1"/>
      <c r="I16" s="1"/>
    </row>
    <row r="17" spans="1:9" ht="15.75" customHeight="1" thickBot="1">
      <c r="A17" s="1"/>
      <c r="B17" s="1"/>
      <c r="C17" s="1"/>
      <c r="D17" s="1"/>
      <c r="E17" s="1"/>
      <c r="F17" s="1"/>
      <c r="G17" s="1"/>
      <c r="H17" s="1"/>
      <c r="I17" s="1"/>
    </row>
    <row r="18" spans="1:9" ht="15.75" customHeight="1">
      <c r="A18" s="1"/>
      <c r="B18" s="12"/>
      <c r="C18" s="13"/>
      <c r="D18" s="13"/>
      <c r="E18" s="14"/>
      <c r="F18" s="31"/>
      <c r="G18" s="31"/>
      <c r="H18" s="31"/>
      <c r="I18" s="1"/>
    </row>
    <row r="19" spans="1:9" ht="15.75" customHeight="1">
      <c r="A19" s="1"/>
      <c r="B19" s="15"/>
      <c r="C19" s="16" t="s">
        <v>94</v>
      </c>
      <c r="D19" s="40">
        <f>G12/D7</f>
        <v>26.2</v>
      </c>
      <c r="E19" s="17"/>
      <c r="F19" s="31"/>
      <c r="G19" s="31"/>
      <c r="H19" s="31"/>
      <c r="I19" s="1"/>
    </row>
    <row r="20" spans="1:9" ht="15.75" customHeight="1">
      <c r="A20" s="1"/>
      <c r="B20" s="15"/>
      <c r="C20" s="16"/>
      <c r="D20" s="39"/>
      <c r="E20" s="17"/>
      <c r="F20" s="31"/>
      <c r="G20" s="31"/>
      <c r="H20" s="31"/>
      <c r="I20" s="1"/>
    </row>
    <row r="21" spans="1:9" ht="15.75" customHeight="1">
      <c r="A21" s="1"/>
      <c r="B21" s="15"/>
      <c r="C21" s="16" t="s">
        <v>16</v>
      </c>
      <c r="D21" s="65">
        <f>D7*(1+D8)</f>
        <v>31250</v>
      </c>
      <c r="E21" s="17"/>
      <c r="F21" s="31"/>
      <c r="G21" s="31"/>
      <c r="H21" s="31"/>
      <c r="I21" s="1"/>
    </row>
    <row r="22" spans="1:9" ht="15.75" customHeight="1">
      <c r="A22" s="1"/>
      <c r="B22" s="15"/>
      <c r="C22" s="16"/>
      <c r="D22" s="65"/>
      <c r="E22" s="17"/>
      <c r="F22" s="31"/>
      <c r="G22" s="31"/>
      <c r="H22" s="31"/>
      <c r="I22" s="1"/>
    </row>
    <row r="23" spans="1:9" ht="15.75" customHeight="1">
      <c r="A23" s="1"/>
      <c r="B23" s="15"/>
      <c r="C23" s="16" t="s">
        <v>95</v>
      </c>
      <c r="D23" s="40">
        <f>G12/D21</f>
        <v>20.96</v>
      </c>
      <c r="E23" s="17"/>
      <c r="F23" s="31"/>
      <c r="G23" s="32"/>
      <c r="H23" s="31"/>
      <c r="I23" s="1"/>
    </row>
    <row r="24" spans="1:9" ht="15.75" customHeight="1" thickBot="1">
      <c r="A24" s="1"/>
      <c r="B24" s="18"/>
      <c r="C24" s="19"/>
      <c r="D24" s="19"/>
      <c r="E24" s="20"/>
      <c r="F24" s="31"/>
      <c r="G24" s="31"/>
      <c r="H24" s="31"/>
      <c r="I24" s="1"/>
    </row>
    <row r="25" spans="1:9" ht="15.7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.7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5.7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5.7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5.7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5.7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5.7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5.75" customHeight="1">
      <c r="A32" s="1"/>
      <c r="B32" s="1"/>
      <c r="C32" s="1"/>
      <c r="D32" s="1"/>
      <c r="E32" s="1"/>
      <c r="F32" s="1"/>
      <c r="G32" s="1"/>
      <c r="H32" s="1"/>
      <c r="I32" s="1"/>
    </row>
    <row r="33" spans="1:9" ht="15.75" customHeight="1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6"/>
  <sheetViews>
    <sheetView workbookViewId="0"/>
  </sheetViews>
  <sheetFormatPr defaultRowHeight="12.75"/>
  <cols>
    <col min="2" max="2" width="3.140625" customWidth="1"/>
    <col min="3" max="3" width="25.28515625" customWidth="1"/>
    <col min="4" max="4" width="15.5703125" customWidth="1"/>
    <col min="5" max="5" width="3.140625" customWidth="1"/>
    <col min="6" max="6" width="13.140625" customWidth="1"/>
    <col min="7" max="7" width="14" customWidth="1"/>
    <col min="8" max="8" width="3.140625" customWidth="1"/>
  </cols>
  <sheetData>
    <row r="1" spans="1:9" ht="18">
      <c r="A1" s="1"/>
      <c r="B1" s="1"/>
      <c r="C1" s="121" t="s">
        <v>222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35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5"/>
      <c r="F6" s="31"/>
      <c r="G6" s="31"/>
      <c r="H6" s="31"/>
      <c r="I6" s="1"/>
    </row>
    <row r="7" spans="1:9" ht="15">
      <c r="A7" s="1"/>
      <c r="B7" s="6"/>
      <c r="C7" s="7" t="s">
        <v>10</v>
      </c>
      <c r="D7" s="60">
        <v>0.15</v>
      </c>
      <c r="E7" s="8"/>
      <c r="F7" s="31"/>
      <c r="G7" s="31"/>
      <c r="H7" s="31"/>
      <c r="I7" s="1"/>
    </row>
    <row r="8" spans="1:9" ht="15">
      <c r="A8" s="1"/>
      <c r="B8" s="6"/>
      <c r="C8" s="7" t="s">
        <v>5</v>
      </c>
      <c r="D8" s="61">
        <v>53</v>
      </c>
      <c r="E8" s="8"/>
      <c r="F8" s="31"/>
      <c r="G8" s="31"/>
      <c r="H8" s="31"/>
      <c r="I8" s="1"/>
    </row>
    <row r="9" spans="1:9" ht="15">
      <c r="A9" s="1"/>
      <c r="B9" s="6"/>
      <c r="C9" s="27" t="s">
        <v>85</v>
      </c>
      <c r="D9" s="94">
        <v>1</v>
      </c>
      <c r="E9" s="8"/>
      <c r="F9" s="31"/>
      <c r="G9" s="31"/>
      <c r="H9" s="31"/>
      <c r="I9" s="1"/>
    </row>
    <row r="10" spans="1:9" ht="15">
      <c r="A10" s="1"/>
      <c r="B10" s="6"/>
      <c r="C10" s="27" t="s">
        <v>11</v>
      </c>
      <c r="D10" s="95">
        <v>410000</v>
      </c>
      <c r="E10" s="8"/>
      <c r="F10" s="31"/>
      <c r="G10" s="31"/>
      <c r="H10" s="31"/>
      <c r="I10" s="1"/>
    </row>
    <row r="11" spans="1:9" ht="15">
      <c r="A11" s="1"/>
      <c r="B11" s="6"/>
      <c r="C11" s="7" t="s">
        <v>12</v>
      </c>
      <c r="D11" s="95">
        <v>2150000</v>
      </c>
      <c r="E11" s="8"/>
      <c r="F11" s="31"/>
      <c r="G11" s="35"/>
      <c r="H11" s="31"/>
      <c r="I11" s="1"/>
    </row>
    <row r="12" spans="1:9" ht="15">
      <c r="A12" s="1"/>
      <c r="B12" s="6"/>
      <c r="C12" s="7" t="s">
        <v>13</v>
      </c>
      <c r="D12" s="61">
        <v>5320000</v>
      </c>
      <c r="E12" s="8"/>
      <c r="F12" s="31"/>
      <c r="G12" s="35"/>
      <c r="H12" s="31"/>
      <c r="I12" s="1"/>
    </row>
    <row r="13" spans="1:9" ht="15.75" thickBot="1">
      <c r="A13" s="1"/>
      <c r="B13" s="6"/>
      <c r="C13" s="7" t="s">
        <v>36</v>
      </c>
      <c r="D13" s="154">
        <f>D10+D11+D12</f>
        <v>7880000</v>
      </c>
      <c r="E13" s="8"/>
      <c r="F13" s="31"/>
      <c r="G13" s="35"/>
      <c r="H13" s="31"/>
      <c r="I13" s="1"/>
    </row>
    <row r="14" spans="1:9" ht="16.5" thickTop="1" thickBot="1">
      <c r="A14" s="1"/>
      <c r="B14" s="9"/>
      <c r="C14" s="10"/>
      <c r="D14" s="10"/>
      <c r="E14" s="11"/>
      <c r="F14" s="31"/>
      <c r="G14" s="31"/>
      <c r="H14" s="31"/>
      <c r="I14" s="1"/>
    </row>
    <row r="15" spans="1:9" ht="15">
      <c r="A15" s="1"/>
      <c r="B15" s="1"/>
      <c r="C15" s="1"/>
      <c r="D15" s="1"/>
      <c r="E15" s="1"/>
      <c r="F15" s="1"/>
      <c r="G15" s="1"/>
      <c r="H15" s="1"/>
      <c r="I15" s="1"/>
    </row>
    <row r="16" spans="1:9" ht="15">
      <c r="A16" s="1"/>
      <c r="B16" s="1"/>
      <c r="C16" s="2" t="s">
        <v>2</v>
      </c>
      <c r="D16" s="1"/>
      <c r="E16" s="1"/>
      <c r="F16" s="1"/>
      <c r="G16" s="1"/>
      <c r="H16" s="1"/>
      <c r="I16" s="1"/>
    </row>
    <row r="17" spans="1:9" ht="15.75" thickBot="1">
      <c r="A17" s="1"/>
      <c r="B17" s="1"/>
      <c r="C17" s="1"/>
      <c r="D17" s="1"/>
      <c r="E17" s="1"/>
      <c r="F17" s="1"/>
      <c r="G17" s="1"/>
      <c r="H17" s="1"/>
      <c r="I17" s="1"/>
    </row>
    <row r="18" spans="1:9" ht="15">
      <c r="A18" s="1"/>
      <c r="B18" s="12"/>
      <c r="C18" s="13"/>
      <c r="D18" s="13"/>
      <c r="E18" s="14"/>
      <c r="F18" s="31"/>
      <c r="G18" s="31"/>
      <c r="H18" s="31"/>
      <c r="I18" s="1"/>
    </row>
    <row r="19" spans="1:9" ht="15.75">
      <c r="A19" s="1"/>
      <c r="B19" s="15"/>
      <c r="C19" s="16" t="s">
        <v>16</v>
      </c>
      <c r="D19" s="45">
        <f>(D10/D9)*(1+D7)</f>
        <v>471499.99999999994</v>
      </c>
      <c r="E19" s="17"/>
      <c r="F19" s="31"/>
      <c r="G19" s="31"/>
      <c r="H19" s="31"/>
      <c r="I19" s="1"/>
    </row>
    <row r="20" spans="1:9" ht="15">
      <c r="A20" s="1"/>
      <c r="B20" s="15"/>
      <c r="C20" s="16" t="s">
        <v>15</v>
      </c>
      <c r="D20" s="65">
        <f>D19-(D10/D9)</f>
        <v>61499.999999999942</v>
      </c>
      <c r="E20" s="17"/>
      <c r="F20" s="31"/>
      <c r="G20" s="31"/>
      <c r="H20" s="31"/>
      <c r="I20" s="1"/>
    </row>
    <row r="21" spans="1:9" ht="15">
      <c r="A21" s="1"/>
      <c r="B21" s="15"/>
      <c r="C21" s="16" t="s">
        <v>12</v>
      </c>
      <c r="D21" s="22"/>
      <c r="E21" s="17"/>
      <c r="F21" s="31"/>
      <c r="G21" s="32"/>
      <c r="H21" s="31"/>
      <c r="I21" s="1"/>
    </row>
    <row r="22" spans="1:9" ht="15">
      <c r="A22" s="1"/>
      <c r="B22" s="15"/>
      <c r="C22" s="16" t="s">
        <v>105</v>
      </c>
      <c r="D22" s="70">
        <f>D20*(D8-D9)</f>
        <v>3197999.9999999972</v>
      </c>
      <c r="E22" s="17"/>
      <c r="F22" s="31"/>
      <c r="G22" s="32"/>
      <c r="H22" s="31"/>
      <c r="I22" s="1"/>
    </row>
    <row r="23" spans="1:9" ht="15">
      <c r="A23" s="1"/>
      <c r="B23" s="15"/>
      <c r="C23" s="16"/>
      <c r="D23" s="70"/>
      <c r="E23" s="17"/>
      <c r="F23" s="31"/>
      <c r="G23" s="32"/>
      <c r="H23" s="31"/>
      <c r="I23" s="1"/>
    </row>
    <row r="24" spans="1:9" ht="15">
      <c r="A24" s="1"/>
      <c r="B24" s="15"/>
      <c r="C24" s="36" t="s">
        <v>11</v>
      </c>
      <c r="D24" s="70">
        <f>D19*D9</f>
        <v>471499.99999999994</v>
      </c>
      <c r="E24" s="17"/>
      <c r="F24" s="31"/>
      <c r="G24" s="32"/>
      <c r="H24" s="31"/>
      <c r="I24" s="1"/>
    </row>
    <row r="25" spans="1:9" ht="15.75">
      <c r="A25" s="1"/>
      <c r="B25" s="15"/>
      <c r="C25" s="16" t="s">
        <v>12</v>
      </c>
      <c r="D25" s="23">
        <f>D11+D22</f>
        <v>5347999.9999999972</v>
      </c>
      <c r="E25" s="17"/>
      <c r="F25" s="31"/>
      <c r="G25" s="32"/>
      <c r="H25" s="31"/>
      <c r="I25" s="1"/>
    </row>
    <row r="26" spans="1:9" ht="15">
      <c r="A26" s="1"/>
      <c r="B26" s="15"/>
      <c r="C26" s="16" t="s">
        <v>13</v>
      </c>
      <c r="D26" s="70">
        <f>D27-D25-D24</f>
        <v>2060500.0000000028</v>
      </c>
      <c r="E26" s="17"/>
      <c r="F26" s="31"/>
      <c r="G26" s="32"/>
      <c r="H26" s="31"/>
      <c r="I26" s="1"/>
    </row>
    <row r="27" spans="1:9" ht="15.75" thickBot="1">
      <c r="A27" s="1"/>
      <c r="B27" s="15"/>
      <c r="C27" s="16"/>
      <c r="D27" s="85">
        <f>D13</f>
        <v>7880000</v>
      </c>
      <c r="E27" s="17"/>
      <c r="F27" s="31"/>
      <c r="G27" s="32"/>
      <c r="H27" s="31"/>
      <c r="I27" s="1"/>
    </row>
    <row r="28" spans="1:9" ht="16.5" thickTop="1" thickBot="1">
      <c r="A28" s="1"/>
      <c r="B28" s="18"/>
      <c r="C28" s="19"/>
      <c r="D28" s="19"/>
      <c r="E28" s="20"/>
      <c r="F28" s="31"/>
      <c r="G28" s="31"/>
      <c r="H28" s="3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Chapter 19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2005-05-01T23:41:20Z</cp:lastPrinted>
  <dcterms:created xsi:type="dcterms:W3CDTF">2002-05-22T13:35:17Z</dcterms:created>
  <dcterms:modified xsi:type="dcterms:W3CDTF">2012-11-06T10:55:01Z</dcterms:modified>
</cp:coreProperties>
</file>