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15" windowWidth="11340" windowHeight="6540"/>
  </bookViews>
  <sheets>
    <sheet name="Chapter 8" sheetId="32" r:id="rId1"/>
    <sheet name="#1" sheetId="41" r:id="rId2"/>
    <sheet name="#2" sheetId="42" r:id="rId3"/>
    <sheet name="#3" sheetId="8" r:id="rId4"/>
    <sheet name="#4" sheetId="9" r:id="rId5"/>
    <sheet name="#5" sheetId="43" r:id="rId6"/>
    <sheet name="#6" sheetId="44" r:id="rId7"/>
    <sheet name="#7" sheetId="10" r:id="rId8"/>
    <sheet name="#8" sheetId="11" r:id="rId9"/>
    <sheet name="#9" sheetId="12" r:id="rId10"/>
    <sheet name="#10" sheetId="13" r:id="rId11"/>
    <sheet name="#11" sheetId="14" r:id="rId12"/>
    <sheet name="#12" sheetId="15" r:id="rId13"/>
    <sheet name="#13" sheetId="47" r:id="rId14"/>
    <sheet name="#14" sheetId="16" r:id="rId15"/>
    <sheet name="#15" sheetId="17" r:id="rId16"/>
    <sheet name="#16" sheetId="18" r:id="rId17"/>
    <sheet name="#17" sheetId="19" r:id="rId18"/>
    <sheet name="#18" sheetId="20" r:id="rId19"/>
    <sheet name="#19" sheetId="33" r:id="rId20"/>
    <sheet name="#20" sheetId="34" r:id="rId21"/>
    <sheet name="#21" sheetId="21" r:id="rId22"/>
    <sheet name="#22" sheetId="23" r:id="rId23"/>
    <sheet name="#23" sheetId="27" r:id="rId24"/>
    <sheet name="#24" sheetId="45" r:id="rId25"/>
    <sheet name="#25" sheetId="46" r:id="rId26"/>
    <sheet name="#26" sheetId="28" r:id="rId27"/>
    <sheet name="#27" sheetId="29" r:id="rId28"/>
    <sheet name="#28" sheetId="30" r:id="rId29"/>
    <sheet name="#30" sheetId="37" r:id="rId30"/>
    <sheet name="#31" sheetId="39" r:id="rId31"/>
    <sheet name="#32" sheetId="40" r:id="rId32"/>
  </sheets>
  <calcPr calcId="125725"/>
</workbook>
</file>

<file path=xl/calcChain.xml><?xml version="1.0" encoding="utf-8"?>
<calcChain xmlns="http://schemas.openxmlformats.org/spreadsheetml/2006/main">
  <c r="D19" i="28"/>
  <c r="D18"/>
  <c r="D12" i="46"/>
  <c r="D17" i="18"/>
  <c r="D19"/>
  <c r="D18"/>
  <c r="D41" i="16"/>
  <c r="D42"/>
  <c r="D43"/>
  <c r="D44"/>
  <c r="D40"/>
  <c r="C41"/>
  <c r="C42"/>
  <c r="C43"/>
  <c r="C44"/>
  <c r="C40"/>
  <c r="C45"/>
  <c r="C37"/>
  <c r="D36"/>
  <c r="D35"/>
  <c r="D34"/>
  <c r="D33"/>
  <c r="D32"/>
  <c r="C33"/>
  <c r="C34"/>
  <c r="C35"/>
  <c r="C36"/>
  <c r="C32"/>
  <c r="D21" i="15"/>
  <c r="D19"/>
  <c r="D17"/>
  <c r="D18" i="14"/>
  <c r="D19"/>
  <c r="D16"/>
  <c r="D15" i="47"/>
  <c r="D16"/>
  <c r="D18"/>
  <c r="D19" i="46"/>
  <c r="D20"/>
  <c r="D25"/>
  <c r="D22"/>
  <c r="D23"/>
  <c r="D27"/>
  <c r="D32"/>
  <c r="D34"/>
  <c r="D15" i="45"/>
  <c r="D17"/>
  <c r="D21"/>
  <c r="D23"/>
  <c r="D25"/>
  <c r="D27"/>
  <c r="D36" i="46"/>
  <c r="F36"/>
  <c r="D19" i="45"/>
  <c r="D30" i="46"/>
  <c r="F30"/>
  <c r="D17" i="23"/>
  <c r="D18" i="44"/>
  <c r="D17" i="43"/>
  <c r="D21" i="41"/>
  <c r="D19"/>
  <c r="D17"/>
  <c r="D23" i="42"/>
  <c r="D21"/>
  <c r="D19"/>
  <c r="D22" i="40"/>
  <c r="D21"/>
  <c r="D25"/>
  <c r="F25"/>
  <c r="G25"/>
  <c r="D32"/>
  <c r="D26"/>
  <c r="D27"/>
  <c r="D28"/>
  <c r="D29"/>
  <c r="D32" i="39"/>
  <c r="D33"/>
  <c r="D34"/>
  <c r="D20"/>
  <c r="D21"/>
  <c r="D22"/>
  <c r="D23"/>
  <c r="D25"/>
  <c r="D26"/>
  <c r="D27"/>
  <c r="D28"/>
  <c r="D16" i="37"/>
  <c r="D18"/>
  <c r="D20"/>
  <c r="D22"/>
  <c r="D21" i="29"/>
  <c r="D16" i="34"/>
  <c r="D16" i="33"/>
  <c r="D18" i="34"/>
  <c r="D18" i="33"/>
  <c r="D19" i="23"/>
  <c r="D14" i="11"/>
  <c r="D14" i="12"/>
  <c r="D14" i="13"/>
  <c r="D25" i="15"/>
  <c r="D23"/>
  <c r="D29" i="17"/>
  <c r="D33"/>
  <c r="D27"/>
  <c r="D31"/>
  <c r="D33" i="18"/>
  <c r="D32"/>
  <c r="D37"/>
  <c r="D30"/>
  <c r="D29"/>
  <c r="D35"/>
  <c r="D20" i="19"/>
  <c r="D22"/>
  <c r="D18"/>
  <c r="D18" i="20"/>
  <c r="D17" i="21"/>
  <c r="D19"/>
  <c r="D33" i="28"/>
  <c r="D32"/>
  <c r="D30"/>
  <c r="D29"/>
  <c r="D32" i="30"/>
  <c r="D27"/>
  <c r="D30"/>
  <c r="D28"/>
  <c r="D29"/>
  <c r="D18" i="8"/>
  <c r="D17" i="9"/>
  <c r="D18"/>
  <c r="D19"/>
  <c r="D20"/>
  <c r="D22"/>
  <c r="D16" i="10"/>
  <c r="D14"/>
  <c r="F26" i="40"/>
  <c r="D30" i="39"/>
  <c r="D36"/>
  <c r="D38"/>
  <c r="D26" i="29"/>
  <c r="D27"/>
  <c r="D37" i="28"/>
  <c r="D41"/>
  <c r="D39"/>
  <c r="D35"/>
  <c r="G26" i="40"/>
  <c r="D33"/>
  <c r="F27"/>
  <c r="G27"/>
  <c r="D34"/>
  <c r="F28"/>
  <c r="G28"/>
  <c r="D35"/>
  <c r="D37"/>
  <c r="D39"/>
  <c r="D41"/>
  <c r="F29"/>
  <c r="G29"/>
  <c r="D36"/>
</calcChain>
</file>

<file path=xl/sharedStrings.xml><?xml version="1.0" encoding="utf-8"?>
<sst xmlns="http://schemas.openxmlformats.org/spreadsheetml/2006/main" count="507" uniqueCount="254">
  <si>
    <t>Question 1</t>
  </si>
  <si>
    <t>Input area:</t>
  </si>
  <si>
    <t>Output area:</t>
  </si>
  <si>
    <t>Question 2</t>
  </si>
  <si>
    <t>Question 3</t>
  </si>
  <si>
    <t>Coupon rate</t>
  </si>
  <si>
    <t>Yield to maturity</t>
  </si>
  <si>
    <t>Question 4</t>
  </si>
  <si>
    <t>Settlement date</t>
  </si>
  <si>
    <t>Maturity date</t>
  </si>
  <si>
    <t>Annual coupon rate</t>
  </si>
  <si>
    <t>Coupons per year</t>
  </si>
  <si>
    <t>Face value (% of par)</t>
  </si>
  <si>
    <t>Bond price (% of par)</t>
  </si>
  <si>
    <t>Question 5</t>
  </si>
  <si>
    <t>Face value</t>
  </si>
  <si>
    <t>Bond price</t>
  </si>
  <si>
    <t>Question 6</t>
  </si>
  <si>
    <t>Question 7</t>
  </si>
  <si>
    <t>Question 8</t>
  </si>
  <si>
    <t>Question 9</t>
  </si>
  <si>
    <t>Treasury rate</t>
  </si>
  <si>
    <t>Inflation rate</t>
  </si>
  <si>
    <t>Real rate</t>
  </si>
  <si>
    <t>Question 10</t>
  </si>
  <si>
    <t>Question 11</t>
  </si>
  <si>
    <t>Investment return</t>
  </si>
  <si>
    <t>Real return</t>
  </si>
  <si>
    <t>Question 12</t>
  </si>
  <si>
    <t>Total return</t>
  </si>
  <si>
    <t>Question 13</t>
  </si>
  <si>
    <t>Today's ask price</t>
  </si>
  <si>
    <t>Change</t>
  </si>
  <si>
    <t>Bid price</t>
  </si>
  <si>
    <t>Question 14</t>
  </si>
  <si>
    <t>Ask yield</t>
  </si>
  <si>
    <t>Question 15</t>
  </si>
  <si>
    <t># of coupons per year</t>
  </si>
  <si>
    <t>All else held equal, the premium over par</t>
  </si>
  <si>
    <t>value for a premium bond declines</t>
  </si>
  <si>
    <t xml:space="preserve">as maturity approaches, and the </t>
  </si>
  <si>
    <t>discount from par value for a discount</t>
  </si>
  <si>
    <t>bond declines as maturity approaches.</t>
  </si>
  <si>
    <t>In both cases, the largest percentage</t>
  </si>
  <si>
    <t>price changes occur at the shortest</t>
  </si>
  <si>
    <t>maturity lengths.</t>
  </si>
  <si>
    <t>Question 16</t>
  </si>
  <si>
    <t>Change in interest rate</t>
  </si>
  <si>
    <t xml:space="preserve">All else same, the longer the maturity </t>
  </si>
  <si>
    <t>of a bond, the greater is its price sensitivity</t>
  </si>
  <si>
    <t>to changes in interest rates.</t>
  </si>
  <si>
    <t>Question 17</t>
  </si>
  <si>
    <t>Initial yield to maturity</t>
  </si>
  <si>
    <t>All else same, the lower the coupon rate</t>
  </si>
  <si>
    <t>of the bond, the greater is its price sensitivity</t>
  </si>
  <si>
    <t>Question 18</t>
  </si>
  <si>
    <t>Question 19</t>
  </si>
  <si>
    <t xml:space="preserve">Current yield </t>
  </si>
  <si>
    <t>Current yield</t>
  </si>
  <si>
    <t>Question 22</t>
  </si>
  <si>
    <t>a)</t>
  </si>
  <si>
    <t>b)</t>
  </si>
  <si>
    <t>c)</t>
  </si>
  <si>
    <t>Question 23</t>
  </si>
  <si>
    <t>Years to maturity</t>
  </si>
  <si>
    <t>Question 24</t>
  </si>
  <si>
    <t>Question 25</t>
  </si>
  <si>
    <t>The maturity is indeterminate. A bond selling at par can have any length</t>
  </si>
  <si>
    <t>of maturity.</t>
  </si>
  <si>
    <t>Question 26</t>
  </si>
  <si>
    <t>Bond P:</t>
  </si>
  <si>
    <t>Bond D:</t>
  </si>
  <si>
    <t>Date one year from now</t>
  </si>
  <si>
    <t xml:space="preserve">All else held constant, premium bonds pay high </t>
  </si>
  <si>
    <t>current income while having price depreciation</t>
  </si>
  <si>
    <t>as maturity nears; discount bonds do not pay</t>
  </si>
  <si>
    <t>high current income but have price appreciation</t>
  </si>
  <si>
    <t>as maturity nears. For either bond, the total return,</t>
  </si>
  <si>
    <t>between current income and capital gains.</t>
  </si>
  <si>
    <t>Question 27</t>
  </si>
  <si>
    <t>Price of bond</t>
  </si>
  <si>
    <t>Date sold</t>
  </si>
  <si>
    <t>This is the rate of return you expect to earn on</t>
  </si>
  <si>
    <t>your investment when you purchase the bond.</t>
  </si>
  <si>
    <t>The realized HPY is greater than the expected</t>
  </si>
  <si>
    <t>YTM when the bond was bought because interest</t>
  </si>
  <si>
    <t>rates have dropped by 1%; bond prices rise</t>
  </si>
  <si>
    <t>when yields fall.</t>
  </si>
  <si>
    <t>Question 28</t>
  </si>
  <si>
    <t>Bond M:</t>
  </si>
  <si>
    <t>Amount of first round interest payment</t>
  </si>
  <si>
    <t>Amount of second round</t>
  </si>
  <si>
    <t>Bond N:</t>
  </si>
  <si>
    <t>Required return on both bonds</t>
  </si>
  <si>
    <t>Years to first round of interest payments</t>
  </si>
  <si>
    <t>Years to second round</t>
  </si>
  <si>
    <t>Par value</t>
  </si>
  <si>
    <t>Input boxes in tan</t>
  </si>
  <si>
    <t>Output boxes in yellow</t>
  </si>
  <si>
    <t>Given data in blue</t>
  </si>
  <si>
    <t>Calculations in red</t>
  </si>
  <si>
    <t>Answers in green</t>
  </si>
  <si>
    <t>Price</t>
  </si>
  <si>
    <t>Approximate real rate</t>
  </si>
  <si>
    <t>Exact real rate</t>
  </si>
  <si>
    <t>The bond is at a:</t>
  </si>
  <si>
    <t xml:space="preserve">is still 8%, but this return is distributed differently </t>
  </si>
  <si>
    <t>Date</t>
  </si>
  <si>
    <t>Maturity</t>
  </si>
  <si>
    <t>Last price</t>
  </si>
  <si>
    <t>Question 20</t>
  </si>
  <si>
    <t>Months to next maturity</t>
  </si>
  <si>
    <t>Accrued interest</t>
  </si>
  <si>
    <t>Clean price</t>
  </si>
  <si>
    <t>Question 21</t>
  </si>
  <si>
    <t>Dirty price</t>
  </si>
  <si>
    <t>Invoice price</t>
  </si>
  <si>
    <t>Real price of roses</t>
  </si>
  <si>
    <t>Number of years</t>
  </si>
  <si>
    <t>Discount rate</t>
  </si>
  <si>
    <t>Real rate (EAR)</t>
  </si>
  <si>
    <t>Real rate (APR)</t>
  </si>
  <si>
    <t>Weekly rate</t>
  </si>
  <si>
    <t xml:space="preserve">Present value </t>
  </si>
  <si>
    <t>Monthly stock deposit</t>
  </si>
  <si>
    <t>Monthly bond deposit</t>
  </si>
  <si>
    <t>Bond account EAR</t>
  </si>
  <si>
    <t>Stock account EAR</t>
  </si>
  <si>
    <t>Years for savings</t>
  </si>
  <si>
    <t>Years for withdrawals</t>
  </si>
  <si>
    <t>Stock account real rate (EAR)</t>
  </si>
  <si>
    <t>Stock account real rate (APR)</t>
  </si>
  <si>
    <t>Monthly stock account return</t>
  </si>
  <si>
    <t>FV of stock account (real dollars)</t>
  </si>
  <si>
    <t>Monthly bond account return</t>
  </si>
  <si>
    <t>FV of bond account (real dollars)</t>
  </si>
  <si>
    <t>Bond account real rate (EAR)</t>
  </si>
  <si>
    <t>Bond account real rate (APR)</t>
  </si>
  <si>
    <t>Total account value at retirement</t>
  </si>
  <si>
    <t>Lat withdrawal in nominal terms</t>
  </si>
  <si>
    <t>Return in retirement (EAR)</t>
  </si>
  <si>
    <t>Retirement EAR</t>
  </si>
  <si>
    <t>Retirement APR</t>
  </si>
  <si>
    <t>Monthly rate in retirement</t>
  </si>
  <si>
    <t>Annual fee</t>
  </si>
  <si>
    <t>Current customer base</t>
  </si>
  <si>
    <t>Increase in annual fee</t>
  </si>
  <si>
    <t>Increase in membership</t>
  </si>
  <si>
    <t>Annual expenses</t>
  </si>
  <si>
    <t>Cost of boat in 5 years</t>
  </si>
  <si>
    <t>Return earned</t>
  </si>
  <si>
    <t>Effective growth rate</t>
  </si>
  <si>
    <t>Year</t>
  </si>
  <si>
    <t>Revenue</t>
  </si>
  <si>
    <t>Costs</t>
  </si>
  <si>
    <t>Savings</t>
  </si>
  <si>
    <t>Increase in expenses</t>
  </si>
  <si>
    <t>Revenue in current year</t>
  </si>
  <si>
    <t>Future value of savings</t>
  </si>
  <si>
    <t>Total future value of savings</t>
  </si>
  <si>
    <t>Value of savings after buying boat</t>
  </si>
  <si>
    <t>Amount of withdrawal</t>
  </si>
  <si>
    <t>Miller Corp.</t>
  </si>
  <si>
    <t>Modigliani Company</t>
  </si>
  <si>
    <t xml:space="preserve">Price of Miller bond </t>
  </si>
  <si>
    <t>Price of Modigliani bond</t>
  </si>
  <si>
    <t>Faulk Corp.</t>
  </si>
  <si>
    <t>Gonas Company</t>
  </si>
  <si>
    <t>Initial price of Faulk bond</t>
  </si>
  <si>
    <t xml:space="preserve">Price after change </t>
  </si>
  <si>
    <t>Initial price of Gonas bond</t>
  </si>
  <si>
    <t>% change in Faulk bond</t>
  </si>
  <si>
    <t>% change in Gonas bond</t>
  </si>
  <si>
    <t xml:space="preserve">NOTE: Some functions used in these spreadsheets may require that </t>
  </si>
  <si>
    <t>the "Analysis ToolPak" or "Solver Add-in" be installed in Excel.</t>
  </si>
  <si>
    <t xml:space="preserve">Treasury rate </t>
  </si>
  <si>
    <t xml:space="preserve">Previous day price </t>
  </si>
  <si>
    <t xml:space="preserve">YTM </t>
  </si>
  <si>
    <t xml:space="preserve">Bid-Ask spread </t>
  </si>
  <si>
    <t xml:space="preserve">Yield to maturity </t>
  </si>
  <si>
    <t xml:space="preserve">Effective annual rate </t>
  </si>
  <si>
    <t xml:space="preserve">Current price </t>
  </si>
  <si>
    <t xml:space="preserve">Years to maturity </t>
  </si>
  <si>
    <t xml:space="preserve">Current price of Bond P </t>
  </si>
  <si>
    <t xml:space="preserve">Price in 1 year </t>
  </si>
  <si>
    <t xml:space="preserve">Current price of Bond D </t>
  </si>
  <si>
    <t xml:space="preserve">Current yield of Bond P </t>
  </si>
  <si>
    <t xml:space="preserve">Capital gains yield of Bond P </t>
  </si>
  <si>
    <t xml:space="preserve">Current yield of Bond D </t>
  </si>
  <si>
    <t xml:space="preserve">Capital gains yield of Bond D </t>
  </si>
  <si>
    <t xml:space="preserve">Price of bond when sold </t>
  </si>
  <si>
    <t xml:space="preserve">Holding period yield </t>
  </si>
  <si>
    <t xml:space="preserve">Present value of face value </t>
  </si>
  <si>
    <t xml:space="preserve">Present value of first round </t>
  </si>
  <si>
    <t xml:space="preserve">Present value of second round </t>
  </si>
  <si>
    <t xml:space="preserve">Current price of Bond M </t>
  </si>
  <si>
    <t xml:space="preserve">Current price of Bond N </t>
  </si>
  <si>
    <t xml:space="preserve">Present value of final payment </t>
  </si>
  <si>
    <t xml:space="preserve">Present value of coupon payments </t>
  </si>
  <si>
    <t xml:space="preserve">Coupon rate </t>
  </si>
  <si>
    <t xml:space="preserve">Semiannual coupon payment </t>
  </si>
  <si>
    <t>Annual coupon payment</t>
  </si>
  <si>
    <t>Laurel, Inc.</t>
  </si>
  <si>
    <t>Price of Laurel bond</t>
  </si>
  <si>
    <t>% change in Laurel bond</t>
  </si>
  <si>
    <t>Hardy Corp.</t>
  </si>
  <si>
    <t>Price of Hardy bond</t>
  </si>
  <si>
    <t>% change in Hardy bond</t>
  </si>
  <si>
    <t>Months to next coupon</t>
  </si>
  <si>
    <t>To install these:</t>
  </si>
  <si>
    <t>1) Click the Microsoft Office Button, and then click Excel Options</t>
  </si>
  <si>
    <t>2) Click Add-Ins, and then in the Manage box, select Add-ins.</t>
  </si>
  <si>
    <t>3) Click Go.</t>
  </si>
  <si>
    <t>4) In the Add-Ins available box, select the Solver Add-in and Analysis ToolPak check boxes, and then click OK.</t>
  </si>
  <si>
    <t xml:space="preserve">5) After you load the Solver Add-in, the Solver command is available in the Analysis group on the Data tab. </t>
  </si>
  <si>
    <t>Chapter 8</t>
  </si>
  <si>
    <t>Problems 1-32</t>
  </si>
  <si>
    <t>Question 32</t>
  </si>
  <si>
    <t>Question 31</t>
  </si>
  <si>
    <t>Question 30</t>
  </si>
  <si>
    <t>a bond.</t>
  </si>
  <si>
    <t>interest deductions occur earlier in the life of</t>
  </si>
  <si>
    <t>method when allowed because the valuable</t>
  </si>
  <si>
    <t>The company will prefer the straight-line</t>
  </si>
  <si>
    <t>d)</t>
  </si>
  <si>
    <t xml:space="preserve">Annual interest deduction </t>
  </si>
  <si>
    <t xml:space="preserve">Total interest </t>
  </si>
  <si>
    <t xml:space="preserve">Last year deduction </t>
  </si>
  <si>
    <t>Price one year before maturity</t>
  </si>
  <si>
    <t xml:space="preserve">First year deduction </t>
  </si>
  <si>
    <t>Price in one year</t>
  </si>
  <si>
    <t xml:space="preserve">Price at issuance </t>
  </si>
  <si>
    <t>Required return</t>
  </si>
  <si>
    <t>Chapter 15</t>
  </si>
  <si>
    <t>in the form of the interest tax shield of debt.</t>
  </si>
  <si>
    <t>During the life of a bond, the zero generates cash inflows to the firm</t>
  </si>
  <si>
    <t xml:space="preserve">Zero coupon bond </t>
  </si>
  <si>
    <t>Year one interest per bond</t>
  </si>
  <si>
    <t>Zero price in one year</t>
  </si>
  <si>
    <t xml:space="preserve">Coupon bond </t>
  </si>
  <si>
    <t>Year 1 interest payments:</t>
  </si>
  <si>
    <t xml:space="preserve">Repayment of zeroes </t>
  </si>
  <si>
    <t xml:space="preserve">Repayment of coupon bonds </t>
  </si>
  <si>
    <t xml:space="preserve"># of zeroes needed </t>
  </si>
  <si>
    <t xml:space="preserve">Price of zero coupon bond </t>
  </si>
  <si>
    <t xml:space="preserve"># of coupon bonds needed </t>
  </si>
  <si>
    <t xml:space="preserve">Price of coupon bond </t>
  </si>
  <si>
    <t>Tax rate</t>
  </si>
  <si>
    <t>Amount needed</t>
  </si>
  <si>
    <t>Taxes on zero</t>
  </si>
  <si>
    <t>Price at end of year</t>
  </si>
  <si>
    <t>Price when purchased</t>
  </si>
  <si>
    <t>YTM</t>
  </si>
  <si>
    <t>Asked price</t>
  </si>
</sst>
</file>

<file path=xl/styles.xml><?xml version="1.0" encoding="utf-8"?>
<styleSheet xmlns="http://schemas.openxmlformats.org/spreadsheetml/2006/main">
  <numFmts count="22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_);_(* \(#,##0.0\);_(* &quot;-&quot;??_);_(@_)"/>
    <numFmt numFmtId="166" formatCode="_(* #,##0_);_(* \(#,##0\);_(* &quot;-&quot;??_);_(@_)"/>
    <numFmt numFmtId="167" formatCode="0.0%"/>
    <numFmt numFmtId="168" formatCode="_(&quot;$&quot;* #,##0.0000_);_(&quot;$&quot;* \(#,##0.0000\);_(&quot;$&quot;* &quot;-&quot;??_);_(@_)"/>
    <numFmt numFmtId="169" formatCode="_(* #,##0.0000_);_(* \(#,##0.0000\);_(* &quot;-&quot;??_);_(@_)"/>
    <numFmt numFmtId="170" formatCode="0.000%"/>
    <numFmt numFmtId="171" formatCode="_(* #,##0.000_);_(* \(#,##0.000\);_(* &quot;-&quot;???_);_(@_)"/>
    <numFmt numFmtId="172" formatCode="mm/dd/yy;@"/>
    <numFmt numFmtId="173" formatCode="_(* #,##0.0_);_(* \(#,##0.0\);_(* &quot;-&quot;?_);_(@_)"/>
    <numFmt numFmtId="174" formatCode="m/d/yyyy;@"/>
    <numFmt numFmtId="175" formatCode="0.0000%"/>
    <numFmt numFmtId="176" formatCode="_(* #,##0_);_(* \(#,##0\);_(* &quot;-&quot;?_);_(@_)"/>
    <numFmt numFmtId="177" formatCode="_(* #,##0.0000000_);_(* \(#,##0.0000000\);_(* &quot;-&quot;??_);_(@_)"/>
    <numFmt numFmtId="178" formatCode="_([$€-2]\ * #,##0.00_);_([$€-2]\ * \(#,##0.00\);_([$€-2]\ * &quot;-&quot;??_);_(@_)"/>
    <numFmt numFmtId="179" formatCode="###\ ##/32"/>
    <numFmt numFmtId="180" formatCode="0.00000"/>
  </numFmts>
  <fonts count="26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b/>
      <sz val="12"/>
      <color indexed="57"/>
      <name val="Arial"/>
      <family val="2"/>
    </font>
    <font>
      <sz val="12"/>
      <color indexed="48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color indexed="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8"/>
      <name val="Arial"/>
      <family val="2"/>
    </font>
    <font>
      <i/>
      <u/>
      <sz val="12"/>
      <name val="Arial"/>
      <family val="2"/>
    </font>
    <font>
      <sz val="12"/>
      <color indexed="57"/>
      <name val="Arial"/>
      <family val="2"/>
    </font>
    <font>
      <b/>
      <sz val="10"/>
      <color indexed="9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b/>
      <sz val="12"/>
      <color indexed="57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3" fillId="0" borderId="0" xfId="0" applyFont="1" applyBorder="1"/>
    <xf numFmtId="0" fontId="4" fillId="2" borderId="1" xfId="0" applyFont="1" applyFill="1" applyBorder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0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3" fillId="3" borderId="1" xfId="0" applyFont="1" applyFill="1" applyBorder="1"/>
    <xf numFmtId="0" fontId="3" fillId="3" borderId="0" xfId="0" applyFont="1" applyFill="1" applyBorder="1" applyAlignment="1"/>
    <xf numFmtId="164" fontId="5" fillId="3" borderId="0" xfId="3" applyNumberFormat="1" applyFont="1" applyFill="1" applyBorder="1"/>
    <xf numFmtId="0" fontId="3" fillId="3" borderId="0" xfId="0" applyFont="1" applyFill="1" applyBorder="1"/>
    <xf numFmtId="164" fontId="6" fillId="3" borderId="0" xfId="3" applyNumberFormat="1" applyFont="1" applyFill="1" applyBorder="1"/>
    <xf numFmtId="41" fontId="5" fillId="3" borderId="0" xfId="3" applyNumberFormat="1" applyFont="1" applyFill="1" applyBorder="1"/>
    <xf numFmtId="0" fontId="3" fillId="3" borderId="6" xfId="0" applyFont="1" applyFill="1" applyBorder="1"/>
    <xf numFmtId="0" fontId="3" fillId="3" borderId="3" xfId="0" applyFont="1" applyFill="1" applyBorder="1"/>
    <xf numFmtId="0" fontId="3" fillId="2" borderId="7" xfId="0" applyFont="1" applyFill="1" applyBorder="1"/>
    <xf numFmtId="0" fontId="3" fillId="2" borderId="6" xfId="0" applyFont="1" applyFill="1" applyBorder="1"/>
    <xf numFmtId="0" fontId="3" fillId="2" borderId="8" xfId="0" applyFont="1" applyFill="1" applyBorder="1"/>
    <xf numFmtId="0" fontId="3" fillId="3" borderId="7" xfId="0" applyFont="1" applyFill="1" applyBorder="1"/>
    <xf numFmtId="0" fontId="3" fillId="3" borderId="2" xfId="0" applyFont="1" applyFill="1" applyBorder="1"/>
    <xf numFmtId="0" fontId="3" fillId="3" borderId="8" xfId="0" applyFont="1" applyFill="1" applyBorder="1"/>
    <xf numFmtId="0" fontId="3" fillId="3" borderId="4" xfId="0" applyFont="1" applyFill="1" applyBorder="1"/>
    <xf numFmtId="0" fontId="3" fillId="3" borderId="5" xfId="0" applyFont="1" applyFill="1" applyBorder="1"/>
    <xf numFmtId="44" fontId="7" fillId="3" borderId="9" xfId="3" applyFont="1" applyFill="1" applyBorder="1"/>
    <xf numFmtId="164" fontId="5" fillId="3" borderId="3" xfId="3" applyNumberFormat="1" applyFont="1" applyFill="1" applyBorder="1"/>
    <xf numFmtId="10" fontId="7" fillId="3" borderId="9" xfId="7" applyNumberFormat="1" applyFont="1" applyFill="1" applyBorder="1"/>
    <xf numFmtId="43" fontId="7" fillId="3" borderId="0" xfId="1" applyFont="1" applyFill="1" applyBorder="1"/>
    <xf numFmtId="170" fontId="7" fillId="3" borderId="0" xfId="7" applyNumberFormat="1" applyFont="1" applyFill="1" applyBorder="1"/>
    <xf numFmtId="0" fontId="4" fillId="2" borderId="0" xfId="0" applyFont="1" applyFill="1" applyBorder="1"/>
    <xf numFmtId="43" fontId="3" fillId="2" borderId="4" xfId="1" applyFont="1" applyFill="1" applyBorder="1"/>
    <xf numFmtId="169" fontId="7" fillId="3" borderId="0" xfId="1" applyNumberFormat="1" applyFont="1" applyFill="1" applyBorder="1"/>
    <xf numFmtId="10" fontId="7" fillId="3" borderId="0" xfId="7" applyNumberFormat="1" applyFont="1" applyFill="1" applyBorder="1"/>
    <xf numFmtId="44" fontId="6" fillId="3" borderId="0" xfId="3" applyFont="1" applyFill="1" applyBorder="1"/>
    <xf numFmtId="43" fontId="6" fillId="3" borderId="0" xfId="1" applyFont="1" applyFill="1" applyBorder="1"/>
    <xf numFmtId="44" fontId="6" fillId="3" borderId="0" xfId="3" applyNumberFormat="1" applyFont="1" applyFill="1" applyBorder="1"/>
    <xf numFmtId="44" fontId="7" fillId="3" borderId="9" xfId="3" applyNumberFormat="1" applyFont="1" applyFill="1" applyBorder="1"/>
    <xf numFmtId="0" fontId="0" fillId="2" borderId="6" xfId="0" applyFill="1" applyBorder="1"/>
    <xf numFmtId="0" fontId="0" fillId="2" borderId="3" xfId="0" applyFill="1" applyBorder="1"/>
    <xf numFmtId="166" fontId="7" fillId="3" borderId="0" xfId="1" applyNumberFormat="1" applyFont="1" applyFill="1" applyBorder="1"/>
    <xf numFmtId="0" fontId="3" fillId="0" borderId="0" xfId="0" applyFont="1" applyFill="1" applyBorder="1"/>
    <xf numFmtId="37" fontId="8" fillId="2" borderId="3" xfId="3" applyNumberFormat="1" applyFont="1" applyFill="1" applyBorder="1"/>
    <xf numFmtId="9" fontId="8" fillId="2" borderId="3" xfId="7" applyFont="1" applyFill="1" applyBorder="1"/>
    <xf numFmtId="164" fontId="8" fillId="2" borderId="3" xfId="3" applyNumberFormat="1" applyFont="1" applyFill="1" applyBorder="1"/>
    <xf numFmtId="166" fontId="8" fillId="2" borderId="3" xfId="1" applyNumberFormat="1" applyFont="1" applyFill="1" applyBorder="1"/>
    <xf numFmtId="0" fontId="4" fillId="3" borderId="0" xfId="0" applyFont="1" applyFill="1" applyBorder="1"/>
    <xf numFmtId="164" fontId="5" fillId="0" borderId="0" xfId="3" applyNumberFormat="1" applyFont="1" applyFill="1" applyBorder="1"/>
    <xf numFmtId="164" fontId="6" fillId="0" borderId="6" xfId="3" applyNumberFormat="1" applyFont="1" applyFill="1" applyBorder="1"/>
    <xf numFmtId="166" fontId="7" fillId="0" borderId="6" xfId="1" applyNumberFormat="1" applyFont="1" applyFill="1" applyBorder="1"/>
    <xf numFmtId="44" fontId="6" fillId="0" borderId="6" xfId="3" applyNumberFormat="1" applyFont="1" applyFill="1" applyBorder="1"/>
    <xf numFmtId="0" fontId="3" fillId="0" borderId="6" xfId="0" applyFont="1" applyFill="1" applyBorder="1"/>
    <xf numFmtId="0" fontId="0" fillId="2" borderId="7" xfId="0" applyFill="1" applyBorder="1"/>
    <xf numFmtId="0" fontId="0" fillId="2" borderId="2" xfId="0" applyFill="1" applyBorder="1"/>
    <xf numFmtId="0" fontId="0" fillId="2" borderId="8" xfId="0" applyFill="1" applyBorder="1"/>
    <xf numFmtId="0" fontId="0" fillId="2" borderId="4" xfId="0" applyFill="1" applyBorder="1"/>
    <xf numFmtId="0" fontId="0" fillId="2" borderId="5" xfId="0" applyFill="1" applyBorder="1"/>
    <xf numFmtId="0" fontId="3" fillId="3" borderId="0" xfId="0" applyFont="1" applyFill="1"/>
    <xf numFmtId="166" fontId="6" fillId="3" borderId="0" xfId="1" applyNumberFormat="1" applyFont="1" applyFill="1" applyBorder="1"/>
    <xf numFmtId="39" fontId="6" fillId="3" borderId="10" xfId="1" applyNumberFormat="1" applyFont="1" applyFill="1" applyBorder="1"/>
    <xf numFmtId="10" fontId="8" fillId="0" borderId="0" xfId="7" applyNumberFormat="1" applyFont="1" applyFill="1" applyBorder="1"/>
    <xf numFmtId="14" fontId="8" fillId="0" borderId="0" xfId="3" applyNumberFormat="1" applyFont="1" applyFill="1" applyBorder="1"/>
    <xf numFmtId="164" fontId="8" fillId="0" borderId="0" xfId="3" applyNumberFormat="1" applyFont="1" applyFill="1" applyBorder="1"/>
    <xf numFmtId="37" fontId="8" fillId="0" borderId="0" xfId="3" applyNumberFormat="1" applyFont="1" applyFill="1" applyBorder="1"/>
    <xf numFmtId="0" fontId="4" fillId="2" borderId="2" xfId="0" applyFont="1" applyFill="1" applyBorder="1"/>
    <xf numFmtId="10" fontId="8" fillId="2" borderId="3" xfId="7" applyNumberFormat="1" applyFont="1" applyFill="1" applyBorder="1"/>
    <xf numFmtId="14" fontId="8" fillId="2" borderId="3" xfId="3" applyNumberFormat="1" applyFont="1" applyFill="1" applyBorder="1"/>
    <xf numFmtId="44" fontId="6" fillId="3" borderId="0" xfId="3" applyFont="1" applyFill="1" applyBorder="1" applyAlignment="1"/>
    <xf numFmtId="44" fontId="7" fillId="3" borderId="9" xfId="0" applyNumberFormat="1" applyFont="1" applyFill="1" applyBorder="1" applyAlignment="1"/>
    <xf numFmtId="0" fontId="9" fillId="4" borderId="0" xfId="0" applyFont="1" applyFill="1" applyBorder="1"/>
    <xf numFmtId="0" fontId="9" fillId="4" borderId="0" xfId="0" applyFont="1" applyFill="1"/>
    <xf numFmtId="0" fontId="0" fillId="4" borderId="0" xfId="0" applyFill="1"/>
    <xf numFmtId="2" fontId="10" fillId="4" borderId="0" xfId="0" applyNumberFormat="1" applyFont="1" applyFill="1" applyBorder="1" applyAlignment="1"/>
    <xf numFmtId="0" fontId="11" fillId="4" borderId="0" xfId="0" applyFont="1" applyFill="1" applyBorder="1"/>
    <xf numFmtId="0" fontId="12" fillId="4" borderId="0" xfId="0" applyFont="1" applyFill="1" applyBorder="1" applyAlignment="1">
      <alignment horizontal="center"/>
    </xf>
    <xf numFmtId="0" fontId="13" fillId="4" borderId="0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16" fillId="4" borderId="0" xfId="0" applyFont="1" applyFill="1" applyBorder="1"/>
    <xf numFmtId="0" fontId="17" fillId="4" borderId="0" xfId="0" applyFont="1" applyFill="1" applyBorder="1"/>
    <xf numFmtId="0" fontId="7" fillId="4" borderId="0" xfId="0" applyFont="1" applyFill="1" applyBorder="1"/>
    <xf numFmtId="0" fontId="0" fillId="4" borderId="0" xfId="0" applyFill="1" applyBorder="1"/>
    <xf numFmtId="14" fontId="5" fillId="2" borderId="0" xfId="3" applyNumberFormat="1" applyFont="1" applyFill="1" applyBorder="1"/>
    <xf numFmtId="14" fontId="5" fillId="2" borderId="0" xfId="1" applyNumberFormat="1" applyFont="1" applyFill="1" applyBorder="1"/>
    <xf numFmtId="9" fontId="5" fillId="2" borderId="0" xfId="7" applyNumberFormat="1" applyFont="1" applyFill="1" applyBorder="1"/>
    <xf numFmtId="166" fontId="5" fillId="2" borderId="0" xfId="1" applyNumberFormat="1" applyFont="1" applyFill="1" applyBorder="1"/>
    <xf numFmtId="164" fontId="5" fillId="2" borderId="0" xfId="3" applyNumberFormat="1" applyFont="1" applyFill="1" applyBorder="1"/>
    <xf numFmtId="9" fontId="5" fillId="2" borderId="0" xfId="7" applyFont="1" applyFill="1" applyBorder="1"/>
    <xf numFmtId="0" fontId="5" fillId="2" borderId="0" xfId="0" applyFont="1" applyFill="1" applyBorder="1"/>
    <xf numFmtId="10" fontId="5" fillId="2" borderId="0" xfId="7" applyNumberFormat="1" applyFont="1" applyFill="1" applyBorder="1"/>
    <xf numFmtId="0" fontId="6" fillId="3" borderId="0" xfId="0" applyFont="1" applyFill="1" applyBorder="1"/>
    <xf numFmtId="172" fontId="5" fillId="2" borderId="0" xfId="0" applyNumberFormat="1" applyFont="1" applyFill="1" applyBorder="1"/>
    <xf numFmtId="3" fontId="5" fillId="2" borderId="0" xfId="1" applyNumberFormat="1" applyFont="1" applyFill="1" applyBorder="1"/>
    <xf numFmtId="165" fontId="5" fillId="2" borderId="0" xfId="1" applyNumberFormat="1" applyFont="1" applyFill="1" applyBorder="1"/>
    <xf numFmtId="167" fontId="5" fillId="2" borderId="0" xfId="7" applyNumberFormat="1" applyFont="1" applyFill="1" applyBorder="1"/>
    <xf numFmtId="170" fontId="5" fillId="2" borderId="0" xfId="7" applyNumberFormat="1" applyFont="1" applyFill="1" applyBorder="1"/>
    <xf numFmtId="37" fontId="5" fillId="2" borderId="0" xfId="3" applyNumberFormat="1" applyFont="1" applyFill="1" applyBorder="1"/>
    <xf numFmtId="14" fontId="5" fillId="2" borderId="0" xfId="0" applyNumberFormat="1" applyFont="1" applyFill="1" applyBorder="1"/>
    <xf numFmtId="37" fontId="5" fillId="2" borderId="0" xfId="0" applyNumberFormat="1" applyFont="1" applyFill="1" applyBorder="1"/>
    <xf numFmtId="37" fontId="5" fillId="2" borderId="0" xfId="1" applyNumberFormat="1" applyFont="1" applyFill="1" applyBorder="1"/>
    <xf numFmtId="173" fontId="5" fillId="2" borderId="0" xfId="0" applyNumberFormat="1" applyFont="1" applyFill="1" applyBorder="1"/>
    <xf numFmtId="43" fontId="6" fillId="3" borderId="0" xfId="1" applyNumberFormat="1" applyFont="1" applyFill="1" applyBorder="1"/>
    <xf numFmtId="174" fontId="5" fillId="2" borderId="0" xfId="7" applyNumberFormat="1" applyFont="1" applyFill="1" applyBorder="1"/>
    <xf numFmtId="41" fontId="5" fillId="2" borderId="0" xfId="3" applyNumberFormat="1" applyFont="1" applyFill="1" applyBorder="1"/>
    <xf numFmtId="10" fontId="7" fillId="3" borderId="9" xfId="7" applyNumberFormat="1" applyFont="1" applyFill="1" applyBorder="1" applyAlignment="1">
      <alignment horizontal="right"/>
    </xf>
    <xf numFmtId="44" fontId="5" fillId="2" borderId="0" xfId="0" applyNumberFormat="1" applyFont="1" applyFill="1" applyBorder="1"/>
    <xf numFmtId="42" fontId="5" fillId="2" borderId="0" xfId="1" applyNumberFormat="1" applyFont="1" applyFill="1" applyBorder="1"/>
    <xf numFmtId="42" fontId="5" fillId="2" borderId="0" xfId="7" applyNumberFormat="1" applyFont="1" applyFill="1" applyBorder="1"/>
    <xf numFmtId="41" fontId="5" fillId="2" borderId="0" xfId="7" applyNumberFormat="1" applyFont="1" applyFill="1" applyBorder="1"/>
    <xf numFmtId="10" fontId="6" fillId="3" borderId="0" xfId="7" applyNumberFormat="1" applyFont="1" applyFill="1" applyBorder="1"/>
    <xf numFmtId="10" fontId="6" fillId="3" borderId="0" xfId="7" applyNumberFormat="1" applyFont="1" applyFill="1" applyBorder="1" applyAlignment="1"/>
    <xf numFmtId="44" fontId="6" fillId="3" borderId="0" xfId="7" applyNumberFormat="1" applyFont="1" applyFill="1" applyBorder="1" applyAlignment="1"/>
    <xf numFmtId="8" fontId="7" fillId="3" borderId="0" xfId="0" applyNumberFormat="1" applyFont="1" applyFill="1" applyBorder="1" applyAlignment="1"/>
    <xf numFmtId="44" fontId="7" fillId="3" borderId="0" xfId="0" applyNumberFormat="1" applyFont="1" applyFill="1" applyBorder="1" applyAlignment="1"/>
    <xf numFmtId="0" fontId="3" fillId="3" borderId="0" xfId="0" applyFont="1" applyFill="1" applyBorder="1" applyAlignment="1">
      <alignment horizontal="center"/>
    </xf>
    <xf numFmtId="0" fontId="19" fillId="3" borderId="0" xfId="0" applyFont="1" applyFill="1" applyBorder="1" applyAlignment="1">
      <alignment horizontal="center"/>
    </xf>
    <xf numFmtId="10" fontId="19" fillId="3" borderId="0" xfId="7" applyNumberFormat="1" applyFont="1" applyFill="1" applyBorder="1" applyAlignment="1">
      <alignment horizontal="center"/>
    </xf>
    <xf numFmtId="166" fontId="19" fillId="3" borderId="0" xfId="1" applyNumberFormat="1" applyFont="1" applyFill="1" applyBorder="1" applyAlignment="1">
      <alignment horizontal="center"/>
    </xf>
    <xf numFmtId="43" fontId="6" fillId="3" borderId="0" xfId="7" applyNumberFormat="1" applyFont="1" applyFill="1" applyBorder="1" applyAlignment="1"/>
    <xf numFmtId="42" fontId="6" fillId="3" borderId="0" xfId="7" applyNumberFormat="1" applyFont="1" applyFill="1" applyBorder="1"/>
    <xf numFmtId="40" fontId="6" fillId="3" borderId="0" xfId="7" applyNumberFormat="1" applyFont="1" applyFill="1" applyBorder="1" applyAlignment="1"/>
    <xf numFmtId="40" fontId="6" fillId="3" borderId="10" xfId="7" applyNumberFormat="1" applyFont="1" applyFill="1" applyBorder="1" applyAlignment="1"/>
    <xf numFmtId="44" fontId="6" fillId="3" borderId="0" xfId="3" applyNumberFormat="1" applyFont="1" applyFill="1" applyBorder="1" applyAlignment="1"/>
    <xf numFmtId="44" fontId="6" fillId="3" borderId="0" xfId="0" applyNumberFormat="1" applyFont="1" applyFill="1" applyBorder="1" applyAlignment="1"/>
    <xf numFmtId="164" fontId="19" fillId="3" borderId="0" xfId="3" applyNumberFormat="1" applyFont="1" applyFill="1" applyBorder="1" applyAlignment="1">
      <alignment horizontal="center"/>
    </xf>
    <xf numFmtId="43" fontId="6" fillId="3" borderId="0" xfId="3" applyNumberFormat="1" applyFont="1" applyFill="1" applyBorder="1"/>
    <xf numFmtId="44" fontId="6" fillId="3" borderId="0" xfId="1" applyNumberFormat="1" applyFont="1" applyFill="1" applyBorder="1"/>
    <xf numFmtId="176" fontId="5" fillId="2" borderId="0" xfId="0" applyNumberFormat="1" applyFont="1" applyFill="1" applyBorder="1"/>
    <xf numFmtId="44" fontId="20" fillId="3" borderId="0" xfId="3" applyNumberFormat="1" applyFont="1" applyFill="1" applyBorder="1"/>
    <xf numFmtId="0" fontId="7" fillId="3" borderId="0" xfId="0" applyFont="1" applyFill="1" applyBorder="1"/>
    <xf numFmtId="44" fontId="7" fillId="3" borderId="9" xfId="0" applyNumberFormat="1" applyFont="1" applyFill="1" applyBorder="1"/>
    <xf numFmtId="0" fontId="21" fillId="4" borderId="0" xfId="0" applyFont="1" applyFill="1" applyBorder="1"/>
    <xf numFmtId="175" fontId="6" fillId="3" borderId="0" xfId="7" applyNumberFormat="1" applyFont="1" applyFill="1" applyBorder="1"/>
    <xf numFmtId="44" fontId="6" fillId="3" borderId="0" xfId="0" applyNumberFormat="1" applyFont="1" applyFill="1" applyBorder="1"/>
    <xf numFmtId="177" fontId="7" fillId="3" borderId="9" xfId="1" applyNumberFormat="1" applyFont="1" applyFill="1" applyBorder="1"/>
    <xf numFmtId="171" fontId="5" fillId="2" borderId="0" xfId="7" applyNumberFormat="1" applyFont="1" applyFill="1" applyBorder="1"/>
    <xf numFmtId="175" fontId="6" fillId="3" borderId="0" xfId="7" applyNumberFormat="1" applyFont="1" applyFill="1" applyBorder="1" applyAlignment="1"/>
    <xf numFmtId="168" fontId="7" fillId="3" borderId="9" xfId="3" applyNumberFormat="1" applyFont="1" applyFill="1" applyBorder="1"/>
    <xf numFmtId="0" fontId="22" fillId="4" borderId="0" xfId="0" applyFont="1" applyFill="1"/>
    <xf numFmtId="0" fontId="22" fillId="4" borderId="0" xfId="0" applyFont="1" applyFill="1" applyAlignment="1"/>
    <xf numFmtId="0" fontId="22" fillId="4" borderId="0" xfId="0" applyFont="1" applyFill="1" applyBorder="1"/>
    <xf numFmtId="0" fontId="22" fillId="4" borderId="0" xfId="0" applyFont="1" applyFill="1" applyBorder="1" applyAlignment="1"/>
    <xf numFmtId="175" fontId="5" fillId="2" borderId="0" xfId="7" applyNumberFormat="1" applyFont="1" applyFill="1" applyBorder="1"/>
    <xf numFmtId="175" fontId="7" fillId="3" borderId="9" xfId="7" applyNumberFormat="1" applyFont="1" applyFill="1" applyBorder="1"/>
    <xf numFmtId="0" fontId="1" fillId="0" borderId="0" xfId="6"/>
    <xf numFmtId="0" fontId="3" fillId="0" borderId="0" xfId="6" applyFont="1"/>
    <xf numFmtId="0" fontId="3" fillId="3" borderId="5" xfId="6" applyFont="1" applyFill="1" applyBorder="1"/>
    <xf numFmtId="0" fontId="3" fillId="3" borderId="4" xfId="6" applyFont="1" applyFill="1" applyBorder="1"/>
    <xf numFmtId="0" fontId="3" fillId="3" borderId="8" xfId="6" applyFont="1" applyFill="1" applyBorder="1"/>
    <xf numFmtId="41" fontId="5" fillId="3" borderId="3" xfId="3" applyNumberFormat="1" applyFont="1" applyFill="1" applyBorder="1"/>
    <xf numFmtId="44" fontId="7" fillId="3" borderId="0" xfId="3" applyFont="1" applyFill="1" applyBorder="1"/>
    <xf numFmtId="0" fontId="3" fillId="3" borderId="0" xfId="6" applyFont="1" applyFill="1" applyBorder="1"/>
    <xf numFmtId="0" fontId="3" fillId="3" borderId="6" xfId="6" applyFont="1" applyFill="1" applyBorder="1"/>
    <xf numFmtId="0" fontId="3" fillId="3" borderId="0" xfId="6" applyFont="1" applyFill="1" applyBorder="1" applyAlignment="1"/>
    <xf numFmtId="44" fontId="7" fillId="3" borderId="0" xfId="3" applyNumberFormat="1" applyFont="1" applyFill="1" applyBorder="1"/>
    <xf numFmtId="44" fontId="23" fillId="3" borderId="0" xfId="3" applyNumberFormat="1" applyFont="1" applyFill="1" applyBorder="1"/>
    <xf numFmtId="0" fontId="3" fillId="3" borderId="2" xfId="6" applyFont="1" applyFill="1" applyBorder="1"/>
    <xf numFmtId="0" fontId="3" fillId="3" borderId="1" xfId="6" applyFont="1" applyFill="1" applyBorder="1"/>
    <xf numFmtId="0" fontId="3" fillId="3" borderId="7" xfId="6" applyFont="1" applyFill="1" applyBorder="1"/>
    <xf numFmtId="0" fontId="4" fillId="0" borderId="0" xfId="6" applyFont="1" applyBorder="1"/>
    <xf numFmtId="0" fontId="4" fillId="0" borderId="0" xfId="6" applyFont="1"/>
    <xf numFmtId="0" fontId="3" fillId="2" borderId="5" xfId="6" applyFont="1" applyFill="1" applyBorder="1"/>
    <xf numFmtId="0" fontId="3" fillId="2" borderId="4" xfId="6" applyFont="1" applyFill="1" applyBorder="1"/>
    <xf numFmtId="0" fontId="3" fillId="2" borderId="8" xfId="6" applyFont="1" applyFill="1" applyBorder="1"/>
    <xf numFmtId="0" fontId="3" fillId="2" borderId="3" xfId="6" applyFont="1" applyFill="1" applyBorder="1"/>
    <xf numFmtId="0" fontId="3" fillId="2" borderId="0" xfId="6" applyFont="1" applyFill="1" applyBorder="1"/>
    <xf numFmtId="0" fontId="3" fillId="2" borderId="6" xfId="6" applyFont="1" applyFill="1" applyBorder="1"/>
    <xf numFmtId="0" fontId="3" fillId="2" borderId="2" xfId="6" applyFont="1" applyFill="1" applyBorder="1"/>
    <xf numFmtId="0" fontId="3" fillId="2" borderId="1" xfId="6" applyFont="1" applyFill="1" applyBorder="1"/>
    <xf numFmtId="0" fontId="4" fillId="2" borderId="1" xfId="6" applyFont="1" applyFill="1" applyBorder="1"/>
    <xf numFmtId="0" fontId="3" fillId="2" borderId="7" xfId="6" applyFont="1" applyFill="1" applyBorder="1"/>
    <xf numFmtId="0" fontId="3" fillId="0" borderId="0" xfId="6" applyFont="1" applyBorder="1"/>
    <xf numFmtId="0" fontId="2" fillId="0" borderId="0" xfId="6" applyFont="1"/>
    <xf numFmtId="43" fontId="7" fillId="3" borderId="11" xfId="1" applyFont="1" applyFill="1" applyBorder="1"/>
    <xf numFmtId="44" fontId="7" fillId="3" borderId="12" xfId="3" applyFont="1" applyFill="1" applyBorder="1"/>
    <xf numFmtId="44" fontId="7" fillId="3" borderId="13" xfId="3" applyFont="1" applyFill="1" applyBorder="1"/>
    <xf numFmtId="164" fontId="7" fillId="3" borderId="0" xfId="3" applyNumberFormat="1" applyFont="1" applyFill="1" applyBorder="1"/>
    <xf numFmtId="43" fontId="7" fillId="3" borderId="12" xfId="1" applyFont="1" applyFill="1" applyBorder="1"/>
    <xf numFmtId="164" fontId="7" fillId="3" borderId="13" xfId="3" applyNumberFormat="1" applyFont="1" applyFill="1" applyBorder="1"/>
    <xf numFmtId="0" fontId="4" fillId="3" borderId="0" xfId="6" applyFont="1" applyFill="1" applyBorder="1" applyAlignment="1"/>
    <xf numFmtId="164" fontId="7" fillId="3" borderId="9" xfId="3" applyNumberFormat="1" applyFont="1" applyFill="1" applyBorder="1"/>
    <xf numFmtId="166" fontId="7" fillId="3" borderId="9" xfId="1" applyNumberFormat="1" applyFont="1" applyFill="1" applyBorder="1"/>
    <xf numFmtId="0" fontId="3" fillId="3" borderId="3" xfId="6" applyFont="1" applyFill="1" applyBorder="1"/>
    <xf numFmtId="0" fontId="3" fillId="0" borderId="0" xfId="6" applyFont="1" applyFill="1" applyBorder="1"/>
    <xf numFmtId="0" fontId="1" fillId="0" borderId="0" xfId="5"/>
    <xf numFmtId="0" fontId="3" fillId="0" borderId="0" xfId="5" applyFont="1"/>
    <xf numFmtId="0" fontId="3" fillId="3" borderId="5" xfId="5" applyFont="1" applyFill="1" applyBorder="1"/>
    <xf numFmtId="0" fontId="3" fillId="3" borderId="4" xfId="5" applyFont="1" applyFill="1" applyBorder="1"/>
    <xf numFmtId="0" fontId="3" fillId="3" borderId="8" xfId="5" applyFont="1" applyFill="1" applyBorder="1"/>
    <xf numFmtId="0" fontId="3" fillId="3" borderId="3" xfId="5" applyFont="1" applyFill="1" applyBorder="1"/>
    <xf numFmtId="44" fontId="24" fillId="3" borderId="9" xfId="7" applyNumberFormat="1" applyFont="1" applyFill="1" applyBorder="1"/>
    <xf numFmtId="0" fontId="3" fillId="3" borderId="0" xfId="5" applyFont="1" applyFill="1" applyBorder="1"/>
    <xf numFmtId="0" fontId="3" fillId="3" borderId="6" xfId="5" applyFont="1" applyFill="1" applyBorder="1"/>
    <xf numFmtId="3" fontId="6" fillId="3" borderId="0" xfId="5" applyNumberFormat="1" applyFont="1" applyFill="1" applyBorder="1"/>
    <xf numFmtId="44" fontId="6" fillId="3" borderId="0" xfId="5" applyNumberFormat="1" applyFont="1" applyFill="1" applyBorder="1"/>
    <xf numFmtId="44" fontId="6" fillId="3" borderId="0" xfId="7" applyNumberFormat="1" applyFont="1" applyFill="1" applyBorder="1"/>
    <xf numFmtId="0" fontId="3" fillId="3" borderId="2" xfId="5" applyFont="1" applyFill="1" applyBorder="1"/>
    <xf numFmtId="0" fontId="3" fillId="3" borderId="1" xfId="5" applyFont="1" applyFill="1" applyBorder="1"/>
    <xf numFmtId="0" fontId="3" fillId="3" borderId="7" xfId="5" applyFont="1" applyFill="1" applyBorder="1"/>
    <xf numFmtId="0" fontId="4" fillId="0" borderId="0" xfId="5" applyFont="1" applyBorder="1"/>
    <xf numFmtId="0" fontId="4" fillId="0" borderId="0" xfId="5" applyFont="1"/>
    <xf numFmtId="0" fontId="3" fillId="2" borderId="5" xfId="5" applyFont="1" applyFill="1" applyBorder="1"/>
    <xf numFmtId="0" fontId="3" fillId="2" borderId="4" xfId="5" applyFont="1" applyFill="1" applyBorder="1"/>
    <xf numFmtId="0" fontId="3" fillId="2" borderId="8" xfId="5" applyFont="1" applyFill="1" applyBorder="1"/>
    <xf numFmtId="0" fontId="3" fillId="2" borderId="3" xfId="5" applyFont="1" applyFill="1" applyBorder="1"/>
    <xf numFmtId="0" fontId="3" fillId="2" borderId="0" xfId="5" applyFont="1" applyFill="1" applyBorder="1"/>
    <xf numFmtId="0" fontId="3" fillId="2" borderId="6" xfId="5" applyFont="1" applyFill="1" applyBorder="1"/>
    <xf numFmtId="164" fontId="5" fillId="2" borderId="0" xfId="7" applyNumberFormat="1" applyFont="1" applyFill="1" applyBorder="1"/>
    <xf numFmtId="0" fontId="3" fillId="2" borderId="2" xfId="5" applyFont="1" applyFill="1" applyBorder="1"/>
    <xf numFmtId="0" fontId="3" fillId="2" borderId="1" xfId="5" applyFont="1" applyFill="1" applyBorder="1"/>
    <xf numFmtId="0" fontId="4" fillId="2" borderId="1" xfId="5" applyFont="1" applyFill="1" applyBorder="1"/>
    <xf numFmtId="0" fontId="3" fillId="2" borderId="7" xfId="5" applyFont="1" applyFill="1" applyBorder="1"/>
    <xf numFmtId="0" fontId="3" fillId="0" borderId="0" xfId="5" applyFont="1" applyBorder="1"/>
    <xf numFmtId="0" fontId="2" fillId="0" borderId="0" xfId="5" applyFont="1"/>
    <xf numFmtId="178" fontId="7" fillId="3" borderId="9" xfId="0" applyNumberFormat="1" applyFont="1" applyFill="1" applyBorder="1"/>
    <xf numFmtId="179" fontId="5" fillId="2" borderId="0" xfId="1" applyNumberFormat="1" applyFont="1" applyFill="1" applyBorder="1"/>
    <xf numFmtId="179" fontId="5" fillId="2" borderId="0" xfId="3" applyNumberFormat="1" applyFont="1" applyFill="1" applyBorder="1"/>
    <xf numFmtId="179" fontId="7" fillId="3" borderId="9" xfId="3" applyNumberFormat="1" applyFont="1" applyFill="1" applyBorder="1"/>
    <xf numFmtId="179" fontId="7" fillId="3" borderId="9" xfId="1" applyNumberFormat="1" applyFont="1" applyFill="1" applyBorder="1"/>
    <xf numFmtId="168" fontId="23" fillId="3" borderId="0" xfId="0" applyNumberFormat="1" applyFont="1" applyFill="1" applyBorder="1"/>
    <xf numFmtId="44" fontId="7" fillId="3" borderId="0" xfId="3" applyFont="1" applyFill="1" applyBorder="1"/>
    <xf numFmtId="0" fontId="3" fillId="3" borderId="0" xfId="0" applyFont="1" applyFill="1"/>
    <xf numFmtId="0" fontId="4" fillId="3" borderId="0" xfId="0" applyFont="1" applyFill="1" applyBorder="1" applyAlignment="1"/>
    <xf numFmtId="14" fontId="23" fillId="2" borderId="0" xfId="1" applyNumberFormat="1" applyFont="1" applyFill="1" applyBorder="1"/>
    <xf numFmtId="9" fontId="23" fillId="2" borderId="0" xfId="7" applyFont="1" applyFill="1" applyBorder="1"/>
    <xf numFmtId="180" fontId="3" fillId="0" borderId="0" xfId="0" applyNumberFormat="1" applyFont="1"/>
    <xf numFmtId="14" fontId="23" fillId="2" borderId="0" xfId="1" applyNumberFormat="1" applyFont="1" applyFill="1" applyBorder="1" applyAlignment="1">
      <alignment horizontal="right"/>
    </xf>
  </cellXfs>
  <cellStyles count="9">
    <cellStyle name="Comma" xfId="1" builtinId="3"/>
    <cellStyle name="Comma 2" xfId="2"/>
    <cellStyle name="Currency" xfId="3" builtinId="4"/>
    <cellStyle name="Currency 2" xfId="4"/>
    <cellStyle name="Normal" xfId="0" builtinId="0"/>
    <cellStyle name="Normal 2" xfId="5"/>
    <cellStyle name="Normal 3" xfId="6"/>
    <cellStyle name="Percent" xfId="7" builtinId="5"/>
    <cellStyle name="Percent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4"/>
  <sheetViews>
    <sheetView tabSelected="1" workbookViewId="0"/>
  </sheetViews>
  <sheetFormatPr defaultRowHeight="12.75"/>
  <cols>
    <col min="1" max="3" width="9.140625" style="75"/>
    <col min="4" max="4" width="42.5703125" style="75" customWidth="1"/>
    <col min="5" max="16384" width="9.140625" style="75"/>
  </cols>
  <sheetData>
    <row r="1" spans="1:29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</row>
    <row r="2" spans="1:29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</row>
    <row r="3" spans="1:29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</row>
    <row r="4" spans="1:29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</row>
    <row r="5" spans="1:29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</row>
    <row r="6" spans="1:29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</row>
    <row r="7" spans="1:29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</row>
    <row r="8" spans="1:29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</row>
    <row r="9" spans="1:29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</row>
    <row r="10" spans="1:29" ht="59.25">
      <c r="A10" s="73"/>
      <c r="B10" s="73"/>
      <c r="C10" s="73"/>
      <c r="D10" s="76" t="s">
        <v>215</v>
      </c>
      <c r="E10" s="73"/>
      <c r="F10" s="77"/>
      <c r="G10" s="73"/>
      <c r="H10" s="73"/>
      <c r="I10" s="73"/>
      <c r="J10" s="73"/>
      <c r="K10" s="73"/>
      <c r="L10" s="73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</row>
    <row r="11" spans="1:29">
      <c r="A11" s="73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</row>
    <row r="12" spans="1:29" ht="23.25">
      <c r="A12" s="73"/>
      <c r="B12" s="73"/>
      <c r="C12" s="73"/>
      <c r="D12" s="78" t="s">
        <v>216</v>
      </c>
      <c r="E12" s="73"/>
      <c r="F12" s="73"/>
      <c r="G12" s="73"/>
      <c r="H12" s="73"/>
      <c r="I12" s="73"/>
      <c r="J12" s="73"/>
      <c r="K12" s="73"/>
      <c r="L12" s="73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</row>
    <row r="13" spans="1:29">
      <c r="A13" s="73"/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</row>
    <row r="14" spans="1:29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</row>
    <row r="15" spans="1:29" ht="15">
      <c r="A15" s="73"/>
      <c r="B15" s="73"/>
      <c r="C15" s="73"/>
      <c r="D15" s="79"/>
      <c r="E15" s="73"/>
      <c r="F15" s="73"/>
      <c r="G15" s="73"/>
      <c r="H15" s="73"/>
      <c r="I15" s="73"/>
      <c r="J15" s="73"/>
      <c r="K15" s="73"/>
      <c r="L15" s="73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</row>
    <row r="16" spans="1:29" ht="15.75">
      <c r="A16" s="73"/>
      <c r="B16" s="73"/>
      <c r="C16" s="73"/>
      <c r="D16" s="80" t="s">
        <v>97</v>
      </c>
      <c r="E16" s="73"/>
      <c r="F16" s="73"/>
      <c r="G16" s="73"/>
      <c r="H16" s="73"/>
      <c r="I16" s="73"/>
      <c r="J16" s="73"/>
      <c r="K16" s="73"/>
      <c r="L16" s="73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</row>
    <row r="17" spans="1:29" ht="15.75">
      <c r="A17" s="73"/>
      <c r="B17" s="73"/>
      <c r="C17" s="73"/>
      <c r="D17" s="81" t="s">
        <v>98</v>
      </c>
      <c r="E17" s="73"/>
      <c r="F17" s="73"/>
      <c r="G17" s="73"/>
      <c r="H17" s="73"/>
      <c r="I17" s="73"/>
      <c r="J17" s="73"/>
      <c r="K17" s="73"/>
      <c r="L17" s="73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</row>
    <row r="18" spans="1:29" ht="15.75">
      <c r="A18" s="73"/>
      <c r="B18" s="73"/>
      <c r="C18" s="73"/>
      <c r="D18" s="82" t="s">
        <v>99</v>
      </c>
      <c r="E18" s="73"/>
      <c r="F18" s="73"/>
      <c r="G18" s="73"/>
      <c r="H18" s="73"/>
      <c r="I18" s="73"/>
      <c r="J18" s="73"/>
      <c r="K18" s="73"/>
      <c r="L18" s="73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</row>
    <row r="19" spans="1:29" ht="15.75">
      <c r="A19" s="73"/>
      <c r="B19" s="73"/>
      <c r="C19" s="73"/>
      <c r="D19" s="83" t="s">
        <v>100</v>
      </c>
      <c r="E19" s="73"/>
      <c r="F19" s="73"/>
      <c r="G19" s="73"/>
      <c r="H19" s="73"/>
      <c r="I19" s="73"/>
      <c r="J19" s="73"/>
      <c r="K19" s="73"/>
      <c r="L19" s="73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</row>
    <row r="20" spans="1:29" ht="15.75">
      <c r="A20" s="73"/>
      <c r="B20" s="73"/>
      <c r="C20" s="73"/>
      <c r="D20" s="84" t="s">
        <v>101</v>
      </c>
      <c r="E20" s="73"/>
      <c r="F20" s="73"/>
      <c r="G20" s="73"/>
      <c r="H20" s="73"/>
      <c r="I20" s="73"/>
      <c r="J20" s="73"/>
      <c r="K20" s="73"/>
      <c r="L20" s="73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</row>
    <row r="21" spans="1:29" ht="15">
      <c r="A21" s="73"/>
      <c r="B21" s="73"/>
      <c r="C21" s="73"/>
      <c r="D21" s="79"/>
      <c r="E21" s="73"/>
      <c r="F21" s="73"/>
      <c r="G21" s="73"/>
      <c r="H21" s="73"/>
      <c r="I21" s="73"/>
      <c r="J21" s="73"/>
      <c r="K21" s="73"/>
      <c r="L21" s="73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</row>
    <row r="22" spans="1:29">
      <c r="A22" s="73"/>
      <c r="B22" s="73"/>
      <c r="C22" s="73"/>
      <c r="D22" s="135" t="s">
        <v>173</v>
      </c>
      <c r="E22" s="73"/>
      <c r="F22" s="73"/>
      <c r="G22" s="73"/>
      <c r="H22" s="73"/>
      <c r="I22" s="73"/>
      <c r="J22" s="73"/>
      <c r="K22" s="73"/>
      <c r="L22" s="73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</row>
    <row r="23" spans="1:29">
      <c r="A23" s="73"/>
      <c r="B23" s="73"/>
      <c r="C23" s="73"/>
      <c r="D23" s="135" t="s">
        <v>174</v>
      </c>
      <c r="E23" s="73"/>
      <c r="F23" s="73"/>
      <c r="G23" s="73"/>
      <c r="H23" s="73"/>
      <c r="I23" s="73"/>
      <c r="J23" s="73"/>
      <c r="K23" s="73"/>
      <c r="L23" s="73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</row>
    <row r="24" spans="1:29">
      <c r="A24" s="73"/>
      <c r="B24" s="73"/>
      <c r="C24" s="73"/>
      <c r="D24" s="135" t="s">
        <v>209</v>
      </c>
      <c r="E24" s="73"/>
      <c r="F24" s="73"/>
      <c r="G24" s="73"/>
      <c r="H24" s="73"/>
      <c r="I24" s="73"/>
      <c r="J24" s="73"/>
      <c r="K24" s="73"/>
      <c r="L24" s="73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</row>
    <row r="25" spans="1:29">
      <c r="A25" s="73"/>
      <c r="B25" s="73"/>
      <c r="C25" s="73"/>
      <c r="D25" s="142" t="s">
        <v>210</v>
      </c>
      <c r="E25" s="73"/>
      <c r="F25" s="73"/>
      <c r="G25" s="73"/>
      <c r="H25" s="73"/>
      <c r="I25" s="73"/>
      <c r="J25" s="73"/>
      <c r="K25" s="73"/>
      <c r="L25" s="73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</row>
    <row r="26" spans="1:29">
      <c r="A26" s="73"/>
      <c r="B26" s="73"/>
      <c r="C26" s="73"/>
      <c r="D26" s="143" t="s">
        <v>211</v>
      </c>
      <c r="E26" s="73"/>
      <c r="F26" s="73"/>
      <c r="G26" s="73"/>
      <c r="H26" s="73"/>
      <c r="I26" s="73"/>
      <c r="J26" s="73"/>
      <c r="K26" s="73"/>
      <c r="L26" s="73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</row>
    <row r="27" spans="1:29">
      <c r="A27" s="73"/>
      <c r="B27" s="73"/>
      <c r="C27" s="73"/>
      <c r="D27" s="144" t="s">
        <v>212</v>
      </c>
      <c r="E27" s="73"/>
      <c r="F27" s="73"/>
      <c r="G27" s="73"/>
      <c r="H27" s="73"/>
      <c r="I27" s="73"/>
      <c r="J27" s="73"/>
      <c r="K27" s="73"/>
      <c r="L27" s="73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>
      <c r="A28" s="73"/>
      <c r="B28" s="73"/>
      <c r="C28" s="73"/>
      <c r="D28" s="144" t="s">
        <v>213</v>
      </c>
      <c r="E28" s="73"/>
      <c r="F28" s="73"/>
      <c r="G28" s="73"/>
      <c r="H28" s="73"/>
      <c r="I28" s="73"/>
      <c r="J28" s="73"/>
      <c r="K28" s="73"/>
      <c r="L28" s="73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</row>
    <row r="29" spans="1:29">
      <c r="A29" s="73"/>
      <c r="B29" s="73"/>
      <c r="C29" s="73"/>
      <c r="D29" s="145" t="s">
        <v>214</v>
      </c>
      <c r="E29" s="73"/>
      <c r="F29" s="73"/>
      <c r="G29" s="73"/>
      <c r="H29" s="73"/>
      <c r="I29" s="73"/>
      <c r="J29" s="73"/>
      <c r="K29" s="73"/>
      <c r="L29" s="73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</row>
    <row r="30" spans="1:29">
      <c r="A30" s="73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</row>
    <row r="31" spans="1:29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</row>
    <row r="32" spans="1:29">
      <c r="A32" s="73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</row>
    <row r="33" spans="1:29">
      <c r="A33" s="73"/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</row>
    <row r="34" spans="1:29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</row>
    <row r="35" spans="1:29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</row>
    <row r="36" spans="1:29">
      <c r="A36" s="73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</row>
    <row r="37" spans="1:29">
      <c r="A37" s="73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</row>
    <row r="38" spans="1:29">
      <c r="A38" s="73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</row>
    <row r="39" spans="1:29">
      <c r="A39" s="85"/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</row>
    <row r="40" spans="1:29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</row>
    <row r="41" spans="1:29">
      <c r="A41" s="85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</row>
    <row r="42" spans="1:29">
      <c r="A42" s="85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</row>
    <row r="43" spans="1:29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</row>
    <row r="44" spans="1:29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</row>
    <row r="45" spans="1:29">
      <c r="A45" s="85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</row>
    <row r="46" spans="1:29">
      <c r="A46" s="85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</row>
    <row r="47" spans="1:29">
      <c r="A47" s="85"/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</row>
    <row r="48" spans="1:29">
      <c r="A48" s="85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</row>
    <row r="49" spans="1:12">
      <c r="A49" s="85"/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</row>
    <row r="50" spans="1:12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</row>
    <row r="51" spans="1:12">
      <c r="A51" s="85"/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</row>
    <row r="52" spans="1:12">
      <c r="A52" s="85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</row>
    <row r="53" spans="1:12">
      <c r="A53" s="85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</row>
    <row r="54" spans="1:12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</row>
    <row r="55" spans="1:12">
      <c r="A55" s="85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</row>
    <row r="56" spans="1:12">
      <c r="A56" s="85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</row>
    <row r="57" spans="1:12">
      <c r="A57" s="85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</row>
    <row r="58" spans="1:12">
      <c r="A58" s="85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</row>
    <row r="59" spans="1:12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</row>
    <row r="60" spans="1:12">
      <c r="A60" s="85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</row>
    <row r="61" spans="1:12">
      <c r="A61" s="85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</row>
    <row r="62" spans="1:12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</row>
    <row r="63" spans="1:12">
      <c r="A63" s="85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</row>
    <row r="64" spans="1:12">
      <c r="A64" s="85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</row>
    <row r="65" spans="1:12">
      <c r="A65" s="85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</row>
    <row r="66" spans="1:12">
      <c r="A66" s="85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</row>
    <row r="67" spans="1:12">
      <c r="A67" s="85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</row>
    <row r="68" spans="1:12">
      <c r="A68" s="85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</row>
    <row r="69" spans="1:12">
      <c r="A69" s="85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</row>
    <row r="70" spans="1:12">
      <c r="A70" s="85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</row>
    <row r="71" spans="1:12">
      <c r="A71" s="85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</row>
    <row r="72" spans="1:12">
      <c r="A72" s="85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</row>
    <row r="73" spans="1:12">
      <c r="A73" s="85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</row>
    <row r="74" spans="1:12">
      <c r="A74" s="85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</row>
    <row r="75" spans="1:12">
      <c r="A75" s="85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</row>
    <row r="76" spans="1:12">
      <c r="A76" s="85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</row>
    <row r="77" spans="1:12">
      <c r="A77" s="85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</row>
    <row r="78" spans="1:12">
      <c r="A78" s="85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</row>
    <row r="79" spans="1:12">
      <c r="A79" s="85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</row>
    <row r="80" spans="1:12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</row>
    <row r="81" spans="1:12">
      <c r="A81" s="85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</row>
    <row r="82" spans="1:12">
      <c r="A82" s="85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</row>
    <row r="83" spans="1:12">
      <c r="A83" s="85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</row>
    <row r="84" spans="1:12">
      <c r="A84" s="85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</row>
    <row r="85" spans="1:12">
      <c r="A85" s="85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</row>
    <row r="86" spans="1:12">
      <c r="A86" s="85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</row>
    <row r="87" spans="1:12">
      <c r="A87" s="85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</row>
    <row r="88" spans="1:12">
      <c r="A88" s="85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</row>
    <row r="89" spans="1:12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</row>
    <row r="90" spans="1:12">
      <c r="A90" s="85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</row>
    <row r="91" spans="1:12">
      <c r="A91" s="85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</row>
    <row r="92" spans="1:12">
      <c r="A92" s="85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</row>
    <row r="93" spans="1:12">
      <c r="A93" s="85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</row>
    <row r="94" spans="1:12">
      <c r="A94" s="85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</row>
    <row r="95" spans="1:12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</row>
    <row r="96" spans="1:12">
      <c r="A96" s="85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</row>
    <row r="97" spans="1:12">
      <c r="A97" s="85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</row>
    <row r="98" spans="1:12">
      <c r="A98" s="85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</row>
    <row r="99" spans="1:12">
      <c r="A99" s="85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</row>
    <row r="100" spans="1:12">
      <c r="A100" s="85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</row>
    <row r="101" spans="1:12">
      <c r="A101" s="85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</row>
    <row r="102" spans="1:12">
      <c r="A102" s="85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</row>
    <row r="103" spans="1:12">
      <c r="A103" s="85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</row>
    <row r="104" spans="1:12">
      <c r="A104" s="85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2112111"/>
  <dimension ref="B1:E16"/>
  <sheetViews>
    <sheetView workbookViewId="0"/>
  </sheetViews>
  <sheetFormatPr defaultRowHeight="12.75"/>
  <cols>
    <col min="2" max="2" width="3.140625" customWidth="1"/>
    <col min="3" max="3" width="22.7109375" customWidth="1"/>
    <col min="4" max="4" width="12.85546875" customWidth="1"/>
    <col min="5" max="5" width="3.140625" customWidth="1"/>
  </cols>
  <sheetData>
    <row r="1" spans="2:5" ht="18">
      <c r="C1" s="1" t="s">
        <v>215</v>
      </c>
    </row>
    <row r="2" spans="2:5" ht="15">
      <c r="C2" s="2" t="s">
        <v>20</v>
      </c>
    </row>
    <row r="4" spans="2:5" ht="15">
      <c r="C4" s="3" t="s">
        <v>1</v>
      </c>
      <c r="D4" s="2"/>
      <c r="E4" s="2"/>
    </row>
    <row r="5" spans="2:5" s="2" customFormat="1" ht="15.75" thickBot="1">
      <c r="C5" s="4"/>
      <c r="D5" s="5"/>
    </row>
    <row r="6" spans="2:5" s="2" customFormat="1" ht="15">
      <c r="B6" s="21"/>
      <c r="C6" s="6"/>
      <c r="D6" s="7"/>
      <c r="E6" s="8"/>
    </row>
    <row r="7" spans="2:5" s="2" customFormat="1" ht="15">
      <c r="B7" s="22"/>
      <c r="C7" s="9" t="s">
        <v>26</v>
      </c>
      <c r="D7" s="88">
        <v>0.14000000000000001</v>
      </c>
      <c r="E7" s="10"/>
    </row>
    <row r="8" spans="2:5" s="2" customFormat="1" ht="15">
      <c r="B8" s="22"/>
      <c r="C8" s="9" t="s">
        <v>27</v>
      </c>
      <c r="D8" s="91">
        <v>0.1</v>
      </c>
      <c r="E8" s="10"/>
    </row>
    <row r="9" spans="2:5" s="2" customFormat="1" ht="15" customHeight="1" thickBot="1">
      <c r="B9" s="23"/>
      <c r="C9" s="11"/>
      <c r="D9" s="11"/>
      <c r="E9" s="12"/>
    </row>
    <row r="10" spans="2:5" s="2" customFormat="1" ht="15"/>
    <row r="11" spans="2:5" s="2" customFormat="1" ht="15">
      <c r="C11" s="3" t="s">
        <v>2</v>
      </c>
    </row>
    <row r="12" spans="2:5" s="2" customFormat="1" ht="15.75" thickBot="1">
      <c r="C12" s="4"/>
    </row>
    <row r="13" spans="2:5" s="2" customFormat="1" ht="15">
      <c r="B13" s="24"/>
      <c r="C13" s="13"/>
      <c r="D13" s="13"/>
      <c r="E13" s="25"/>
    </row>
    <row r="14" spans="2:5" s="2" customFormat="1" ht="15.75">
      <c r="B14" s="19"/>
      <c r="C14" s="14" t="s">
        <v>22</v>
      </c>
      <c r="D14" s="31">
        <f>(D7+1)/(1+D8)-1</f>
        <v>3.6363636363636376E-2</v>
      </c>
      <c r="E14" s="30"/>
    </row>
    <row r="15" spans="2:5" s="2" customFormat="1" ht="15" customHeight="1" thickBot="1">
      <c r="B15" s="26"/>
      <c r="C15" s="27"/>
      <c r="D15" s="27"/>
      <c r="E15" s="28"/>
    </row>
    <row r="16" spans="2:5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21121111"/>
  <dimension ref="B1:E16"/>
  <sheetViews>
    <sheetView workbookViewId="0"/>
  </sheetViews>
  <sheetFormatPr defaultRowHeight="12.75"/>
  <cols>
    <col min="2" max="2" width="3.140625" customWidth="1"/>
    <col min="3" max="3" width="22.7109375" customWidth="1"/>
    <col min="4" max="4" width="12.85546875" customWidth="1"/>
    <col min="5" max="5" width="3.140625" customWidth="1"/>
  </cols>
  <sheetData>
    <row r="1" spans="2:5" ht="18">
      <c r="C1" s="1" t="s">
        <v>215</v>
      </c>
    </row>
    <row r="2" spans="2:5" ht="15">
      <c r="C2" s="2" t="s">
        <v>24</v>
      </c>
    </row>
    <row r="4" spans="2:5" ht="15">
      <c r="C4" s="3" t="s">
        <v>1</v>
      </c>
      <c r="D4" s="2"/>
      <c r="E4" s="2"/>
    </row>
    <row r="5" spans="2:5" s="2" customFormat="1" ht="15.75" thickBot="1">
      <c r="C5" s="4"/>
      <c r="D5" s="5"/>
    </row>
    <row r="6" spans="2:5" s="2" customFormat="1" ht="15">
      <c r="B6" s="21"/>
      <c r="C6" s="6"/>
      <c r="D6" s="7"/>
      <c r="E6" s="8"/>
    </row>
    <row r="7" spans="2:5" s="2" customFormat="1" ht="15">
      <c r="B7" s="22"/>
      <c r="C7" s="9" t="s">
        <v>29</v>
      </c>
      <c r="D7" s="93">
        <v>0.125</v>
      </c>
      <c r="E7" s="10"/>
    </row>
    <row r="8" spans="2:5" s="2" customFormat="1" ht="15">
      <c r="B8" s="22"/>
      <c r="C8" s="9" t="s">
        <v>22</v>
      </c>
      <c r="D8" s="93">
        <v>5.2999999999999999E-2</v>
      </c>
      <c r="E8" s="10"/>
    </row>
    <row r="9" spans="2:5" s="2" customFormat="1" ht="15" customHeight="1" thickBot="1">
      <c r="B9" s="23"/>
      <c r="C9" s="11"/>
      <c r="D9" s="11"/>
      <c r="E9" s="12"/>
    </row>
    <row r="10" spans="2:5" s="2" customFormat="1" ht="15"/>
    <row r="11" spans="2:5" s="2" customFormat="1" ht="15">
      <c r="C11" s="3" t="s">
        <v>2</v>
      </c>
    </row>
    <row r="12" spans="2:5" s="2" customFormat="1" ht="15.75" thickBot="1">
      <c r="C12" s="4"/>
    </row>
    <row r="13" spans="2:5" s="2" customFormat="1" ht="15">
      <c r="B13" s="24"/>
      <c r="C13" s="13"/>
      <c r="D13" s="13"/>
      <c r="E13" s="25"/>
    </row>
    <row r="14" spans="2:5" s="2" customFormat="1" ht="15.75">
      <c r="B14" s="19"/>
      <c r="C14" s="14" t="s">
        <v>27</v>
      </c>
      <c r="D14" s="31">
        <f>(D7+1)/(1+D8)-1</f>
        <v>6.8376068376068355E-2</v>
      </c>
      <c r="E14" s="30"/>
    </row>
    <row r="15" spans="2:5" s="2" customFormat="1" ht="15" customHeight="1" thickBot="1">
      <c r="B15" s="26"/>
      <c r="C15" s="27"/>
      <c r="D15" s="27"/>
      <c r="E15" s="28"/>
    </row>
    <row r="16" spans="2:5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211211111"/>
  <dimension ref="B1:E22"/>
  <sheetViews>
    <sheetView workbookViewId="0"/>
  </sheetViews>
  <sheetFormatPr defaultRowHeight="12.75"/>
  <cols>
    <col min="2" max="2" width="3.140625" customWidth="1"/>
    <col min="3" max="3" width="22.7109375" customWidth="1"/>
    <col min="4" max="4" width="16.85546875" bestFit="1" customWidth="1"/>
    <col min="5" max="5" width="3.140625" customWidth="1"/>
  </cols>
  <sheetData>
    <row r="1" spans="2:5" ht="18">
      <c r="C1" s="1" t="s">
        <v>215</v>
      </c>
    </row>
    <row r="2" spans="2:5" ht="15">
      <c r="C2" s="2" t="s">
        <v>25</v>
      </c>
    </row>
    <row r="4" spans="2:5" ht="15">
      <c r="C4" s="3" t="s">
        <v>1</v>
      </c>
      <c r="D4" s="2"/>
      <c r="E4" s="2"/>
    </row>
    <row r="5" spans="2:5" s="2" customFormat="1" ht="15.75" thickBot="1">
      <c r="C5" s="4"/>
      <c r="D5" s="5"/>
    </row>
    <row r="6" spans="2:5" s="2" customFormat="1" ht="15">
      <c r="B6" s="21"/>
      <c r="C6" s="6"/>
      <c r="D6" s="7"/>
      <c r="E6" s="8"/>
    </row>
    <row r="7" spans="2:5" s="2" customFormat="1" ht="15">
      <c r="B7" s="22"/>
      <c r="C7" s="9" t="s">
        <v>31</v>
      </c>
      <c r="D7" s="219">
        <v>109.40625</v>
      </c>
      <c r="E7" s="10"/>
    </row>
    <row r="8" spans="2:5" s="2" customFormat="1" ht="15">
      <c r="B8" s="22"/>
      <c r="C8" s="9" t="s">
        <v>32</v>
      </c>
      <c r="D8" s="219">
        <v>-0.34375</v>
      </c>
      <c r="E8" s="10"/>
    </row>
    <row r="9" spans="2:5" s="2" customFormat="1" ht="15">
      <c r="B9" s="22"/>
      <c r="C9" s="9" t="s">
        <v>5</v>
      </c>
      <c r="D9" s="99">
        <v>4.7500000000000001E-2</v>
      </c>
      <c r="E9" s="10"/>
    </row>
    <row r="10" spans="2:5" s="2" customFormat="1" ht="15">
      <c r="B10" s="22"/>
      <c r="C10" s="9" t="s">
        <v>33</v>
      </c>
      <c r="D10" s="220">
        <v>109.34375</v>
      </c>
      <c r="E10" s="10"/>
    </row>
    <row r="11" spans="2:5" s="2" customFormat="1" ht="15" customHeight="1" thickBot="1">
      <c r="B11" s="23"/>
      <c r="C11" s="11"/>
      <c r="D11" s="11"/>
      <c r="E11" s="12"/>
    </row>
    <row r="12" spans="2:5" s="2" customFormat="1" ht="15"/>
    <row r="13" spans="2:5" s="2" customFormat="1" ht="15">
      <c r="C13" s="3" t="s">
        <v>2</v>
      </c>
    </row>
    <row r="14" spans="2:5" s="2" customFormat="1" ht="15.75" thickBot="1">
      <c r="C14" s="4"/>
    </row>
    <row r="15" spans="2:5" s="2" customFormat="1" ht="15">
      <c r="B15" s="24"/>
      <c r="C15" s="13"/>
      <c r="D15" s="13"/>
      <c r="E15" s="25"/>
    </row>
    <row r="16" spans="2:5" s="2" customFormat="1" ht="15.75">
      <c r="B16" s="19"/>
      <c r="C16" s="16" t="s">
        <v>33</v>
      </c>
      <c r="D16" s="141">
        <f>D10*10</f>
        <v>1093.4375</v>
      </c>
      <c r="E16" s="20"/>
    </row>
    <row r="17" spans="2:5" s="2" customFormat="1" ht="15">
      <c r="B17" s="19"/>
      <c r="C17" s="16"/>
      <c r="D17" s="16"/>
      <c r="E17" s="20"/>
    </row>
    <row r="18" spans="2:5" s="2" customFormat="1" ht="15.75">
      <c r="B18" s="19"/>
      <c r="C18" s="14" t="s">
        <v>176</v>
      </c>
      <c r="D18" s="221">
        <f>D7-D8</f>
        <v>109.75</v>
      </c>
      <c r="E18" s="20"/>
    </row>
    <row r="19" spans="2:5" s="2" customFormat="1" ht="15.75">
      <c r="B19" s="19"/>
      <c r="C19" s="14" t="s">
        <v>176</v>
      </c>
      <c r="D19" s="141">
        <f>(D7-D8)*10</f>
        <v>1097.5</v>
      </c>
      <c r="E19" s="30"/>
    </row>
    <row r="20" spans="2:5" s="2" customFormat="1" ht="15" customHeight="1" thickBot="1">
      <c r="B20" s="26"/>
      <c r="C20" s="27"/>
      <c r="D20" s="27"/>
      <c r="E20" s="28"/>
    </row>
    <row r="21" spans="2:5" s="2" customFormat="1" ht="15"/>
    <row r="22" spans="2:5" ht="15" customHeight="1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12112111111"/>
  <dimension ref="B1:E27"/>
  <sheetViews>
    <sheetView workbookViewId="0"/>
  </sheetViews>
  <sheetFormatPr defaultRowHeight="12.75"/>
  <cols>
    <col min="2" max="2" width="3.140625" customWidth="1"/>
    <col min="3" max="3" width="22.7109375" customWidth="1"/>
    <col min="4" max="4" width="17.42578125" customWidth="1"/>
    <col min="5" max="5" width="3.140625" customWidth="1"/>
  </cols>
  <sheetData>
    <row r="1" spans="2:5" ht="18">
      <c r="C1" s="1" t="s">
        <v>215</v>
      </c>
    </row>
    <row r="2" spans="2:5" ht="15">
      <c r="C2" s="2" t="s">
        <v>28</v>
      </c>
    </row>
    <row r="4" spans="2:5" ht="15">
      <c r="C4" s="3" t="s">
        <v>1</v>
      </c>
      <c r="D4" s="2"/>
      <c r="E4" s="2"/>
    </row>
    <row r="5" spans="2:5" s="2" customFormat="1" ht="15.75" thickBot="1">
      <c r="C5" s="4"/>
      <c r="D5" s="5"/>
    </row>
    <row r="6" spans="2:5" s="2" customFormat="1" ht="15">
      <c r="B6" s="21"/>
      <c r="C6" s="6"/>
      <c r="D6" s="7"/>
      <c r="E6" s="8"/>
    </row>
    <row r="7" spans="2:5" s="2" customFormat="1" ht="15">
      <c r="B7" s="22"/>
      <c r="C7" s="9" t="s">
        <v>31</v>
      </c>
      <c r="D7" s="220">
        <v>102.375</v>
      </c>
      <c r="E7" s="10"/>
    </row>
    <row r="8" spans="2:5" s="2" customFormat="1" ht="15">
      <c r="B8" s="22"/>
      <c r="C8" s="9" t="s">
        <v>32</v>
      </c>
      <c r="D8" s="219">
        <v>-0.34375</v>
      </c>
      <c r="E8" s="10"/>
    </row>
    <row r="9" spans="2:5" s="2" customFormat="1" ht="15">
      <c r="B9" s="22"/>
      <c r="C9" s="9" t="s">
        <v>5</v>
      </c>
      <c r="D9" s="99">
        <v>4.3749999999999997E-2</v>
      </c>
      <c r="E9" s="10"/>
    </row>
    <row r="10" spans="2:5" s="2" customFormat="1" ht="15">
      <c r="B10" s="22"/>
      <c r="C10" s="9" t="s">
        <v>33</v>
      </c>
      <c r="D10" s="220">
        <v>102.34375</v>
      </c>
      <c r="E10" s="10"/>
    </row>
    <row r="11" spans="2:5" s="2" customFormat="1" ht="15">
      <c r="B11" s="22"/>
      <c r="C11" s="9" t="s">
        <v>35</v>
      </c>
      <c r="D11" s="146">
        <v>4.2306000000000003E-2</v>
      </c>
      <c r="E11" s="10"/>
    </row>
    <row r="12" spans="2:5" s="2" customFormat="1" ht="15" customHeight="1" thickBot="1">
      <c r="B12" s="23"/>
      <c r="C12" s="11"/>
      <c r="D12" s="11"/>
      <c r="E12" s="12"/>
    </row>
    <row r="13" spans="2:5" s="2" customFormat="1" ht="15"/>
    <row r="14" spans="2:5" s="2" customFormat="1" ht="15">
      <c r="C14" s="3" t="s">
        <v>2</v>
      </c>
    </row>
    <row r="15" spans="2:5" s="2" customFormat="1" ht="15.75" thickBot="1">
      <c r="C15" s="4"/>
    </row>
    <row r="16" spans="2:5" s="2" customFormat="1" ht="15">
      <c r="B16" s="24"/>
      <c r="C16" s="13"/>
      <c r="D16" s="13"/>
      <c r="E16" s="25"/>
    </row>
    <row r="17" spans="2:5" s="2" customFormat="1" ht="15">
      <c r="B17" s="19"/>
      <c r="C17" s="16" t="s">
        <v>105</v>
      </c>
      <c r="D17" s="94" t="str">
        <f>IF(D7&gt;100,"premium","discount")</f>
        <v>premium</v>
      </c>
      <c r="E17" s="20"/>
    </row>
    <row r="18" spans="2:5" s="2" customFormat="1" ht="15">
      <c r="B18" s="19"/>
      <c r="C18" s="16"/>
      <c r="D18" s="16"/>
      <c r="E18" s="20"/>
    </row>
    <row r="19" spans="2:5" s="2" customFormat="1" ht="15">
      <c r="B19" s="19"/>
      <c r="C19" s="16" t="s">
        <v>253</v>
      </c>
      <c r="D19" s="223">
        <f>D7*10</f>
        <v>1023.75</v>
      </c>
      <c r="E19" s="20"/>
    </row>
    <row r="20" spans="2:5" s="2" customFormat="1" ht="15">
      <c r="B20" s="19"/>
      <c r="C20" s="16"/>
      <c r="D20" s="16"/>
      <c r="E20" s="20"/>
    </row>
    <row r="21" spans="2:5" s="2" customFormat="1" ht="15.75">
      <c r="B21" s="19"/>
      <c r="C21" s="14" t="s">
        <v>57</v>
      </c>
      <c r="D21" s="147">
        <f>(D9*1000)/D19</f>
        <v>4.2735042735042736E-2</v>
      </c>
      <c r="E21" s="30"/>
    </row>
    <row r="22" spans="2:5" s="2" customFormat="1" ht="15.75">
      <c r="B22" s="19"/>
      <c r="C22" s="14"/>
      <c r="D22" s="33"/>
      <c r="E22" s="30"/>
    </row>
    <row r="23" spans="2:5" s="2" customFormat="1" ht="15.75">
      <c r="B23" s="19"/>
      <c r="C23" s="14" t="s">
        <v>177</v>
      </c>
      <c r="D23" s="147">
        <f>D11</f>
        <v>4.2306000000000003E-2</v>
      </c>
      <c r="E23" s="30"/>
    </row>
    <row r="24" spans="2:5" s="2" customFormat="1" ht="15.75">
      <c r="B24" s="19"/>
      <c r="C24" s="14"/>
      <c r="D24" s="33"/>
      <c r="E24" s="30"/>
    </row>
    <row r="25" spans="2:5" s="2" customFormat="1" ht="15.75">
      <c r="B25" s="19"/>
      <c r="C25" s="14" t="s">
        <v>178</v>
      </c>
      <c r="D25" s="222">
        <f>D7-D10</f>
        <v>3.125E-2</v>
      </c>
      <c r="E25" s="30"/>
    </row>
    <row r="26" spans="2:5" s="2" customFormat="1" ht="15" customHeight="1" thickBot="1">
      <c r="B26" s="26"/>
      <c r="C26" s="27"/>
      <c r="D26" s="27"/>
      <c r="E26" s="28"/>
    </row>
    <row r="27" spans="2:5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B1:E20"/>
  <sheetViews>
    <sheetView workbookViewId="0"/>
  </sheetViews>
  <sheetFormatPr defaultRowHeight="12.75"/>
  <cols>
    <col min="1" max="1" width="9.140625" style="188"/>
    <col min="2" max="2" width="3.140625" style="188" customWidth="1"/>
    <col min="3" max="3" width="39.7109375" style="188" bestFit="1" customWidth="1"/>
    <col min="4" max="4" width="17.28515625" style="188" bestFit="1" customWidth="1"/>
    <col min="5" max="5" width="3.140625" style="188" customWidth="1"/>
    <col min="6" max="16384" width="9.140625" style="188"/>
  </cols>
  <sheetData>
    <row r="1" spans="2:5" s="189" customFormat="1" ht="18">
      <c r="C1" s="217" t="s">
        <v>215</v>
      </c>
    </row>
    <row r="2" spans="2:5" s="189" customFormat="1" ht="15">
      <c r="C2" s="189" t="s">
        <v>30</v>
      </c>
    </row>
    <row r="3" spans="2:5" s="189" customFormat="1" ht="15"/>
    <row r="4" spans="2:5" s="189" customFormat="1" ht="15">
      <c r="C4" s="204" t="s">
        <v>1</v>
      </c>
    </row>
    <row r="5" spans="2:5" s="189" customFormat="1" ht="15.75" thickBot="1">
      <c r="C5" s="203"/>
      <c r="D5" s="216"/>
    </row>
    <row r="6" spans="2:5" s="189" customFormat="1" ht="15">
      <c r="B6" s="215"/>
      <c r="C6" s="214"/>
      <c r="D6" s="213"/>
      <c r="E6" s="212"/>
    </row>
    <row r="7" spans="2:5" s="189" customFormat="1" ht="15">
      <c r="B7" s="210"/>
      <c r="C7" s="209" t="s">
        <v>96</v>
      </c>
      <c r="D7" s="211">
        <v>1000</v>
      </c>
      <c r="E7" s="208"/>
    </row>
    <row r="8" spans="2:5" s="189" customFormat="1" ht="15">
      <c r="B8" s="210"/>
      <c r="C8" s="209" t="s">
        <v>252</v>
      </c>
      <c r="D8" s="91">
        <v>7.0000000000000007E-2</v>
      </c>
      <c r="E8" s="208"/>
    </row>
    <row r="9" spans="2:5" s="189" customFormat="1" ht="15">
      <c r="B9" s="210"/>
      <c r="C9" s="209" t="s">
        <v>64</v>
      </c>
      <c r="D9" s="103">
        <v>25</v>
      </c>
      <c r="E9" s="208"/>
    </row>
    <row r="10" spans="2:5" s="189" customFormat="1" ht="15" customHeight="1" thickBot="1">
      <c r="B10" s="207"/>
      <c r="C10" s="206"/>
      <c r="D10" s="206"/>
      <c r="E10" s="205"/>
    </row>
    <row r="11" spans="2:5" s="189" customFormat="1" ht="15"/>
    <row r="12" spans="2:5" s="189" customFormat="1" ht="15">
      <c r="C12" s="204" t="s">
        <v>2</v>
      </c>
    </row>
    <row r="13" spans="2:5" s="189" customFormat="1" ht="15.75" thickBot="1">
      <c r="C13" s="203"/>
    </row>
    <row r="14" spans="2:5" s="189" customFormat="1" ht="15">
      <c r="B14" s="202"/>
      <c r="C14" s="201"/>
      <c r="D14" s="201"/>
      <c r="E14" s="200"/>
    </row>
    <row r="15" spans="2:5" s="189" customFormat="1" ht="15">
      <c r="B15" s="196"/>
      <c r="C15" s="195" t="s">
        <v>251</v>
      </c>
      <c r="D15" s="199">
        <f>PV(D8/2,D9*2,,-D7)</f>
        <v>179.05337452825603</v>
      </c>
      <c r="E15" s="193"/>
    </row>
    <row r="16" spans="2:5" s="189" customFormat="1" ht="15">
      <c r="B16" s="196"/>
      <c r="C16" s="195" t="s">
        <v>250</v>
      </c>
      <c r="D16" s="198">
        <f>PV(D8/2,(D9-1)*2,,-D7)</f>
        <v>191.80645112903102</v>
      </c>
      <c r="E16" s="193"/>
    </row>
    <row r="17" spans="2:5" s="189" customFormat="1" ht="15">
      <c r="B17" s="196"/>
      <c r="C17" s="195"/>
      <c r="D17" s="197"/>
      <c r="E17" s="193"/>
    </row>
    <row r="18" spans="2:5" s="189" customFormat="1" ht="15.75">
      <c r="B18" s="196"/>
      <c r="C18" s="195" t="s">
        <v>249</v>
      </c>
      <c r="D18" s="194">
        <f>D16-D15</f>
        <v>12.753076600774989</v>
      </c>
      <c r="E18" s="193"/>
    </row>
    <row r="19" spans="2:5" s="189" customFormat="1" ht="15" customHeight="1" thickBot="1">
      <c r="B19" s="192"/>
      <c r="C19" s="191"/>
      <c r="D19" s="191"/>
      <c r="E19" s="190"/>
    </row>
    <row r="20" spans="2:5" s="189" customFormat="1" ht="15"/>
  </sheetData>
  <phoneticPr fontId="25" type="noConversion"/>
  <pageMargins left="0.75" right="0.75" top="1" bottom="1" header="0.5" footer="0.5"/>
  <pageSetup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21121111111"/>
  <dimension ref="B1:E56"/>
  <sheetViews>
    <sheetView workbookViewId="0"/>
  </sheetViews>
  <sheetFormatPr defaultRowHeight="12.75"/>
  <cols>
    <col min="2" max="2" width="3.140625" customWidth="1"/>
    <col min="3" max="3" width="26.140625" customWidth="1"/>
    <col min="4" max="4" width="20.42578125" customWidth="1"/>
    <col min="5" max="5" width="3.140625" customWidth="1"/>
  </cols>
  <sheetData>
    <row r="1" spans="2:5" ht="18">
      <c r="C1" s="1" t="s">
        <v>215</v>
      </c>
    </row>
    <row r="2" spans="2:5" ht="15">
      <c r="C2" s="2" t="s">
        <v>34</v>
      </c>
    </row>
    <row r="4" spans="2:5" ht="15">
      <c r="C4" s="3" t="s">
        <v>1</v>
      </c>
      <c r="D4" s="2"/>
      <c r="E4" s="2"/>
    </row>
    <row r="5" spans="2:5" s="2" customFormat="1" ht="15.75" thickBot="1">
      <c r="C5" s="4"/>
      <c r="D5" s="5"/>
    </row>
    <row r="6" spans="2:5" s="2" customFormat="1" ht="15">
      <c r="B6" s="21"/>
      <c r="C6" s="6"/>
      <c r="D6" s="7"/>
      <c r="E6" s="8"/>
    </row>
    <row r="7" spans="2:5" s="2" customFormat="1" ht="15">
      <c r="B7" s="22"/>
      <c r="C7" s="9" t="s">
        <v>8</v>
      </c>
      <c r="D7" s="95">
        <v>36526</v>
      </c>
      <c r="E7" s="10"/>
    </row>
    <row r="8" spans="2:5" s="2" customFormat="1" ht="15">
      <c r="B8" s="22"/>
      <c r="C8" s="9" t="s">
        <v>9</v>
      </c>
      <c r="D8" s="95">
        <v>41275</v>
      </c>
      <c r="E8" s="10"/>
    </row>
    <row r="9" spans="2:5" s="2" customFormat="1" ht="15">
      <c r="B9" s="22"/>
      <c r="C9" s="9" t="s">
        <v>9</v>
      </c>
      <c r="D9" s="95">
        <v>40909</v>
      </c>
      <c r="E9" s="10"/>
    </row>
    <row r="10" spans="2:5" s="2" customFormat="1" ht="15">
      <c r="B10" s="22"/>
      <c r="C10" s="9" t="s">
        <v>9</v>
      </c>
      <c r="D10" s="95">
        <v>40179</v>
      </c>
      <c r="E10" s="10"/>
    </row>
    <row r="11" spans="2:5" s="2" customFormat="1" ht="15">
      <c r="B11" s="22"/>
      <c r="C11" s="9" t="s">
        <v>9</v>
      </c>
      <c r="D11" s="95">
        <v>38353</v>
      </c>
      <c r="E11" s="10"/>
    </row>
    <row r="12" spans="2:5" s="2" customFormat="1" ht="15">
      <c r="B12" s="22"/>
      <c r="C12" s="9" t="s">
        <v>9</v>
      </c>
      <c r="D12" s="95">
        <v>36892</v>
      </c>
      <c r="E12" s="10"/>
    </row>
    <row r="13" spans="2:5" s="2" customFormat="1" ht="15">
      <c r="B13" s="22"/>
      <c r="C13" s="34"/>
      <c r="D13" s="92"/>
      <c r="E13" s="10"/>
    </row>
    <row r="14" spans="2:5" s="2" customFormat="1" ht="15">
      <c r="B14" s="22"/>
      <c r="C14" s="34" t="s">
        <v>162</v>
      </c>
      <c r="D14" s="92"/>
      <c r="E14" s="10"/>
    </row>
    <row r="15" spans="2:5" s="2" customFormat="1" ht="15">
      <c r="B15" s="22"/>
      <c r="C15" s="9" t="s">
        <v>5</v>
      </c>
      <c r="D15" s="91">
        <v>0.08</v>
      </c>
      <c r="E15" s="10"/>
    </row>
    <row r="16" spans="2:5" s="2" customFormat="1" ht="15">
      <c r="B16" s="22"/>
      <c r="C16" s="9" t="s">
        <v>6</v>
      </c>
      <c r="D16" s="91">
        <v>0.06</v>
      </c>
      <c r="E16" s="10"/>
    </row>
    <row r="17" spans="2:5" s="2" customFormat="1" ht="15">
      <c r="B17" s="22"/>
      <c r="C17" s="9" t="s">
        <v>12</v>
      </c>
      <c r="D17" s="96">
        <v>100</v>
      </c>
      <c r="E17" s="10"/>
    </row>
    <row r="18" spans="2:5" s="2" customFormat="1" ht="15">
      <c r="B18" s="22"/>
      <c r="C18" s="9" t="s">
        <v>37</v>
      </c>
      <c r="D18" s="96">
        <v>2</v>
      </c>
      <c r="E18" s="10"/>
    </row>
    <row r="19" spans="2:5" s="2" customFormat="1" ht="15">
      <c r="B19" s="22"/>
      <c r="C19" s="9"/>
      <c r="D19" s="93"/>
      <c r="E19" s="10"/>
    </row>
    <row r="20" spans="2:5" s="2" customFormat="1" ht="15">
      <c r="B20" s="22"/>
      <c r="C20" s="34" t="s">
        <v>163</v>
      </c>
      <c r="D20" s="93"/>
      <c r="E20" s="10"/>
    </row>
    <row r="21" spans="2:5" s="2" customFormat="1" ht="15">
      <c r="B21" s="22"/>
      <c r="C21" s="9" t="s">
        <v>5</v>
      </c>
      <c r="D21" s="91">
        <v>0.06</v>
      </c>
      <c r="E21" s="10"/>
    </row>
    <row r="22" spans="2:5" s="2" customFormat="1" ht="15">
      <c r="B22" s="22"/>
      <c r="C22" s="9" t="s">
        <v>6</v>
      </c>
      <c r="D22" s="88">
        <v>0.08</v>
      </c>
      <c r="E22" s="10"/>
    </row>
    <row r="23" spans="2:5" s="2" customFormat="1" ht="15">
      <c r="B23" s="22"/>
      <c r="C23" s="9" t="s">
        <v>12</v>
      </c>
      <c r="D23" s="96">
        <v>100</v>
      </c>
      <c r="E23" s="10"/>
    </row>
    <row r="24" spans="2:5" s="2" customFormat="1" ht="15">
      <c r="B24" s="22"/>
      <c r="C24" s="9" t="s">
        <v>37</v>
      </c>
      <c r="D24" s="96">
        <v>2</v>
      </c>
      <c r="E24" s="10"/>
    </row>
    <row r="25" spans="2:5" s="2" customFormat="1" ht="15" customHeight="1" thickBot="1">
      <c r="B25" s="23"/>
      <c r="C25" s="11"/>
      <c r="D25" s="35"/>
      <c r="E25" s="12"/>
    </row>
    <row r="26" spans="2:5" s="2" customFormat="1" ht="15"/>
    <row r="27" spans="2:5" s="2" customFormat="1" ht="15">
      <c r="C27" s="3" t="s">
        <v>2</v>
      </c>
    </row>
    <row r="28" spans="2:5" s="2" customFormat="1" ht="15.75" thickBot="1">
      <c r="C28" s="4"/>
    </row>
    <row r="29" spans="2:5" s="2" customFormat="1" ht="15">
      <c r="B29" s="24"/>
      <c r="C29" s="13"/>
      <c r="D29" s="13"/>
      <c r="E29" s="25"/>
    </row>
    <row r="30" spans="2:5" s="2" customFormat="1" ht="15">
      <c r="B30" s="19"/>
      <c r="C30" s="50" t="s">
        <v>164</v>
      </c>
      <c r="D30" s="225"/>
      <c r="E30" s="20"/>
    </row>
    <row r="31" spans="2:5" s="2" customFormat="1" ht="15.75">
      <c r="B31" s="19"/>
      <c r="C31" s="16"/>
      <c r="D31" s="224"/>
      <c r="E31" s="20"/>
    </row>
    <row r="32" spans="2:5" s="2" customFormat="1" ht="15.75">
      <c r="B32" s="19"/>
      <c r="C32" s="16" t="str">
        <f>ROUND((D8-$D$7)/365,0)&amp; " years to maturity"</f>
        <v>13 years to maturity</v>
      </c>
      <c r="D32" s="29">
        <f>10*PRICE($D$7,D8,$D$15,$D$16,$D$17,$D$18)</f>
        <v>1178.7684241871652</v>
      </c>
      <c r="E32" s="20"/>
    </row>
    <row r="33" spans="2:5" s="2" customFormat="1" ht="15.75">
      <c r="B33" s="19"/>
      <c r="C33" s="16" t="str">
        <f>ROUND((D9-$D$7)/365,0)&amp; " years to maturity"</f>
        <v>12 years to maturity</v>
      </c>
      <c r="D33" s="29">
        <f>10*PRICE($D$7,D9,$D$15,$D$16,$D$17,$D$18)</f>
        <v>1169.3554212201639</v>
      </c>
      <c r="E33" s="20"/>
    </row>
    <row r="34" spans="2:5" s="2" customFormat="1" ht="15.75">
      <c r="B34" s="19"/>
      <c r="C34" s="16" t="str">
        <f>ROUND((D10-$D$7)/365,0)&amp; " years to maturity"</f>
        <v>10 years to maturity</v>
      </c>
      <c r="D34" s="29">
        <f>10*PRICE($D$7,D10,$D$15,$D$16,$D$17,$D$18)</f>
        <v>1148.7747486045553</v>
      </c>
      <c r="E34" s="20"/>
    </row>
    <row r="35" spans="2:5" s="2" customFormat="1" ht="15.75">
      <c r="B35" s="19"/>
      <c r="C35" s="16" t="str">
        <f>ROUND((D11-$D$7)/365,0)&amp; " years to maturity"</f>
        <v>5 years to maturity</v>
      </c>
      <c r="D35" s="29">
        <f>10*PRICE($D$7,D11,$D$15,$D$16,$D$17,$D$18)</f>
        <v>1085.3020283677583</v>
      </c>
      <c r="E35" s="20"/>
    </row>
    <row r="36" spans="2:5" s="2" customFormat="1" ht="15.75">
      <c r="B36" s="19"/>
      <c r="C36" s="16" t="str">
        <f>ROUND((D12-$D$7)/365,0)&amp; " years to maturity"</f>
        <v>1 years to maturity</v>
      </c>
      <c r="D36" s="29">
        <f>10*PRICE($D$7,D12,$D$15,$D$16,$D$17,$D$18)</f>
        <v>1019.1346969554152</v>
      </c>
      <c r="E36" s="20"/>
    </row>
    <row r="37" spans="2:5" s="2" customFormat="1" ht="15.75">
      <c r="B37" s="19"/>
      <c r="C37" s="16" t="str">
        <f>"0 years to maturity"</f>
        <v>0 years to maturity</v>
      </c>
      <c r="D37" s="29">
        <v>1000</v>
      </c>
      <c r="E37" s="20"/>
    </row>
    <row r="38" spans="2:5" s="2" customFormat="1" ht="15">
      <c r="B38" s="19"/>
      <c r="C38" s="16"/>
      <c r="D38" s="16"/>
      <c r="E38" s="20"/>
    </row>
    <row r="39" spans="2:5" s="2" customFormat="1" ht="15">
      <c r="B39" s="19"/>
      <c r="C39" s="226" t="s">
        <v>165</v>
      </c>
      <c r="D39" s="225"/>
      <c r="E39" s="30"/>
    </row>
    <row r="40" spans="2:5" s="2" customFormat="1" ht="15.75">
      <c r="B40" s="19"/>
      <c r="C40" s="16" t="str">
        <f>ROUND((D8-$D$7)/365,0)&amp; " years to maturity"</f>
        <v>13 years to maturity</v>
      </c>
      <c r="D40" s="29">
        <f>10*PRICE($D$7,D8,$D$21,$D$22,$D$23,$D$24)</f>
        <v>840.17230823412524</v>
      </c>
      <c r="E40" s="30"/>
    </row>
    <row r="41" spans="2:5" s="2" customFormat="1" ht="15.75">
      <c r="B41" s="19"/>
      <c r="C41" s="16" t="str">
        <f>ROUND((D9-$D$7)/365,0)&amp; " years to maturity"</f>
        <v>12 years to maturity</v>
      </c>
      <c r="D41" s="29">
        <f>10*PRICE($D$7,D9,$D$21,$D$22,$D$23,$D$24)</f>
        <v>847.53036858602991</v>
      </c>
      <c r="E41" s="30"/>
    </row>
    <row r="42" spans="2:5" s="2" customFormat="1" ht="15.75">
      <c r="B42" s="19"/>
      <c r="C42" s="16" t="str">
        <f>ROUND((D10-$D$7)/365,0)&amp; " years to maturity"</f>
        <v>10 years to maturity</v>
      </c>
      <c r="D42" s="29">
        <f>10*PRICE($D$7,D10,$D$21,$D$22,$D$23,$D$24)</f>
        <v>864.09673655032236</v>
      </c>
      <c r="E42" s="30"/>
    </row>
    <row r="43" spans="2:5" s="2" customFormat="1" ht="15.75">
      <c r="B43" s="19"/>
      <c r="C43" s="16" t="str">
        <f>ROUND((D11-$D$7)/365,0)&amp; " years to maturity"</f>
        <v>5 years to maturity</v>
      </c>
      <c r="D43" s="29">
        <f>10*PRICE($D$7,D11,$D$21,$D$22,$D$23,$D$24)</f>
        <v>918.89104220644924</v>
      </c>
      <c r="E43" s="30"/>
    </row>
    <row r="44" spans="2:5" s="2" customFormat="1" ht="15.75">
      <c r="B44" s="19"/>
      <c r="C44" s="16" t="str">
        <f>ROUND((D12-$D$7)/365,0)&amp; " years to maturity"</f>
        <v>1 years to maturity</v>
      </c>
      <c r="D44" s="29">
        <f>10*PRICE($D$7,D12,$D$21,$D$22,$D$23,$D$24)</f>
        <v>981.13905325443784</v>
      </c>
      <c r="E44" s="30"/>
    </row>
    <row r="45" spans="2:5" s="2" customFormat="1" ht="15.75">
      <c r="B45" s="19"/>
      <c r="C45" s="16" t="str">
        <f>"0 years to maturity"</f>
        <v>0 years to maturity</v>
      </c>
      <c r="D45" s="29">
        <v>1000</v>
      </c>
      <c r="E45" s="30"/>
    </row>
    <row r="46" spans="2:5" s="2" customFormat="1" ht="15.75">
      <c r="B46" s="19"/>
      <c r="C46" s="14"/>
      <c r="D46" s="33"/>
      <c r="E46" s="30"/>
    </row>
    <row r="47" spans="2:5" s="2" customFormat="1" ht="15.75">
      <c r="B47" s="19"/>
      <c r="C47" s="14" t="s">
        <v>38</v>
      </c>
      <c r="D47" s="33"/>
      <c r="E47" s="30"/>
    </row>
    <row r="48" spans="2:5" s="2" customFormat="1" ht="15.75">
      <c r="B48" s="19"/>
      <c r="C48" s="14" t="s">
        <v>39</v>
      </c>
      <c r="D48" s="33"/>
      <c r="E48" s="30"/>
    </row>
    <row r="49" spans="2:5" s="2" customFormat="1" ht="15.75">
      <c r="B49" s="19"/>
      <c r="C49" s="14" t="s">
        <v>40</v>
      </c>
      <c r="D49" s="33"/>
      <c r="E49" s="30"/>
    </row>
    <row r="50" spans="2:5" s="2" customFormat="1" ht="15.75">
      <c r="B50" s="19"/>
      <c r="C50" s="14" t="s">
        <v>41</v>
      </c>
      <c r="D50" s="33"/>
      <c r="E50" s="30"/>
    </row>
    <row r="51" spans="2:5" s="2" customFormat="1" ht="15.75">
      <c r="B51" s="19"/>
      <c r="C51" s="14" t="s">
        <v>42</v>
      </c>
      <c r="D51" s="36"/>
      <c r="E51" s="30"/>
    </row>
    <row r="52" spans="2:5" s="2" customFormat="1" ht="15.75">
      <c r="B52" s="19"/>
      <c r="C52" s="14" t="s">
        <v>43</v>
      </c>
      <c r="D52" s="36"/>
      <c r="E52" s="30"/>
    </row>
    <row r="53" spans="2:5" s="2" customFormat="1" ht="15.75">
      <c r="B53" s="19"/>
      <c r="C53" s="14" t="s">
        <v>44</v>
      </c>
      <c r="D53" s="36"/>
      <c r="E53" s="30"/>
    </row>
    <row r="54" spans="2:5" s="2" customFormat="1" ht="15.75">
      <c r="B54" s="19"/>
      <c r="C54" s="14" t="s">
        <v>45</v>
      </c>
      <c r="D54" s="36"/>
      <c r="E54" s="30"/>
    </row>
    <row r="55" spans="2:5" s="2" customFormat="1" ht="15" customHeight="1" thickBot="1">
      <c r="B55" s="26"/>
      <c r="C55" s="27"/>
      <c r="D55" s="27"/>
      <c r="E55" s="28"/>
    </row>
    <row r="56" spans="2:5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1211211111111"/>
  <dimension ref="B1:E39"/>
  <sheetViews>
    <sheetView workbookViewId="0"/>
  </sheetViews>
  <sheetFormatPr defaultRowHeight="12.75"/>
  <cols>
    <col min="2" max="2" width="3.140625" customWidth="1"/>
    <col min="3" max="3" width="28.85546875" customWidth="1"/>
    <col min="4" max="4" width="17.42578125" customWidth="1"/>
    <col min="5" max="5" width="3.140625" customWidth="1"/>
  </cols>
  <sheetData>
    <row r="1" spans="2:5" ht="18">
      <c r="C1" s="1" t="s">
        <v>215</v>
      </c>
    </row>
    <row r="2" spans="2:5" ht="15">
      <c r="C2" s="2" t="s">
        <v>36</v>
      </c>
    </row>
    <row r="4" spans="2:5" ht="15">
      <c r="C4" s="3" t="s">
        <v>1</v>
      </c>
      <c r="D4" s="2"/>
      <c r="E4" s="2"/>
    </row>
    <row r="5" spans="2:5" s="2" customFormat="1" ht="15.75" thickBot="1">
      <c r="C5" s="4"/>
      <c r="D5" s="5"/>
    </row>
    <row r="6" spans="2:5" s="2" customFormat="1" ht="15">
      <c r="B6" s="21"/>
      <c r="C6" s="6"/>
      <c r="D6" s="7"/>
      <c r="E6" s="8"/>
    </row>
    <row r="7" spans="2:5" s="2" customFormat="1" ht="15">
      <c r="B7" s="22"/>
      <c r="C7" s="34" t="s">
        <v>202</v>
      </c>
      <c r="D7" s="9"/>
      <c r="E7" s="10"/>
    </row>
    <row r="8" spans="2:5" s="2" customFormat="1" ht="15">
      <c r="B8" s="22"/>
      <c r="C8" s="9" t="s">
        <v>5</v>
      </c>
      <c r="D8" s="91">
        <v>7.0000000000000007E-2</v>
      </c>
      <c r="E8" s="10"/>
    </row>
    <row r="9" spans="2:5" s="2" customFormat="1" ht="15">
      <c r="B9" s="22"/>
      <c r="C9" s="9" t="s">
        <v>8</v>
      </c>
      <c r="D9" s="87">
        <v>36526</v>
      </c>
      <c r="E9" s="10"/>
    </row>
    <row r="10" spans="2:5" s="2" customFormat="1" ht="15">
      <c r="B10" s="22"/>
      <c r="C10" s="9" t="s">
        <v>9</v>
      </c>
      <c r="D10" s="87">
        <v>37257</v>
      </c>
      <c r="E10" s="10"/>
    </row>
    <row r="11" spans="2:5" s="2" customFormat="1" ht="15">
      <c r="B11" s="22"/>
      <c r="C11" s="9" t="s">
        <v>15</v>
      </c>
      <c r="D11" s="96">
        <v>1000</v>
      </c>
      <c r="E11" s="10"/>
    </row>
    <row r="12" spans="2:5" s="2" customFormat="1" ht="15">
      <c r="B12" s="22"/>
      <c r="C12" s="9" t="s">
        <v>37</v>
      </c>
      <c r="D12" s="96">
        <v>2</v>
      </c>
      <c r="E12" s="10"/>
    </row>
    <row r="13" spans="2:5" s="2" customFormat="1" ht="15">
      <c r="B13" s="22"/>
      <c r="C13" s="9"/>
      <c r="D13" s="93"/>
      <c r="E13" s="10"/>
    </row>
    <row r="14" spans="2:5" s="2" customFormat="1" ht="15">
      <c r="B14" s="22"/>
      <c r="C14" s="34" t="s">
        <v>205</v>
      </c>
      <c r="D14" s="93"/>
      <c r="E14" s="10"/>
    </row>
    <row r="15" spans="2:5" s="2" customFormat="1" ht="15">
      <c r="B15" s="22"/>
      <c r="C15" s="9" t="s">
        <v>5</v>
      </c>
      <c r="D15" s="91">
        <v>7.0000000000000007E-2</v>
      </c>
      <c r="E15" s="10"/>
    </row>
    <row r="16" spans="2:5" s="2" customFormat="1" ht="15">
      <c r="B16" s="22"/>
      <c r="C16" s="9" t="s">
        <v>8</v>
      </c>
      <c r="D16" s="87">
        <v>36526</v>
      </c>
      <c r="E16" s="10"/>
    </row>
    <row r="17" spans="2:5" s="2" customFormat="1" ht="15">
      <c r="B17" s="22"/>
      <c r="C17" s="9" t="s">
        <v>9</v>
      </c>
      <c r="D17" s="87">
        <v>42005</v>
      </c>
      <c r="E17" s="10"/>
    </row>
    <row r="18" spans="2:5" s="2" customFormat="1" ht="15">
      <c r="B18" s="22"/>
      <c r="C18" s="9" t="s">
        <v>15</v>
      </c>
      <c r="D18" s="96">
        <v>1000</v>
      </c>
      <c r="E18" s="10"/>
    </row>
    <row r="19" spans="2:5" s="2" customFormat="1" ht="15">
      <c r="B19" s="22"/>
      <c r="C19" s="9" t="s">
        <v>37</v>
      </c>
      <c r="D19" s="96">
        <v>2</v>
      </c>
      <c r="E19" s="10"/>
    </row>
    <row r="20" spans="2:5" s="2" customFormat="1" ht="15">
      <c r="B20" s="22"/>
      <c r="C20" s="9"/>
      <c r="D20" s="96"/>
      <c r="E20" s="10"/>
    </row>
    <row r="21" spans="2:5" s="2" customFormat="1" ht="15">
      <c r="B21" s="22"/>
      <c r="C21" s="9" t="s">
        <v>47</v>
      </c>
      <c r="D21" s="91">
        <v>0.02</v>
      </c>
      <c r="E21" s="10"/>
    </row>
    <row r="22" spans="2:5" s="2" customFormat="1" ht="15" customHeight="1" thickBot="1">
      <c r="B22" s="23"/>
      <c r="C22" s="11"/>
      <c r="D22" s="35"/>
      <c r="E22" s="12"/>
    </row>
    <row r="23" spans="2:5" s="2" customFormat="1" ht="15"/>
    <row r="24" spans="2:5" s="2" customFormat="1" ht="15">
      <c r="C24" s="3" t="s">
        <v>2</v>
      </c>
    </row>
    <row r="25" spans="2:5" s="2" customFormat="1" ht="15.75" thickBot="1">
      <c r="C25" s="4"/>
    </row>
    <row r="26" spans="2:5" s="2" customFormat="1" ht="15">
      <c r="B26" s="24"/>
      <c r="C26" s="13"/>
      <c r="D26" s="13"/>
      <c r="E26" s="25"/>
    </row>
    <row r="27" spans="2:5" s="2" customFormat="1" ht="15">
      <c r="B27" s="19"/>
      <c r="C27" s="16" t="s">
        <v>203</v>
      </c>
      <c r="D27" s="38">
        <f>10*PRICE(D9,D10,D8,D8+D21,D11/10,D12)</f>
        <v>964.12474302071473</v>
      </c>
      <c r="E27" s="20"/>
    </row>
    <row r="28" spans="2:5" s="2" customFormat="1" ht="15">
      <c r="B28" s="19"/>
      <c r="C28" s="16"/>
      <c r="D28" s="16"/>
      <c r="E28" s="20"/>
    </row>
    <row r="29" spans="2:5" s="2" customFormat="1" ht="15">
      <c r="B29" s="19"/>
      <c r="C29" s="14" t="s">
        <v>206</v>
      </c>
      <c r="D29" s="38">
        <f>10*PRICE(D16,D17,D15,D15+D21,D18/10,D19)</f>
        <v>837.11111455711318</v>
      </c>
      <c r="E29" s="30"/>
    </row>
    <row r="30" spans="2:5" s="2" customFormat="1" ht="15.75">
      <c r="B30" s="19"/>
      <c r="C30" s="14"/>
      <c r="D30" s="33"/>
      <c r="E30" s="30"/>
    </row>
    <row r="31" spans="2:5" s="2" customFormat="1" ht="15.75">
      <c r="B31" s="19"/>
      <c r="C31" s="14" t="s">
        <v>204</v>
      </c>
      <c r="D31" s="31">
        <f>(D27-D11)/D11</f>
        <v>-3.5875256979285265E-2</v>
      </c>
      <c r="E31" s="30"/>
    </row>
    <row r="32" spans="2:5" s="2" customFormat="1" ht="15.75">
      <c r="B32" s="19"/>
      <c r="C32" s="14"/>
      <c r="D32" s="33"/>
      <c r="E32" s="30"/>
    </row>
    <row r="33" spans="2:5" s="2" customFormat="1" ht="15.75">
      <c r="B33" s="19"/>
      <c r="C33" s="14" t="s">
        <v>207</v>
      </c>
      <c r="D33" s="31">
        <f>(D29-D18)/D18</f>
        <v>-0.16288888544288682</v>
      </c>
      <c r="E33" s="30"/>
    </row>
    <row r="34" spans="2:5" s="2" customFormat="1" ht="15.75">
      <c r="B34" s="19"/>
      <c r="C34" s="14"/>
      <c r="D34" s="33"/>
      <c r="E34" s="30"/>
    </row>
    <row r="35" spans="2:5" s="2" customFormat="1" ht="15.75">
      <c r="B35" s="19"/>
      <c r="C35" s="14" t="s">
        <v>48</v>
      </c>
      <c r="D35" s="36"/>
      <c r="E35" s="30"/>
    </row>
    <row r="36" spans="2:5" s="2" customFormat="1" ht="15.75">
      <c r="B36" s="19"/>
      <c r="C36" s="14" t="s">
        <v>49</v>
      </c>
      <c r="D36" s="36"/>
      <c r="E36" s="30"/>
    </row>
    <row r="37" spans="2:5" s="2" customFormat="1" ht="15.75">
      <c r="B37" s="19"/>
      <c r="C37" s="14" t="s">
        <v>50</v>
      </c>
      <c r="D37" s="36"/>
      <c r="E37" s="30"/>
    </row>
    <row r="38" spans="2:5" s="2" customFormat="1" ht="15" customHeight="1" thickBot="1">
      <c r="B38" s="26"/>
      <c r="C38" s="27"/>
      <c r="D38" s="27"/>
      <c r="E38" s="28"/>
    </row>
    <row r="39" spans="2:5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12112111111111"/>
  <dimension ref="B1:E43"/>
  <sheetViews>
    <sheetView workbookViewId="0"/>
  </sheetViews>
  <sheetFormatPr defaultRowHeight="12.75"/>
  <cols>
    <col min="2" max="2" width="3.140625" customWidth="1"/>
    <col min="3" max="3" width="29.42578125" customWidth="1"/>
    <col min="4" max="4" width="17.42578125" customWidth="1"/>
    <col min="5" max="5" width="3.140625" customWidth="1"/>
  </cols>
  <sheetData>
    <row r="1" spans="2:5" ht="18">
      <c r="C1" s="1" t="s">
        <v>215</v>
      </c>
    </row>
    <row r="2" spans="2:5" ht="15">
      <c r="C2" s="2" t="s">
        <v>46</v>
      </c>
    </row>
    <row r="4" spans="2:5" ht="15">
      <c r="C4" s="3" t="s">
        <v>1</v>
      </c>
      <c r="D4" s="2"/>
      <c r="E4" s="2"/>
    </row>
    <row r="5" spans="2:5" s="2" customFormat="1" ht="15.75" thickBot="1">
      <c r="C5" s="4"/>
      <c r="D5" s="5"/>
    </row>
    <row r="6" spans="2:5" s="2" customFormat="1" ht="15">
      <c r="B6" s="21"/>
      <c r="C6" s="6"/>
      <c r="D6" s="7"/>
      <c r="E6" s="8"/>
    </row>
    <row r="7" spans="2:5" s="2" customFormat="1" ht="15">
      <c r="B7" s="22"/>
      <c r="C7" s="34" t="s">
        <v>166</v>
      </c>
      <c r="D7" s="9"/>
      <c r="E7" s="10"/>
    </row>
    <row r="8" spans="2:5" s="2" customFormat="1" ht="15">
      <c r="B8" s="22"/>
      <c r="C8" s="9" t="s">
        <v>5</v>
      </c>
      <c r="D8" s="91">
        <v>0.06</v>
      </c>
      <c r="E8" s="10"/>
    </row>
    <row r="9" spans="2:5" s="2" customFormat="1" ht="15">
      <c r="B9" s="22"/>
      <c r="C9" s="9" t="s">
        <v>52</v>
      </c>
      <c r="D9" s="91">
        <v>0.1</v>
      </c>
      <c r="E9" s="10"/>
    </row>
    <row r="10" spans="2:5" s="2" customFormat="1" ht="15">
      <c r="B10" s="22"/>
      <c r="C10" s="9" t="s">
        <v>8</v>
      </c>
      <c r="D10" s="87">
        <v>36526</v>
      </c>
      <c r="E10" s="10"/>
    </row>
    <row r="11" spans="2:5" s="2" customFormat="1" ht="15">
      <c r="B11" s="22"/>
      <c r="C11" s="9" t="s">
        <v>9</v>
      </c>
      <c r="D11" s="87">
        <v>40909</v>
      </c>
      <c r="E11" s="10"/>
    </row>
    <row r="12" spans="2:5" s="2" customFormat="1" ht="15">
      <c r="B12" s="22"/>
      <c r="C12" s="9" t="s">
        <v>15</v>
      </c>
      <c r="D12" s="96">
        <v>1000</v>
      </c>
      <c r="E12" s="10"/>
    </row>
    <row r="13" spans="2:5" s="2" customFormat="1" ht="15">
      <c r="B13" s="22"/>
      <c r="C13" s="9" t="s">
        <v>37</v>
      </c>
      <c r="D13" s="96">
        <v>2</v>
      </c>
      <c r="E13" s="10"/>
    </row>
    <row r="14" spans="2:5" s="2" customFormat="1" ht="15">
      <c r="B14" s="22"/>
      <c r="C14" s="9"/>
      <c r="D14" s="93"/>
      <c r="E14" s="10"/>
    </row>
    <row r="15" spans="2:5" s="2" customFormat="1" ht="15">
      <c r="B15" s="22"/>
      <c r="C15" s="34" t="s">
        <v>167</v>
      </c>
      <c r="D15" s="93"/>
      <c r="E15" s="10"/>
    </row>
    <row r="16" spans="2:5" s="2" customFormat="1" ht="15">
      <c r="B16" s="22"/>
      <c r="C16" s="9" t="s">
        <v>5</v>
      </c>
      <c r="D16" s="91">
        <v>0.14000000000000001</v>
      </c>
      <c r="E16" s="10"/>
    </row>
    <row r="17" spans="2:5" s="2" customFormat="1" ht="15">
      <c r="B17" s="22"/>
      <c r="C17" s="9" t="s">
        <v>52</v>
      </c>
      <c r="D17" s="228">
        <f>D9</f>
        <v>0.1</v>
      </c>
      <c r="E17" s="10"/>
    </row>
    <row r="18" spans="2:5" s="2" customFormat="1" ht="15">
      <c r="B18" s="22"/>
      <c r="C18" s="9" t="s">
        <v>8</v>
      </c>
      <c r="D18" s="227">
        <f>D10</f>
        <v>36526</v>
      </c>
      <c r="E18" s="10"/>
    </row>
    <row r="19" spans="2:5" s="2" customFormat="1" ht="15">
      <c r="B19" s="22"/>
      <c r="C19" s="9" t="s">
        <v>9</v>
      </c>
      <c r="D19" s="227">
        <f>D11</f>
        <v>40909</v>
      </c>
      <c r="E19" s="10"/>
    </row>
    <row r="20" spans="2:5" s="2" customFormat="1" ht="15">
      <c r="B20" s="22"/>
      <c r="C20" s="9" t="s">
        <v>15</v>
      </c>
      <c r="D20" s="96">
        <v>1000</v>
      </c>
      <c r="E20" s="10"/>
    </row>
    <row r="21" spans="2:5" s="2" customFormat="1" ht="15">
      <c r="B21" s="22"/>
      <c r="C21" s="9" t="s">
        <v>37</v>
      </c>
      <c r="D21" s="96">
        <v>2</v>
      </c>
      <c r="E21" s="10"/>
    </row>
    <row r="22" spans="2:5" s="2" customFormat="1" ht="15">
      <c r="B22" s="22"/>
      <c r="C22" s="9"/>
      <c r="D22" s="96"/>
      <c r="E22" s="10"/>
    </row>
    <row r="23" spans="2:5" s="2" customFormat="1" ht="15">
      <c r="B23" s="22"/>
      <c r="C23" s="9" t="s">
        <v>47</v>
      </c>
      <c r="D23" s="91">
        <v>-0.02</v>
      </c>
      <c r="E23" s="10"/>
    </row>
    <row r="24" spans="2:5" s="2" customFormat="1" ht="15" customHeight="1" thickBot="1">
      <c r="B24" s="23"/>
      <c r="C24" s="11"/>
      <c r="D24" s="35"/>
      <c r="E24" s="12"/>
    </row>
    <row r="25" spans="2:5" s="2" customFormat="1" ht="15"/>
    <row r="26" spans="2:5" s="2" customFormat="1" ht="15">
      <c r="C26" s="3" t="s">
        <v>2</v>
      </c>
    </row>
    <row r="27" spans="2:5" s="2" customFormat="1" ht="15.75" thickBot="1">
      <c r="C27" s="4"/>
    </row>
    <row r="28" spans="2:5" s="2" customFormat="1" ht="15">
      <c r="B28" s="24"/>
      <c r="C28" s="13"/>
      <c r="D28" s="13"/>
      <c r="E28" s="25"/>
    </row>
    <row r="29" spans="2:5" s="2" customFormat="1" ht="15">
      <c r="B29" s="19"/>
      <c r="C29" s="16" t="s">
        <v>168</v>
      </c>
      <c r="D29" s="38">
        <f>10*PRICE(D10,D11,D8,D9,D12/10,D13)</f>
        <v>724.02716411305983</v>
      </c>
      <c r="E29" s="20"/>
    </row>
    <row r="30" spans="2:5" s="2" customFormat="1" ht="15">
      <c r="B30" s="19"/>
      <c r="C30" s="16" t="s">
        <v>169</v>
      </c>
      <c r="D30" s="39">
        <f>10*PRICE(D10,D11,D8,D9+D23,D12/10,D13)</f>
        <v>847.53036858602991</v>
      </c>
      <c r="E30" s="20"/>
    </row>
    <row r="31" spans="2:5" s="2" customFormat="1" ht="15">
      <c r="B31" s="19"/>
      <c r="C31" s="16"/>
      <c r="D31" s="16"/>
      <c r="E31" s="20"/>
    </row>
    <row r="32" spans="2:5" s="2" customFormat="1" ht="15">
      <c r="B32" s="19"/>
      <c r="C32" s="14" t="s">
        <v>170</v>
      </c>
      <c r="D32" s="38">
        <f>10*PRICE(D18,D19,D16,D17,D20/10,D21)</f>
        <v>1275.9728358869397</v>
      </c>
      <c r="E32" s="30"/>
    </row>
    <row r="33" spans="2:5" s="2" customFormat="1" ht="15">
      <c r="B33" s="19"/>
      <c r="C33" s="14" t="s">
        <v>169</v>
      </c>
      <c r="D33" s="39">
        <f>10*PRICE(D18,D19,D16,D17+D23,D20/10,D21)</f>
        <v>1457.4088942419075</v>
      </c>
      <c r="E33" s="30"/>
    </row>
    <row r="34" spans="2:5" s="2" customFormat="1" ht="15.75">
      <c r="B34" s="19"/>
      <c r="C34" s="14"/>
      <c r="D34" s="33"/>
      <c r="E34" s="30"/>
    </row>
    <row r="35" spans="2:5" s="2" customFormat="1" ht="15.75">
      <c r="B35" s="19"/>
      <c r="C35" s="14" t="s">
        <v>171</v>
      </c>
      <c r="D35" s="31">
        <f>(D30-D29)/D29</f>
        <v>0.1705781365596451</v>
      </c>
      <c r="E35" s="30"/>
    </row>
    <row r="36" spans="2:5" s="2" customFormat="1" ht="15.75">
      <c r="B36" s="19"/>
      <c r="C36" s="14"/>
      <c r="D36" s="33"/>
      <c r="E36" s="30"/>
    </row>
    <row r="37" spans="2:5" s="2" customFormat="1" ht="15.75">
      <c r="B37" s="19"/>
      <c r="C37" s="14" t="s">
        <v>172</v>
      </c>
      <c r="D37" s="31">
        <f>(D33-D32)/D32</f>
        <v>0.14219429540508208</v>
      </c>
      <c r="E37" s="30"/>
    </row>
    <row r="38" spans="2:5" s="2" customFormat="1" ht="15.75">
      <c r="B38" s="19"/>
      <c r="C38" s="14"/>
      <c r="D38" s="33"/>
      <c r="E38" s="30"/>
    </row>
    <row r="39" spans="2:5" s="2" customFormat="1" ht="15.75">
      <c r="B39" s="19"/>
      <c r="C39" s="14" t="s">
        <v>53</v>
      </c>
      <c r="D39" s="36"/>
      <c r="E39" s="30"/>
    </row>
    <row r="40" spans="2:5" s="2" customFormat="1" ht="15.75">
      <c r="B40" s="19"/>
      <c r="C40" s="14" t="s">
        <v>54</v>
      </c>
      <c r="D40" s="36"/>
      <c r="E40" s="30"/>
    </row>
    <row r="41" spans="2:5" s="2" customFormat="1" ht="15.75">
      <c r="B41" s="19"/>
      <c r="C41" s="14" t="s">
        <v>50</v>
      </c>
      <c r="D41" s="36"/>
      <c r="E41" s="30"/>
    </row>
    <row r="42" spans="2:5" s="2" customFormat="1" ht="15" customHeight="1" thickBot="1">
      <c r="B42" s="26"/>
      <c r="C42" s="27"/>
      <c r="D42" s="27"/>
      <c r="E42" s="28"/>
    </row>
    <row r="43" spans="2:5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12121"/>
  <dimension ref="B1:I24"/>
  <sheetViews>
    <sheetView workbookViewId="0"/>
  </sheetViews>
  <sheetFormatPr defaultRowHeight="12.75"/>
  <cols>
    <col min="2" max="2" width="3.140625" customWidth="1"/>
    <col min="3" max="3" width="23" customWidth="1"/>
    <col min="4" max="4" width="13" customWidth="1"/>
    <col min="5" max="5" width="3.140625" customWidth="1"/>
    <col min="8" max="9" width="9.5703125" bestFit="1" customWidth="1"/>
  </cols>
  <sheetData>
    <row r="1" spans="2:5" ht="18">
      <c r="C1" s="1" t="s">
        <v>215</v>
      </c>
    </row>
    <row r="2" spans="2:5" ht="15">
      <c r="C2" s="2" t="s">
        <v>51</v>
      </c>
    </row>
    <row r="4" spans="2:5" ht="15">
      <c r="C4" s="3" t="s">
        <v>1</v>
      </c>
      <c r="D4" s="2"/>
      <c r="E4" s="2"/>
    </row>
    <row r="5" spans="2:5" s="2" customFormat="1" ht="15.75" thickBot="1">
      <c r="C5" s="4"/>
      <c r="D5" s="5"/>
    </row>
    <row r="6" spans="2:5" s="2" customFormat="1" ht="15">
      <c r="B6" s="21"/>
      <c r="C6" s="6"/>
      <c r="D6" s="7"/>
      <c r="E6" s="8"/>
    </row>
    <row r="7" spans="2:5" s="2" customFormat="1" ht="15">
      <c r="B7" s="22"/>
      <c r="C7" s="9" t="s">
        <v>8</v>
      </c>
      <c r="D7" s="86">
        <v>36526</v>
      </c>
      <c r="E7" s="10"/>
    </row>
    <row r="8" spans="2:5" s="2" customFormat="1" ht="15">
      <c r="B8" s="22"/>
      <c r="C8" s="9" t="s">
        <v>9</v>
      </c>
      <c r="D8" s="87">
        <v>39814</v>
      </c>
      <c r="E8" s="10"/>
    </row>
    <row r="9" spans="2:5" s="2" customFormat="1" ht="15">
      <c r="B9" s="22"/>
      <c r="C9" s="9" t="s">
        <v>10</v>
      </c>
      <c r="D9" s="98">
        <v>6.2E-2</v>
      </c>
      <c r="E9" s="10"/>
    </row>
    <row r="10" spans="2:5" s="2" customFormat="1" ht="15">
      <c r="B10" s="22"/>
      <c r="C10" s="9" t="s">
        <v>11</v>
      </c>
      <c r="D10" s="89">
        <v>2</v>
      </c>
      <c r="E10" s="10"/>
    </row>
    <row r="11" spans="2:5" s="2" customFormat="1" ht="15">
      <c r="B11" s="22"/>
      <c r="C11" s="9" t="s">
        <v>12</v>
      </c>
      <c r="D11" s="89">
        <v>100</v>
      </c>
      <c r="E11" s="10"/>
    </row>
    <row r="12" spans="2:5" s="2" customFormat="1" ht="15">
      <c r="B12" s="22"/>
      <c r="C12" s="9" t="s">
        <v>13</v>
      </c>
      <c r="D12" s="89">
        <v>105</v>
      </c>
      <c r="E12" s="10"/>
    </row>
    <row r="13" spans="2:5" s="2" customFormat="1" ht="15" customHeight="1" thickBot="1">
      <c r="B13" s="23"/>
      <c r="C13" s="11"/>
      <c r="D13" s="11"/>
      <c r="E13" s="12"/>
    </row>
    <row r="14" spans="2:5" s="2" customFormat="1" ht="15"/>
    <row r="15" spans="2:5" s="2" customFormat="1" ht="15">
      <c r="C15" s="3" t="s">
        <v>2</v>
      </c>
    </row>
    <row r="16" spans="2:5" s="2" customFormat="1" ht="15.75" thickBot="1">
      <c r="C16" s="4"/>
    </row>
    <row r="17" spans="2:9" s="2" customFormat="1" ht="15">
      <c r="B17" s="24"/>
      <c r="C17" s="13"/>
      <c r="D17" s="13"/>
      <c r="E17" s="25"/>
    </row>
    <row r="18" spans="2:9" s="2" customFormat="1" ht="15.75">
      <c r="B18" s="19"/>
      <c r="C18" s="16" t="s">
        <v>57</v>
      </c>
      <c r="D18" s="31">
        <f>(D9*D11)/D12</f>
        <v>5.904761904761905E-2</v>
      </c>
      <c r="E18" s="20"/>
      <c r="I18" s="229"/>
    </row>
    <row r="19" spans="2:9" s="2" customFormat="1" ht="15">
      <c r="B19" s="19"/>
      <c r="C19" s="16"/>
      <c r="D19" s="16"/>
      <c r="E19" s="20"/>
    </row>
    <row r="20" spans="2:9" s="2" customFormat="1" ht="15.75">
      <c r="B20" s="19"/>
      <c r="C20" s="14" t="s">
        <v>179</v>
      </c>
      <c r="D20" s="31">
        <f>YIELD(D7,D8,D9,D12,D11,D10)</f>
        <v>5.4885418691220537E-2</v>
      </c>
      <c r="E20" s="30"/>
      <c r="H20" s="229"/>
      <c r="I20" s="229"/>
    </row>
    <row r="21" spans="2:9" s="2" customFormat="1" ht="15.75">
      <c r="B21" s="19"/>
      <c r="C21" s="14"/>
      <c r="D21" s="37"/>
      <c r="E21" s="30"/>
    </row>
    <row r="22" spans="2:9" s="2" customFormat="1" ht="15.75">
      <c r="B22" s="19"/>
      <c r="C22" s="14" t="s">
        <v>180</v>
      </c>
      <c r="D22" s="31">
        <f>(1+D20/D10)^D10-1</f>
        <v>5.5638520987448148E-2</v>
      </c>
      <c r="E22" s="30"/>
    </row>
    <row r="23" spans="2:9" s="2" customFormat="1" ht="15" customHeight="1" thickBot="1">
      <c r="B23" s="26"/>
      <c r="C23" s="27"/>
      <c r="D23" s="27"/>
      <c r="E23" s="28"/>
    </row>
    <row r="24" spans="2:9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121211"/>
  <dimension ref="B1:E20"/>
  <sheetViews>
    <sheetView workbookViewId="0"/>
  </sheetViews>
  <sheetFormatPr defaultRowHeight="12.75"/>
  <cols>
    <col min="2" max="2" width="3.140625" customWidth="1"/>
    <col min="3" max="3" width="23" customWidth="1"/>
    <col min="4" max="4" width="13" customWidth="1"/>
    <col min="5" max="5" width="3.140625" customWidth="1"/>
  </cols>
  <sheetData>
    <row r="1" spans="2:5" ht="18">
      <c r="C1" s="1" t="s">
        <v>215</v>
      </c>
    </row>
    <row r="2" spans="2:5" ht="15">
      <c r="C2" s="2" t="s">
        <v>55</v>
      </c>
    </row>
    <row r="4" spans="2:5" ht="15">
      <c r="C4" s="3" t="s">
        <v>1</v>
      </c>
      <c r="D4" s="2"/>
      <c r="E4" s="2"/>
    </row>
    <row r="5" spans="2:5" s="2" customFormat="1" ht="15.75" thickBot="1">
      <c r="C5" s="4"/>
      <c r="D5" s="5"/>
    </row>
    <row r="6" spans="2:5" s="2" customFormat="1" ht="15">
      <c r="B6" s="21"/>
      <c r="C6" s="6"/>
      <c r="D6" s="7"/>
      <c r="E6" s="8"/>
    </row>
    <row r="7" spans="2:5" s="2" customFormat="1" ht="15">
      <c r="B7" s="22"/>
      <c r="C7" s="9" t="s">
        <v>8</v>
      </c>
      <c r="D7" s="86">
        <v>36526</v>
      </c>
      <c r="E7" s="10"/>
    </row>
    <row r="8" spans="2:5" s="2" customFormat="1" ht="15">
      <c r="B8" s="22"/>
      <c r="C8" s="9" t="s">
        <v>9</v>
      </c>
      <c r="D8" s="87">
        <v>43831</v>
      </c>
      <c r="E8" s="10"/>
    </row>
    <row r="9" spans="2:5" s="2" customFormat="1" ht="15">
      <c r="B9" s="22"/>
      <c r="C9" s="9" t="s">
        <v>10</v>
      </c>
      <c r="D9" s="91">
        <v>7.0000000000000007E-2</v>
      </c>
      <c r="E9" s="10"/>
    </row>
    <row r="10" spans="2:5" s="2" customFormat="1" ht="15">
      <c r="B10" s="22"/>
      <c r="C10" s="9" t="s">
        <v>11</v>
      </c>
      <c r="D10" s="89">
        <v>2</v>
      </c>
      <c r="E10" s="10"/>
    </row>
    <row r="11" spans="2:5" s="2" customFormat="1" ht="15">
      <c r="B11" s="22"/>
      <c r="C11" s="9" t="s">
        <v>12</v>
      </c>
      <c r="D11" s="89">
        <v>100</v>
      </c>
      <c r="E11" s="10"/>
    </row>
    <row r="12" spans="2:5" s="2" customFormat="1" ht="15">
      <c r="B12" s="22"/>
      <c r="C12" s="9" t="s">
        <v>13</v>
      </c>
      <c r="D12" s="97">
        <v>106.3</v>
      </c>
      <c r="E12" s="10"/>
    </row>
    <row r="13" spans="2:5" s="2" customFormat="1" ht="15" customHeight="1" thickBot="1">
      <c r="B13" s="23"/>
      <c r="C13" s="11"/>
      <c r="D13" s="11"/>
      <c r="E13" s="12"/>
    </row>
    <row r="14" spans="2:5" s="2" customFormat="1" ht="15"/>
    <row r="15" spans="2:5" s="2" customFormat="1" ht="15">
      <c r="C15" s="3" t="s">
        <v>2</v>
      </c>
    </row>
    <row r="16" spans="2:5" s="2" customFormat="1" ht="15" customHeight="1" thickBot="1">
      <c r="C16" s="4"/>
    </row>
    <row r="17" spans="2:5" s="2" customFormat="1" ht="15">
      <c r="B17" s="24"/>
      <c r="C17" s="13"/>
      <c r="D17" s="13"/>
      <c r="E17" s="25"/>
    </row>
    <row r="18" spans="2:5" s="2" customFormat="1" ht="15" customHeight="1">
      <c r="B18" s="19"/>
      <c r="C18" s="14" t="s">
        <v>6</v>
      </c>
      <c r="D18" s="31">
        <f>YIELD(D7,D8,D9,D12,D11,D10)</f>
        <v>6.4355400638966789E-2</v>
      </c>
      <c r="E18" s="30"/>
    </row>
    <row r="19" spans="2:5" s="2" customFormat="1" ht="15" customHeight="1" thickBot="1">
      <c r="B19" s="26"/>
      <c r="C19" s="27"/>
      <c r="D19" s="27"/>
      <c r="E19" s="28"/>
    </row>
    <row r="20" spans="2:5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12113"/>
  <dimension ref="B1:F23"/>
  <sheetViews>
    <sheetView workbookViewId="0"/>
  </sheetViews>
  <sheetFormatPr defaultRowHeight="12.75"/>
  <cols>
    <col min="2" max="2" width="3.140625" customWidth="1"/>
    <col min="3" max="3" width="22.7109375" customWidth="1"/>
    <col min="4" max="4" width="17.140625" customWidth="1"/>
    <col min="5" max="5" width="3.140625" customWidth="1"/>
    <col min="6" max="6" width="13" customWidth="1"/>
    <col min="7" max="7" width="3.140625" customWidth="1"/>
  </cols>
  <sheetData>
    <row r="1" spans="2:6" ht="18">
      <c r="C1" s="1" t="s">
        <v>215</v>
      </c>
    </row>
    <row r="2" spans="2:6" ht="15">
      <c r="C2" s="2" t="s">
        <v>0</v>
      </c>
    </row>
    <row r="4" spans="2:6" ht="15">
      <c r="C4" s="3" t="s">
        <v>1</v>
      </c>
      <c r="D4" s="2"/>
      <c r="E4" s="2"/>
      <c r="F4" s="2"/>
    </row>
    <row r="5" spans="2:6" s="2" customFormat="1" ht="15.75" thickBot="1">
      <c r="C5" s="4"/>
      <c r="D5" s="5"/>
    </row>
    <row r="6" spans="2:6" s="2" customFormat="1" ht="15">
      <c r="B6" s="21"/>
      <c r="C6" s="6"/>
      <c r="D6" s="7"/>
      <c r="E6" s="8"/>
    </row>
    <row r="7" spans="2:6" s="2" customFormat="1" ht="15">
      <c r="B7" s="22"/>
      <c r="C7" s="9" t="s">
        <v>64</v>
      </c>
      <c r="D7" s="131">
        <v>15</v>
      </c>
      <c r="E7" s="10"/>
    </row>
    <row r="8" spans="2:6" s="2" customFormat="1" ht="15">
      <c r="B8" s="22"/>
      <c r="C8" s="9" t="s">
        <v>15</v>
      </c>
      <c r="D8" s="90">
        <v>1000</v>
      </c>
      <c r="E8" s="10"/>
    </row>
    <row r="9" spans="2:6" s="2" customFormat="1" ht="15">
      <c r="B9" s="22" t="s">
        <v>60</v>
      </c>
      <c r="C9" s="9" t="s">
        <v>6</v>
      </c>
      <c r="D9" s="91">
        <v>0.05</v>
      </c>
      <c r="E9" s="10"/>
    </row>
    <row r="10" spans="2:6" s="2" customFormat="1" ht="15">
      <c r="B10" s="22" t="s">
        <v>61</v>
      </c>
      <c r="C10" s="9" t="s">
        <v>6</v>
      </c>
      <c r="D10" s="91">
        <v>0.1</v>
      </c>
      <c r="E10" s="10"/>
    </row>
    <row r="11" spans="2:6" s="2" customFormat="1" ht="15">
      <c r="B11" s="22" t="s">
        <v>62</v>
      </c>
      <c r="C11" s="9" t="s">
        <v>6</v>
      </c>
      <c r="D11" s="91">
        <v>0.15</v>
      </c>
      <c r="E11" s="10"/>
    </row>
    <row r="12" spans="2:6" s="2" customFormat="1" ht="15" customHeight="1" thickBot="1">
      <c r="B12" s="23"/>
      <c r="C12" s="11"/>
      <c r="D12" s="11"/>
      <c r="E12" s="12"/>
    </row>
    <row r="13" spans="2:6" s="2" customFormat="1" ht="15"/>
    <row r="14" spans="2:6" s="2" customFormat="1" ht="15">
      <c r="C14" s="3" t="s">
        <v>2</v>
      </c>
    </row>
    <row r="15" spans="2:6" s="2" customFormat="1" ht="15.75" thickBot="1">
      <c r="C15" s="4"/>
    </row>
    <row r="16" spans="2:6" s="2" customFormat="1" ht="15">
      <c r="B16" s="24"/>
      <c r="C16" s="13"/>
      <c r="D16" s="13"/>
      <c r="E16" s="25"/>
    </row>
    <row r="17" spans="2:5" s="2" customFormat="1" ht="15.75">
      <c r="B17" s="19" t="s">
        <v>60</v>
      </c>
      <c r="C17" s="14" t="s">
        <v>102</v>
      </c>
      <c r="D17" s="41">
        <f>PV(D9/2,D7*2,0,-D8)</f>
        <v>476.74268518097085</v>
      </c>
      <c r="E17" s="20"/>
    </row>
    <row r="18" spans="2:5" s="2" customFormat="1" ht="15">
      <c r="B18" s="19"/>
      <c r="C18" s="16"/>
      <c r="D18" s="132"/>
      <c r="E18" s="20"/>
    </row>
    <row r="19" spans="2:5" s="2" customFormat="1" ht="15.75">
      <c r="B19" s="19" t="s">
        <v>61</v>
      </c>
      <c r="C19" s="16" t="s">
        <v>102</v>
      </c>
      <c r="D19" s="41">
        <f>PV(D10/2,D7*2,0,-D8)</f>
        <v>231.37744865585813</v>
      </c>
      <c r="E19" s="20"/>
    </row>
    <row r="20" spans="2:5" s="2" customFormat="1" ht="15">
      <c r="B20" s="19"/>
      <c r="C20" s="16"/>
      <c r="D20" s="132"/>
      <c r="E20" s="20"/>
    </row>
    <row r="21" spans="2:5" s="2" customFormat="1" ht="15.75">
      <c r="B21" s="19" t="s">
        <v>62</v>
      </c>
      <c r="C21" s="16" t="s">
        <v>102</v>
      </c>
      <c r="D21" s="41">
        <f>PV(D11/2,D7*2,0,-D8)</f>
        <v>114.22103008133993</v>
      </c>
      <c r="E21" s="20"/>
    </row>
    <row r="22" spans="2:5" s="2" customFormat="1" ht="15" customHeight="1" thickBot="1">
      <c r="B22" s="26"/>
      <c r="C22" s="27"/>
      <c r="D22" s="27"/>
      <c r="E22" s="28"/>
    </row>
    <row r="23" spans="2:5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11213"/>
  <dimension ref="B1:F20"/>
  <sheetViews>
    <sheetView workbookViewId="0"/>
  </sheetViews>
  <sheetFormatPr defaultRowHeight="12.75"/>
  <cols>
    <col min="2" max="2" width="3.140625" customWidth="1"/>
    <col min="3" max="3" width="24.5703125" customWidth="1"/>
    <col min="4" max="4" width="17.140625" customWidth="1"/>
    <col min="5" max="5" width="3.140625" customWidth="1"/>
    <col min="6" max="6" width="13.28515625" customWidth="1"/>
    <col min="7" max="7" width="3.140625" customWidth="1"/>
  </cols>
  <sheetData>
    <row r="1" spans="2:6" ht="18">
      <c r="C1" s="1" t="s">
        <v>215</v>
      </c>
    </row>
    <row r="2" spans="2:6" ht="15">
      <c r="C2" s="2" t="s">
        <v>56</v>
      </c>
    </row>
    <row r="4" spans="2:6" ht="15">
      <c r="C4" s="3" t="s">
        <v>1</v>
      </c>
      <c r="D4" s="2"/>
      <c r="E4" s="2"/>
      <c r="F4" s="2"/>
    </row>
    <row r="5" spans="2:6" s="2" customFormat="1" ht="15.75" thickBot="1">
      <c r="C5" s="4"/>
      <c r="D5" s="5"/>
    </row>
    <row r="6" spans="2:6" s="2" customFormat="1" ht="15">
      <c r="B6" s="21"/>
      <c r="C6" s="6"/>
      <c r="D6" s="7"/>
      <c r="E6" s="8"/>
    </row>
    <row r="7" spans="2:6" s="2" customFormat="1" ht="15">
      <c r="B7" s="22"/>
      <c r="C7" s="9" t="s">
        <v>115</v>
      </c>
      <c r="D7" s="109">
        <v>950</v>
      </c>
      <c r="E7" s="10"/>
    </row>
    <row r="8" spans="2:6" s="2" customFormat="1" ht="15">
      <c r="B8" s="22"/>
      <c r="C8" s="9" t="s">
        <v>5</v>
      </c>
      <c r="D8" s="98">
        <v>6.8000000000000005E-2</v>
      </c>
      <c r="E8" s="10"/>
    </row>
    <row r="9" spans="2:6" s="2" customFormat="1" ht="15">
      <c r="B9" s="22"/>
      <c r="C9" s="9" t="s">
        <v>208</v>
      </c>
      <c r="D9" s="107">
        <v>2</v>
      </c>
      <c r="E9" s="10"/>
    </row>
    <row r="10" spans="2:6" s="2" customFormat="1" ht="15">
      <c r="B10" s="22"/>
      <c r="C10" s="9" t="s">
        <v>96</v>
      </c>
      <c r="D10" s="110">
        <v>1000</v>
      </c>
      <c r="E10" s="10"/>
    </row>
    <row r="11" spans="2:6" s="2" customFormat="1" ht="15" customHeight="1" thickBot="1">
      <c r="B11" s="23"/>
      <c r="C11" s="11"/>
      <c r="D11" s="11"/>
      <c r="E11" s="12"/>
    </row>
    <row r="12" spans="2:6" s="2" customFormat="1" ht="15"/>
    <row r="13" spans="2:6" s="2" customFormat="1" ht="15">
      <c r="C13" s="3" t="s">
        <v>2</v>
      </c>
    </row>
    <row r="14" spans="2:6" s="2" customFormat="1" ht="15.75" thickBot="1">
      <c r="C14" s="4"/>
    </row>
    <row r="15" spans="2:6" s="2" customFormat="1" ht="15">
      <c r="B15" s="24"/>
      <c r="C15" s="13"/>
      <c r="D15" s="13"/>
      <c r="E15" s="25"/>
    </row>
    <row r="16" spans="2:6" s="2" customFormat="1" ht="15">
      <c r="B16" s="19"/>
      <c r="C16" s="14" t="s">
        <v>112</v>
      </c>
      <c r="D16" s="40">
        <f>(D8*D10/2)*((6-D9)/6)</f>
        <v>22.666666666666664</v>
      </c>
      <c r="E16" s="20"/>
    </row>
    <row r="17" spans="2:5" s="2" customFormat="1" ht="15">
      <c r="B17" s="19"/>
      <c r="C17" s="16"/>
      <c r="D17" s="18"/>
      <c r="E17" s="20"/>
    </row>
    <row r="18" spans="2:5" s="2" customFormat="1" ht="15.75">
      <c r="B18" s="19"/>
      <c r="C18" s="16" t="s">
        <v>113</v>
      </c>
      <c r="D18" s="41">
        <f>D7-D16</f>
        <v>927.33333333333337</v>
      </c>
      <c r="E18" s="20"/>
    </row>
    <row r="19" spans="2:5" s="2" customFormat="1" ht="15" customHeight="1" thickBot="1">
      <c r="B19" s="26"/>
      <c r="C19" s="27"/>
      <c r="D19" s="27"/>
      <c r="E19" s="28"/>
    </row>
    <row r="20" spans="2:5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11214"/>
  <dimension ref="B1:F20"/>
  <sheetViews>
    <sheetView workbookViewId="0"/>
  </sheetViews>
  <sheetFormatPr defaultRowHeight="12.75"/>
  <cols>
    <col min="2" max="2" width="3.140625" customWidth="1"/>
    <col min="3" max="3" width="24.5703125" customWidth="1"/>
    <col min="4" max="4" width="17.140625" customWidth="1"/>
    <col min="5" max="5" width="3.140625" customWidth="1"/>
    <col min="6" max="6" width="13.28515625" customWidth="1"/>
    <col min="7" max="7" width="3.140625" customWidth="1"/>
  </cols>
  <sheetData>
    <row r="1" spans="2:6" ht="18">
      <c r="C1" s="1" t="s">
        <v>215</v>
      </c>
    </row>
    <row r="2" spans="2:6" ht="15">
      <c r="C2" s="2" t="s">
        <v>110</v>
      </c>
    </row>
    <row r="4" spans="2:6" ht="15">
      <c r="C4" s="3" t="s">
        <v>1</v>
      </c>
      <c r="D4" s="2"/>
      <c r="E4" s="2"/>
      <c r="F4" s="2"/>
    </row>
    <row r="5" spans="2:6" s="2" customFormat="1" ht="15.75" thickBot="1">
      <c r="C5" s="4"/>
      <c r="D5" s="5"/>
    </row>
    <row r="6" spans="2:6" s="2" customFormat="1" ht="15">
      <c r="B6" s="21"/>
      <c r="C6" s="6"/>
      <c r="D6" s="7"/>
      <c r="E6" s="8"/>
    </row>
    <row r="7" spans="2:6" s="2" customFormat="1" ht="15">
      <c r="B7" s="22"/>
      <c r="C7" s="9" t="s">
        <v>113</v>
      </c>
      <c r="D7" s="109">
        <v>1053</v>
      </c>
      <c r="E7" s="10"/>
    </row>
    <row r="8" spans="2:6" s="2" customFormat="1" ht="15">
      <c r="B8" s="22"/>
      <c r="C8" s="9" t="s">
        <v>5</v>
      </c>
      <c r="D8" s="98">
        <v>5.8999999999999997E-2</v>
      </c>
      <c r="E8" s="10"/>
    </row>
    <row r="9" spans="2:6" s="2" customFormat="1" ht="15">
      <c r="B9" s="22"/>
      <c r="C9" s="9" t="s">
        <v>111</v>
      </c>
      <c r="D9" s="107">
        <v>4</v>
      </c>
      <c r="E9" s="10"/>
    </row>
    <row r="10" spans="2:6" s="2" customFormat="1" ht="15">
      <c r="B10" s="22"/>
      <c r="C10" s="9" t="s">
        <v>96</v>
      </c>
      <c r="D10" s="110">
        <v>1000</v>
      </c>
      <c r="E10" s="10"/>
    </row>
    <row r="11" spans="2:6" s="2" customFormat="1" ht="15" customHeight="1" thickBot="1">
      <c r="B11" s="23"/>
      <c r="C11" s="11"/>
      <c r="D11" s="11"/>
      <c r="E11" s="12"/>
    </row>
    <row r="12" spans="2:6" s="2" customFormat="1" ht="15"/>
    <row r="13" spans="2:6" s="2" customFormat="1" ht="15">
      <c r="C13" s="3" t="s">
        <v>2</v>
      </c>
    </row>
    <row r="14" spans="2:6" s="2" customFormat="1" ht="15.75" thickBot="1">
      <c r="C14" s="4"/>
    </row>
    <row r="15" spans="2:6" s="2" customFormat="1" ht="15">
      <c r="B15" s="24"/>
      <c r="C15" s="13"/>
      <c r="D15" s="13"/>
      <c r="E15" s="25"/>
    </row>
    <row r="16" spans="2:6" s="2" customFormat="1" ht="15">
      <c r="B16" s="19"/>
      <c r="C16" s="14" t="s">
        <v>112</v>
      </c>
      <c r="D16" s="40">
        <f>(6-D9)/6*(D8*D10/2)</f>
        <v>9.8333333333333321</v>
      </c>
      <c r="E16" s="20"/>
    </row>
    <row r="17" spans="2:5" s="2" customFormat="1" ht="15">
      <c r="B17" s="19"/>
      <c r="C17" s="16"/>
      <c r="D17" s="18"/>
      <c r="E17" s="20"/>
    </row>
    <row r="18" spans="2:5" s="2" customFormat="1" ht="15.75">
      <c r="B18" s="19"/>
      <c r="C18" s="16" t="s">
        <v>116</v>
      </c>
      <c r="D18" s="41">
        <f>D7+D16</f>
        <v>1062.8333333333333</v>
      </c>
      <c r="E18" s="20"/>
    </row>
    <row r="19" spans="2:5" s="2" customFormat="1" ht="15" customHeight="1" thickBot="1">
      <c r="B19" s="26"/>
      <c r="C19" s="27"/>
      <c r="D19" s="27"/>
      <c r="E19" s="28"/>
    </row>
    <row r="20" spans="2:5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11212111"/>
  <dimension ref="B1:E21"/>
  <sheetViews>
    <sheetView workbookViewId="0"/>
  </sheetViews>
  <sheetFormatPr defaultRowHeight="12.75"/>
  <cols>
    <col min="2" max="2" width="3.140625" customWidth="1"/>
    <col min="3" max="3" width="23" customWidth="1"/>
    <col min="4" max="4" width="13.42578125" customWidth="1"/>
    <col min="5" max="5" width="3.140625" customWidth="1"/>
  </cols>
  <sheetData>
    <row r="1" spans="2:5" ht="18">
      <c r="C1" s="1" t="s">
        <v>215</v>
      </c>
    </row>
    <row r="2" spans="2:5" ht="15">
      <c r="C2" s="2" t="s">
        <v>114</v>
      </c>
    </row>
    <row r="4" spans="2:5" ht="15">
      <c r="C4" s="3" t="s">
        <v>1</v>
      </c>
      <c r="D4" s="2"/>
      <c r="E4" s="2"/>
    </row>
    <row r="5" spans="2:5" s="2" customFormat="1" ht="15.75" thickBot="1">
      <c r="C5" s="4"/>
      <c r="D5" s="5"/>
    </row>
    <row r="6" spans="2:5" s="2" customFormat="1" ht="15">
      <c r="B6" s="21"/>
      <c r="C6" s="6"/>
      <c r="D6" s="7"/>
      <c r="E6" s="8"/>
    </row>
    <row r="7" spans="2:5" s="2" customFormat="1" ht="15">
      <c r="B7" s="22"/>
      <c r="C7" s="9" t="s">
        <v>10</v>
      </c>
      <c r="D7" s="93">
        <v>0.09</v>
      </c>
      <c r="E7" s="10"/>
    </row>
    <row r="8" spans="2:5" s="2" customFormat="1" ht="15">
      <c r="B8" s="22"/>
      <c r="C8" s="9" t="s">
        <v>11</v>
      </c>
      <c r="D8" s="89">
        <v>1</v>
      </c>
      <c r="E8" s="10"/>
    </row>
    <row r="9" spans="2:5" s="2" customFormat="1" ht="15">
      <c r="B9" s="22"/>
      <c r="C9" s="9" t="s">
        <v>6</v>
      </c>
      <c r="D9" s="93">
        <v>7.8100000000000003E-2</v>
      </c>
      <c r="E9" s="10"/>
    </row>
    <row r="10" spans="2:5" s="2" customFormat="1" ht="15">
      <c r="B10" s="22"/>
      <c r="C10" s="9" t="s">
        <v>57</v>
      </c>
      <c r="D10" s="93">
        <v>8.4199999999999997E-2</v>
      </c>
      <c r="E10" s="10"/>
    </row>
    <row r="11" spans="2:5" s="2" customFormat="1" ht="15">
      <c r="B11" s="22"/>
      <c r="C11" s="9" t="s">
        <v>15</v>
      </c>
      <c r="D11" s="110">
        <v>1000</v>
      </c>
      <c r="E11" s="10"/>
    </row>
    <row r="12" spans="2:5" s="2" customFormat="1" ht="15" customHeight="1" thickBot="1">
      <c r="B12" s="23"/>
      <c r="C12" s="11"/>
      <c r="D12" s="11"/>
      <c r="E12" s="12"/>
    </row>
    <row r="13" spans="2:5" s="2" customFormat="1" ht="15"/>
    <row r="14" spans="2:5" s="2" customFormat="1" ht="15">
      <c r="C14" s="3" t="s">
        <v>2</v>
      </c>
    </row>
    <row r="15" spans="2:5" s="2" customFormat="1" ht="15" customHeight="1" thickBot="1">
      <c r="C15" s="4"/>
    </row>
    <row r="16" spans="2:5" s="2" customFormat="1" ht="15">
      <c r="B16" s="24"/>
      <c r="C16" s="13"/>
      <c r="D16" s="13"/>
      <c r="E16" s="25"/>
    </row>
    <row r="17" spans="2:5" s="2" customFormat="1" ht="15">
      <c r="B17" s="19"/>
      <c r="C17" s="16" t="s">
        <v>181</v>
      </c>
      <c r="D17" s="38">
        <f>(D11*D7)/D10</f>
        <v>1068.8836104513064</v>
      </c>
      <c r="E17" s="20"/>
    </row>
    <row r="18" spans="2:5" s="2" customFormat="1" ht="15">
      <c r="B18" s="19"/>
      <c r="C18" s="16"/>
      <c r="D18" s="16"/>
      <c r="E18" s="20"/>
    </row>
    <row r="19" spans="2:5" s="2" customFormat="1" ht="15" customHeight="1">
      <c r="B19" s="19"/>
      <c r="C19" s="14" t="s">
        <v>182</v>
      </c>
      <c r="D19" s="138">
        <f>LN(((D7*D11)/D9-D11)/((D7*D11)/D9-D17))/LN(1+D9)</f>
        <v>8.0004390857797461</v>
      </c>
      <c r="E19" s="30"/>
    </row>
    <row r="20" spans="2:5" s="2" customFormat="1" ht="15" customHeight="1" thickBot="1">
      <c r="B20" s="26"/>
      <c r="C20" s="27"/>
      <c r="D20" s="27"/>
      <c r="E20" s="28"/>
    </row>
    <row r="21" spans="2:5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112112111112"/>
  <dimension ref="B1:H22"/>
  <sheetViews>
    <sheetView workbookViewId="0"/>
  </sheetViews>
  <sheetFormatPr defaultRowHeight="12.75"/>
  <cols>
    <col min="2" max="2" width="3.140625" customWidth="1"/>
    <col min="3" max="3" width="26.42578125" bestFit="1" customWidth="1"/>
    <col min="4" max="4" width="15.7109375" customWidth="1"/>
    <col min="5" max="5" width="3.140625" customWidth="1"/>
    <col min="8" max="8" width="9.5703125" bestFit="1" customWidth="1"/>
  </cols>
  <sheetData>
    <row r="1" spans="2:5" ht="18">
      <c r="C1" s="1" t="s">
        <v>215</v>
      </c>
    </row>
    <row r="2" spans="2:5" ht="15">
      <c r="C2" s="2" t="s">
        <v>59</v>
      </c>
    </row>
    <row r="4" spans="2:5" ht="15">
      <c r="C4" s="3" t="s">
        <v>1</v>
      </c>
      <c r="D4" s="2"/>
      <c r="E4" s="2"/>
    </row>
    <row r="5" spans="2:5" s="2" customFormat="1" ht="15.75" thickBot="1">
      <c r="C5" s="4"/>
      <c r="D5" s="5"/>
    </row>
    <row r="6" spans="2:5" s="2" customFormat="1" ht="15">
      <c r="B6" s="21"/>
      <c r="C6" s="6"/>
      <c r="D6" s="7"/>
      <c r="E6" s="8"/>
    </row>
    <row r="7" spans="2:5" s="2" customFormat="1" ht="15">
      <c r="B7" s="22"/>
      <c r="C7" s="9" t="s">
        <v>5</v>
      </c>
      <c r="D7" s="99">
        <v>7.2400000000000006E-2</v>
      </c>
      <c r="E7" s="10"/>
    </row>
    <row r="8" spans="2:5" s="2" customFormat="1" ht="15">
      <c r="B8" s="22"/>
      <c r="C8" s="9" t="s">
        <v>107</v>
      </c>
      <c r="D8" s="87">
        <v>41014</v>
      </c>
      <c r="E8" s="10"/>
    </row>
    <row r="9" spans="2:5" s="2" customFormat="1" ht="15">
      <c r="B9" s="22"/>
      <c r="C9" s="9" t="s">
        <v>108</v>
      </c>
      <c r="D9" s="106">
        <v>44301</v>
      </c>
      <c r="E9" s="10"/>
    </row>
    <row r="10" spans="2:5" s="2" customFormat="1" ht="15">
      <c r="B10" s="22"/>
      <c r="C10" s="9" t="s">
        <v>109</v>
      </c>
      <c r="D10" s="139">
        <v>105.312</v>
      </c>
      <c r="E10" s="10"/>
    </row>
    <row r="11" spans="2:5" s="2" customFormat="1" ht="15">
      <c r="B11" s="22"/>
      <c r="C11" s="9" t="s">
        <v>15</v>
      </c>
      <c r="D11" s="107">
        <v>100</v>
      </c>
      <c r="E11" s="10"/>
    </row>
    <row r="12" spans="2:5" s="2" customFormat="1" ht="15" customHeight="1" thickBot="1">
      <c r="B12" s="23"/>
      <c r="C12" s="11"/>
      <c r="D12" s="11"/>
      <c r="E12" s="12"/>
    </row>
    <row r="13" spans="2:5" s="2" customFormat="1" ht="15"/>
    <row r="14" spans="2:5" s="2" customFormat="1" ht="15">
      <c r="C14" s="3" t="s">
        <v>2</v>
      </c>
    </row>
    <row r="15" spans="2:5" s="2" customFormat="1" ht="15.75" thickBot="1">
      <c r="C15" s="4"/>
    </row>
    <row r="16" spans="2:5" s="2" customFormat="1" ht="15">
      <c r="B16" s="24"/>
      <c r="C16" s="13"/>
      <c r="D16" s="13"/>
      <c r="E16" s="25"/>
    </row>
    <row r="17" spans="2:8" s="2" customFormat="1" ht="15.75">
      <c r="B17" s="19"/>
      <c r="C17" s="14" t="s">
        <v>6</v>
      </c>
      <c r="D17" s="108">
        <f>YIELD(D8,D9,D7,D10,D11,2)</f>
        <v>6.4526854889246241E-2</v>
      </c>
      <c r="E17" s="30"/>
      <c r="H17" s="229"/>
    </row>
    <row r="18" spans="2:8" s="2" customFormat="1" ht="15">
      <c r="B18" s="19"/>
      <c r="C18" s="14"/>
      <c r="D18" s="105"/>
      <c r="E18" s="30"/>
    </row>
    <row r="19" spans="2:8" s="2" customFormat="1" ht="15.75">
      <c r="B19" s="19"/>
      <c r="C19" s="14" t="s">
        <v>58</v>
      </c>
      <c r="D19" s="108">
        <f>(D7*D11)/D10</f>
        <v>6.8748100881191126E-2</v>
      </c>
      <c r="E19" s="30"/>
    </row>
    <row r="20" spans="2:8" s="2" customFormat="1" ht="15" customHeight="1" thickBot="1">
      <c r="B20" s="26"/>
      <c r="C20" s="27"/>
      <c r="D20" s="27"/>
      <c r="E20" s="28"/>
    </row>
    <row r="21" spans="2:8" s="2" customFormat="1" ht="15"/>
    <row r="22" spans="2:8" ht="15" customHeight="1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11111"/>
  <dimension ref="B1:I16"/>
  <sheetViews>
    <sheetView workbookViewId="0"/>
  </sheetViews>
  <sheetFormatPr defaultRowHeight="12.75"/>
  <cols>
    <col min="2" max="2" width="3.140625" customWidth="1"/>
    <col min="3" max="3" width="22.7109375" customWidth="1"/>
    <col min="4" max="4" width="14.28515625" customWidth="1"/>
    <col min="5" max="5" width="3.140625" customWidth="1"/>
    <col min="7" max="7" width="10.140625" customWidth="1"/>
    <col min="8" max="8" width="11.5703125" customWidth="1"/>
    <col min="9" max="9" width="3.140625" customWidth="1"/>
  </cols>
  <sheetData>
    <row r="1" spans="2:9" ht="18">
      <c r="C1" s="1" t="s">
        <v>215</v>
      </c>
      <c r="D1" s="1"/>
    </row>
    <row r="2" spans="2:9" ht="15">
      <c r="C2" s="2" t="s">
        <v>63</v>
      </c>
      <c r="D2" s="2"/>
    </row>
    <row r="3" spans="2:9" ht="15">
      <c r="C3" s="2"/>
      <c r="D3" s="2"/>
    </row>
    <row r="4" spans="2:9" ht="15">
      <c r="C4" s="3" t="s">
        <v>2</v>
      </c>
      <c r="D4" s="3"/>
    </row>
    <row r="5" spans="2:9" ht="15.75" thickBot="1">
      <c r="C5" s="3"/>
      <c r="D5" s="3"/>
    </row>
    <row r="6" spans="2:9" ht="15">
      <c r="B6" s="56"/>
      <c r="C6" s="6"/>
      <c r="D6" s="6"/>
      <c r="E6" s="57"/>
    </row>
    <row r="7" spans="2:9" ht="15">
      <c r="B7" s="42"/>
      <c r="C7" s="9" t="s">
        <v>5</v>
      </c>
      <c r="D7" s="91">
        <v>0.1</v>
      </c>
      <c r="E7" s="43"/>
    </row>
    <row r="8" spans="2:9" ht="15" customHeight="1" thickBot="1">
      <c r="B8" s="58"/>
      <c r="C8" s="59"/>
      <c r="D8" s="59"/>
      <c r="E8" s="60"/>
    </row>
    <row r="10" spans="2:9" s="2" customFormat="1" ht="15">
      <c r="C10" s="3" t="s">
        <v>2</v>
      </c>
      <c r="D10" s="3"/>
    </row>
    <row r="11" spans="2:9" s="2" customFormat="1" ht="15.75" thickBot="1">
      <c r="C11" s="4"/>
      <c r="D11" s="4"/>
    </row>
    <row r="12" spans="2:9" s="2" customFormat="1" ht="15">
      <c r="B12" s="24"/>
      <c r="C12" s="13"/>
      <c r="D12" s="13"/>
      <c r="E12" s="13"/>
      <c r="F12" s="13"/>
      <c r="G12" s="13"/>
      <c r="H12" s="13"/>
      <c r="I12" s="25"/>
    </row>
    <row r="13" spans="2:9" s="2" customFormat="1" ht="15">
      <c r="B13" s="19"/>
      <c r="C13" s="14" t="s">
        <v>67</v>
      </c>
      <c r="D13" s="14"/>
      <c r="E13" s="15"/>
      <c r="F13" s="15"/>
      <c r="G13" s="16"/>
      <c r="H13" s="17"/>
      <c r="I13" s="20"/>
    </row>
    <row r="14" spans="2:9" s="2" customFormat="1" ht="15">
      <c r="B14" s="19"/>
      <c r="C14" s="16" t="s">
        <v>68</v>
      </c>
      <c r="D14" s="16"/>
      <c r="E14" s="18"/>
      <c r="F14" s="18"/>
      <c r="G14" s="16"/>
      <c r="H14" s="16"/>
      <c r="I14" s="20"/>
    </row>
    <row r="15" spans="2:9" s="2" customFormat="1" ht="15" customHeight="1" thickBot="1">
      <c r="B15" s="26"/>
      <c r="C15" s="27"/>
      <c r="D15" s="27"/>
      <c r="E15" s="27"/>
      <c r="F15" s="27"/>
      <c r="G15" s="27"/>
      <c r="H15" s="27"/>
      <c r="I15" s="28"/>
    </row>
    <row r="16" spans="2:9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B1:E34"/>
  <sheetViews>
    <sheetView workbookViewId="0"/>
  </sheetViews>
  <sheetFormatPr defaultRowHeight="12.75"/>
  <cols>
    <col min="1" max="1" width="9.140625" style="148"/>
    <col min="2" max="2" width="3.140625" style="148" customWidth="1"/>
    <col min="3" max="3" width="31" style="148" customWidth="1"/>
    <col min="4" max="4" width="16.5703125" style="148" customWidth="1"/>
    <col min="5" max="5" width="3.140625" style="148" customWidth="1"/>
    <col min="6" max="16384" width="9.140625" style="148"/>
  </cols>
  <sheetData>
    <row r="1" spans="2:5" ht="18">
      <c r="C1" s="176" t="s">
        <v>233</v>
      </c>
    </row>
    <row r="2" spans="2:5" ht="15">
      <c r="C2" s="149" t="s">
        <v>65</v>
      </c>
    </row>
    <row r="4" spans="2:5" ht="15">
      <c r="C4" s="164" t="s">
        <v>1</v>
      </c>
      <c r="D4" s="149"/>
      <c r="E4" s="149"/>
    </row>
    <row r="5" spans="2:5" s="149" customFormat="1" ht="15.75" thickBot="1">
      <c r="C5" s="163"/>
      <c r="D5" s="175"/>
    </row>
    <row r="6" spans="2:5" s="149" customFormat="1" ht="15">
      <c r="B6" s="174"/>
      <c r="C6" s="173"/>
      <c r="D6" s="172"/>
      <c r="E6" s="171"/>
    </row>
    <row r="7" spans="2:5" s="149" customFormat="1" ht="15">
      <c r="B7" s="170"/>
      <c r="C7" s="169" t="s">
        <v>64</v>
      </c>
      <c r="D7" s="100">
        <v>25</v>
      </c>
      <c r="E7" s="168"/>
    </row>
    <row r="8" spans="2:5" s="149" customFormat="1" ht="15">
      <c r="B8" s="170"/>
      <c r="C8" s="169" t="s">
        <v>232</v>
      </c>
      <c r="D8" s="91">
        <v>7.0000000000000007E-2</v>
      </c>
      <c r="E8" s="168"/>
    </row>
    <row r="9" spans="2:5" s="149" customFormat="1" ht="15">
      <c r="B9" s="170"/>
      <c r="C9" s="169" t="s">
        <v>15</v>
      </c>
      <c r="D9" s="90">
        <v>1000</v>
      </c>
      <c r="E9" s="168"/>
    </row>
    <row r="10" spans="2:5" s="149" customFormat="1" ht="15" customHeight="1" thickBot="1">
      <c r="B10" s="167"/>
      <c r="C10" s="166"/>
      <c r="D10" s="166"/>
      <c r="E10" s="165"/>
    </row>
    <row r="11" spans="2:5" s="149" customFormat="1" ht="15"/>
    <row r="12" spans="2:5" s="149" customFormat="1" ht="15">
      <c r="C12" s="164" t="s">
        <v>2</v>
      </c>
    </row>
    <row r="13" spans="2:5" s="149" customFormat="1" ht="15.75" thickBot="1">
      <c r="C13" s="163"/>
    </row>
    <row r="14" spans="2:5" s="149" customFormat="1" ht="15">
      <c r="B14" s="162"/>
      <c r="C14" s="161"/>
      <c r="D14" s="161"/>
      <c r="E14" s="160"/>
    </row>
    <row r="15" spans="2:5" s="149" customFormat="1" ht="15.75">
      <c r="B15" s="156" t="s">
        <v>60</v>
      </c>
      <c r="C15" s="157" t="s">
        <v>231</v>
      </c>
      <c r="D15" s="41">
        <f>PV(D8/2,D7*2,,-D9)</f>
        <v>179.05337452825603</v>
      </c>
      <c r="E15" s="30"/>
    </row>
    <row r="16" spans="2:5" s="149" customFormat="1" ht="15">
      <c r="B16" s="156"/>
      <c r="C16" s="157"/>
      <c r="D16" s="40"/>
      <c r="E16" s="30"/>
    </row>
    <row r="17" spans="2:5" s="149" customFormat="1" ht="15">
      <c r="B17" s="156" t="s">
        <v>61</v>
      </c>
      <c r="C17" s="157" t="s">
        <v>230</v>
      </c>
      <c r="D17" s="40">
        <f>PV(D8/2,(D7-1)*2,,-D9)</f>
        <v>191.80645112903102</v>
      </c>
      <c r="E17" s="30"/>
    </row>
    <row r="18" spans="2:5" s="149" customFormat="1" ht="15">
      <c r="B18" s="156"/>
      <c r="C18" s="157"/>
      <c r="D18" s="40"/>
      <c r="E18" s="30"/>
    </row>
    <row r="19" spans="2:5" s="149" customFormat="1" ht="15.75">
      <c r="B19" s="156"/>
      <c r="C19" s="157" t="s">
        <v>229</v>
      </c>
      <c r="D19" s="41">
        <f>D17-D15</f>
        <v>12.753076600774989</v>
      </c>
      <c r="E19" s="30"/>
    </row>
    <row r="20" spans="2:5" s="149" customFormat="1" ht="15.75">
      <c r="B20" s="156"/>
      <c r="C20" s="157"/>
      <c r="D20" s="158"/>
      <c r="E20" s="30"/>
    </row>
    <row r="21" spans="2:5" s="149" customFormat="1" ht="15">
      <c r="B21" s="156"/>
      <c r="C21" s="157" t="s">
        <v>228</v>
      </c>
      <c r="D21" s="159">
        <f>PV(D8/2,2,,-D9)</f>
        <v>933.51070036640306</v>
      </c>
      <c r="E21" s="30"/>
    </row>
    <row r="22" spans="2:5" s="149" customFormat="1" ht="15.75">
      <c r="B22" s="156"/>
      <c r="C22" s="157"/>
      <c r="D22" s="158"/>
      <c r="E22" s="30"/>
    </row>
    <row r="23" spans="2:5" s="149" customFormat="1" ht="15.75">
      <c r="B23" s="156"/>
      <c r="C23" s="157" t="s">
        <v>227</v>
      </c>
      <c r="D23" s="41">
        <f>D9-D21</f>
        <v>66.489299633596943</v>
      </c>
      <c r="E23" s="30"/>
    </row>
    <row r="24" spans="2:5" s="149" customFormat="1" ht="15.75">
      <c r="B24" s="156"/>
      <c r="C24" s="157"/>
      <c r="D24" s="32"/>
      <c r="E24" s="30"/>
    </row>
    <row r="25" spans="2:5" s="149" customFormat="1" ht="15">
      <c r="B25" s="156" t="s">
        <v>62</v>
      </c>
      <c r="C25" s="157" t="s">
        <v>226</v>
      </c>
      <c r="D25" s="38">
        <f>D9-D15</f>
        <v>820.94662547174403</v>
      </c>
      <c r="E25" s="30"/>
    </row>
    <row r="26" spans="2:5" s="149" customFormat="1" ht="15.75">
      <c r="B26" s="156"/>
      <c r="C26" s="157"/>
      <c r="D26" s="32"/>
      <c r="E26" s="30"/>
    </row>
    <row r="27" spans="2:5" s="149" customFormat="1" ht="15.75">
      <c r="B27" s="156"/>
      <c r="C27" s="155" t="s">
        <v>225</v>
      </c>
      <c r="D27" s="29">
        <f>D25/D7</f>
        <v>32.837865018869763</v>
      </c>
      <c r="E27" s="153"/>
    </row>
    <row r="28" spans="2:5" s="149" customFormat="1" ht="15.75">
      <c r="B28" s="156"/>
      <c r="C28" s="155"/>
      <c r="D28" s="154"/>
      <c r="E28" s="153"/>
    </row>
    <row r="29" spans="2:5" s="149" customFormat="1" ht="15.75">
      <c r="B29" s="156" t="s">
        <v>224</v>
      </c>
      <c r="C29" s="155" t="s">
        <v>223</v>
      </c>
      <c r="D29" s="154"/>
      <c r="E29" s="153"/>
    </row>
    <row r="30" spans="2:5" s="149" customFormat="1" ht="15.75">
      <c r="B30" s="156"/>
      <c r="C30" s="155" t="s">
        <v>222</v>
      </c>
      <c r="D30" s="154"/>
      <c r="E30" s="153"/>
    </row>
    <row r="31" spans="2:5" s="149" customFormat="1" ht="15.75">
      <c r="B31" s="156"/>
      <c r="C31" s="155" t="s">
        <v>221</v>
      </c>
      <c r="D31" s="154"/>
      <c r="E31" s="153"/>
    </row>
    <row r="32" spans="2:5" s="149" customFormat="1" ht="15.75">
      <c r="B32" s="156"/>
      <c r="C32" s="155" t="s">
        <v>220</v>
      </c>
      <c r="D32" s="154"/>
      <c r="E32" s="153"/>
    </row>
    <row r="33" spans="2:5" s="149" customFormat="1" ht="15" customHeight="1" thickBot="1">
      <c r="B33" s="152"/>
      <c r="C33" s="151"/>
      <c r="D33" s="151"/>
      <c r="E33" s="150"/>
    </row>
    <row r="34" spans="2:5" s="149" customFormat="1" ht="15"/>
  </sheetData>
  <phoneticPr fontId="25" type="noConversion"/>
  <pageMargins left="0.75" right="0.75" top="1" bottom="1" header="0.5" footer="0.5"/>
  <pageSetup orientation="portrait" horizont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B1:H41"/>
  <sheetViews>
    <sheetView workbookViewId="0"/>
  </sheetViews>
  <sheetFormatPr defaultRowHeight="12.75"/>
  <cols>
    <col min="1" max="1" width="9.140625" style="148"/>
    <col min="2" max="2" width="3.140625" style="148" customWidth="1"/>
    <col min="3" max="3" width="31" style="148" customWidth="1"/>
    <col min="4" max="4" width="17.140625" style="148" customWidth="1"/>
    <col min="5" max="5" width="3.140625" style="148" customWidth="1"/>
    <col min="6" max="6" width="17" style="148" customWidth="1"/>
    <col min="7" max="7" width="3.140625" style="148" customWidth="1"/>
    <col min="8" max="16384" width="9.140625" style="148"/>
  </cols>
  <sheetData>
    <row r="1" spans="2:7" ht="18">
      <c r="C1" s="176" t="s">
        <v>215</v>
      </c>
    </row>
    <row r="2" spans="2:7" ht="15">
      <c r="C2" s="149" t="s">
        <v>66</v>
      </c>
    </row>
    <row r="4" spans="2:7" ht="15">
      <c r="C4" s="164" t="s">
        <v>1</v>
      </c>
      <c r="D4" s="149"/>
      <c r="E4" s="149"/>
      <c r="F4" s="149"/>
      <c r="G4" s="149"/>
    </row>
    <row r="5" spans="2:7" s="149" customFormat="1" ht="15.75" thickBot="1">
      <c r="C5" s="163"/>
      <c r="D5" s="175"/>
      <c r="E5" s="175"/>
      <c r="F5" s="175"/>
    </row>
    <row r="6" spans="2:7" s="149" customFormat="1" ht="15">
      <c r="B6" s="174"/>
      <c r="C6" s="173"/>
      <c r="D6" s="172"/>
      <c r="E6" s="171"/>
      <c r="F6" s="187"/>
      <c r="G6" s="187"/>
    </row>
    <row r="7" spans="2:7" s="149" customFormat="1" ht="15">
      <c r="B7" s="170"/>
      <c r="C7" s="169" t="s">
        <v>64</v>
      </c>
      <c r="D7" s="100">
        <v>30</v>
      </c>
      <c r="E7" s="46"/>
      <c r="F7" s="187"/>
      <c r="G7" s="187"/>
    </row>
    <row r="8" spans="2:7" s="149" customFormat="1" ht="15">
      <c r="B8" s="170"/>
      <c r="C8" s="169" t="s">
        <v>232</v>
      </c>
      <c r="D8" s="91">
        <v>0.06</v>
      </c>
      <c r="E8" s="47"/>
      <c r="F8" s="187"/>
      <c r="G8" s="187"/>
    </row>
    <row r="9" spans="2:7" s="149" customFormat="1" ht="15">
      <c r="B9" s="170"/>
      <c r="C9" s="169" t="s">
        <v>248</v>
      </c>
      <c r="D9" s="90">
        <v>45000000</v>
      </c>
      <c r="E9" s="48"/>
      <c r="F9" s="187"/>
      <c r="G9" s="187"/>
    </row>
    <row r="10" spans="2:7" s="149" customFormat="1" ht="15">
      <c r="B10" s="170"/>
      <c r="C10" s="169" t="s">
        <v>15</v>
      </c>
      <c r="D10" s="110">
        <v>1000</v>
      </c>
      <c r="E10" s="49"/>
      <c r="F10" s="187"/>
      <c r="G10" s="187"/>
    </row>
    <row r="11" spans="2:7" s="149" customFormat="1" ht="15">
      <c r="B11" s="170"/>
      <c r="C11" s="169"/>
      <c r="D11" s="89"/>
      <c r="E11" s="49"/>
      <c r="F11" s="187"/>
      <c r="G11" s="187"/>
    </row>
    <row r="12" spans="2:7" s="149" customFormat="1" ht="15">
      <c r="B12" s="170"/>
      <c r="C12" s="169" t="s">
        <v>5</v>
      </c>
      <c r="D12" s="228">
        <f>D8</f>
        <v>0.06</v>
      </c>
      <c r="E12" s="47"/>
      <c r="F12" s="187"/>
      <c r="G12" s="187"/>
    </row>
    <row r="13" spans="2:7" s="149" customFormat="1" ht="15">
      <c r="B13" s="170"/>
      <c r="C13" s="169" t="s">
        <v>247</v>
      </c>
      <c r="D13" s="91">
        <v>0.35</v>
      </c>
      <c r="E13" s="47"/>
      <c r="F13" s="187"/>
      <c r="G13" s="187"/>
    </row>
    <row r="14" spans="2:7" s="149" customFormat="1" ht="15" customHeight="1" thickBot="1">
      <c r="B14" s="167"/>
      <c r="C14" s="166"/>
      <c r="D14" s="166"/>
      <c r="E14" s="165"/>
      <c r="F14" s="187"/>
      <c r="G14" s="187"/>
    </row>
    <row r="15" spans="2:7" s="149" customFormat="1" ht="15"/>
    <row r="16" spans="2:7" s="149" customFormat="1" ht="15">
      <c r="C16" s="164" t="s">
        <v>2</v>
      </c>
    </row>
    <row r="17" spans="2:8" s="149" customFormat="1" ht="15.75" thickBot="1">
      <c r="C17" s="163"/>
      <c r="F17" s="175"/>
      <c r="G17" s="175"/>
    </row>
    <row r="18" spans="2:8" s="149" customFormat="1" ht="15">
      <c r="B18" s="162"/>
      <c r="C18" s="161"/>
      <c r="D18" s="161"/>
      <c r="E18" s="161"/>
      <c r="F18" s="161"/>
      <c r="G18" s="160"/>
      <c r="H18" s="175"/>
    </row>
    <row r="19" spans="2:8" s="149" customFormat="1" ht="15">
      <c r="B19" s="156" t="s">
        <v>60</v>
      </c>
      <c r="C19" s="155" t="s">
        <v>246</v>
      </c>
      <c r="D19" s="17">
        <f>D10</f>
        <v>1000</v>
      </c>
      <c r="E19" s="17"/>
      <c r="F19" s="17"/>
      <c r="G19" s="186"/>
      <c r="H19" s="175"/>
    </row>
    <row r="20" spans="2:8" s="149" customFormat="1" ht="15.75">
      <c r="B20" s="156"/>
      <c r="C20" s="157" t="s">
        <v>245</v>
      </c>
      <c r="D20" s="185">
        <f>D9/D10</f>
        <v>45000</v>
      </c>
      <c r="E20" s="44"/>
      <c r="F20" s="44"/>
      <c r="G20" s="30"/>
      <c r="H20" s="175"/>
    </row>
    <row r="21" spans="2:8" s="149" customFormat="1" ht="15.75">
      <c r="B21" s="156"/>
      <c r="C21" s="157"/>
      <c r="D21" s="44"/>
      <c r="E21" s="44"/>
      <c r="F21" s="44"/>
      <c r="G21" s="30"/>
      <c r="H21" s="175"/>
    </row>
    <row r="22" spans="2:8" s="149" customFormat="1" ht="15">
      <c r="B22" s="156"/>
      <c r="C22" s="157" t="s">
        <v>244</v>
      </c>
      <c r="D22" s="40">
        <f>PV(D8/2,D7*2,,-D10)</f>
        <v>169.73309001641769</v>
      </c>
      <c r="E22" s="40"/>
      <c r="F22" s="40"/>
      <c r="G22" s="30"/>
      <c r="H22" s="175"/>
    </row>
    <row r="23" spans="2:8" s="149" customFormat="1" ht="15.75">
      <c r="B23" s="156"/>
      <c r="C23" s="157" t="s">
        <v>243</v>
      </c>
      <c r="D23" s="185">
        <f>D9/D22</f>
        <v>265122.1396820579</v>
      </c>
      <c r="E23" s="44"/>
      <c r="F23" s="44"/>
      <c r="G23" s="30"/>
      <c r="H23" s="175"/>
    </row>
    <row r="24" spans="2:8" s="149" customFormat="1" ht="15">
      <c r="B24" s="156"/>
      <c r="C24" s="157"/>
      <c r="D24" s="40"/>
      <c r="E24" s="40"/>
      <c r="F24" s="40"/>
      <c r="G24" s="30"/>
      <c r="H24" s="175"/>
    </row>
    <row r="25" spans="2:8" s="149" customFormat="1" ht="15.75">
      <c r="B25" s="156" t="s">
        <v>61</v>
      </c>
      <c r="C25" s="157" t="s">
        <v>242</v>
      </c>
      <c r="D25" s="184">
        <f>(D20*D10)+(D20*D8/2*D10)</f>
        <v>46350000</v>
      </c>
      <c r="E25" s="180"/>
      <c r="F25" s="180"/>
      <c r="G25" s="30"/>
      <c r="H25" s="175"/>
    </row>
    <row r="26" spans="2:8" s="149" customFormat="1" ht="15.75">
      <c r="B26" s="156"/>
      <c r="C26" s="157"/>
      <c r="D26" s="158"/>
      <c r="E26" s="158"/>
      <c r="F26" s="158"/>
      <c r="G26" s="30"/>
      <c r="H26" s="175"/>
    </row>
    <row r="27" spans="2:8" s="149" customFormat="1" ht="15.75">
      <c r="B27" s="156"/>
      <c r="C27" s="157" t="s">
        <v>241</v>
      </c>
      <c r="D27" s="184">
        <f>D23*D10</f>
        <v>265122139.68205789</v>
      </c>
      <c r="E27" s="180"/>
      <c r="F27" s="180"/>
      <c r="G27" s="30"/>
      <c r="H27" s="175"/>
    </row>
    <row r="28" spans="2:8" s="149" customFormat="1" ht="15.75">
      <c r="B28" s="156"/>
      <c r="C28" s="157"/>
      <c r="D28" s="32"/>
      <c r="E28" s="32"/>
      <c r="F28" s="32"/>
      <c r="G28" s="30"/>
      <c r="H28" s="175"/>
    </row>
    <row r="29" spans="2:8" s="149" customFormat="1" ht="15">
      <c r="B29" s="156" t="s">
        <v>62</v>
      </c>
      <c r="C29" s="183" t="s">
        <v>240</v>
      </c>
      <c r="D29" s="38"/>
      <c r="E29" s="38"/>
      <c r="F29" s="38"/>
      <c r="G29" s="30"/>
    </row>
    <row r="30" spans="2:8" s="149" customFormat="1" ht="15.75">
      <c r="B30" s="156"/>
      <c r="C30" s="157" t="s">
        <v>239</v>
      </c>
      <c r="D30" s="182">
        <f>(D12*D10)*D20*(1-D13)</f>
        <v>1755000</v>
      </c>
      <c r="E30" s="181"/>
      <c r="F30" s="177" t="str">
        <f>IF(D30&gt;0,"Cash outflow","Cash inflow")</f>
        <v>Cash outflow</v>
      </c>
      <c r="G30" s="30"/>
    </row>
    <row r="31" spans="2:8" s="149" customFormat="1" ht="15.75">
      <c r="B31" s="156"/>
      <c r="C31" s="157"/>
      <c r="D31" s="180"/>
      <c r="E31" s="32"/>
      <c r="F31" s="32"/>
      <c r="G31" s="30"/>
    </row>
    <row r="32" spans="2:8" s="149" customFormat="1" ht="15.75">
      <c r="B32" s="156"/>
      <c r="C32" s="157" t="s">
        <v>238</v>
      </c>
      <c r="D32" s="159">
        <f>PV(D8/2,(D7-1)*2,,-D10)</f>
        <v>180.06983519841754</v>
      </c>
      <c r="E32" s="32"/>
      <c r="F32" s="32"/>
      <c r="G32" s="30"/>
    </row>
    <row r="33" spans="2:8" s="149" customFormat="1" ht="15.75">
      <c r="B33" s="156"/>
      <c r="C33" s="157"/>
      <c r="D33" s="159"/>
      <c r="E33" s="32"/>
      <c r="F33" s="32"/>
      <c r="G33" s="30"/>
    </row>
    <row r="34" spans="2:8" s="149" customFormat="1" ht="15.75">
      <c r="B34" s="156"/>
      <c r="C34" s="157" t="s">
        <v>237</v>
      </c>
      <c r="D34" s="159">
        <f>D32-D22</f>
        <v>10.336745181999845</v>
      </c>
      <c r="E34" s="32"/>
      <c r="F34" s="32"/>
      <c r="G34" s="30"/>
    </row>
    <row r="35" spans="2:8" s="149" customFormat="1" ht="15.75">
      <c r="B35" s="156"/>
      <c r="C35" s="157"/>
      <c r="D35" s="32"/>
      <c r="E35" s="32"/>
      <c r="F35" s="32"/>
      <c r="G35" s="30"/>
    </row>
    <row r="36" spans="2:8" s="149" customFormat="1" ht="15.75">
      <c r="B36" s="156"/>
      <c r="C36" s="155" t="s">
        <v>236</v>
      </c>
      <c r="D36" s="179">
        <f>-D34*D23*D13</f>
        <v>-959175.00000000058</v>
      </c>
      <c r="E36" s="178"/>
      <c r="F36" s="177" t="str">
        <f>IF(D36&gt;0,"Cash outflow","Cash inflow")</f>
        <v>Cash inflow</v>
      </c>
      <c r="G36" s="153"/>
    </row>
    <row r="37" spans="2:8" s="149" customFormat="1" ht="15.75">
      <c r="B37" s="156"/>
      <c r="C37" s="155"/>
      <c r="D37" s="154"/>
      <c r="E37" s="154"/>
      <c r="F37" s="154"/>
      <c r="G37" s="153"/>
    </row>
    <row r="38" spans="2:8" s="149" customFormat="1" ht="15.75">
      <c r="B38" s="156"/>
      <c r="C38" s="155" t="s">
        <v>235</v>
      </c>
      <c r="D38" s="154"/>
      <c r="E38" s="154"/>
      <c r="F38" s="154"/>
      <c r="G38" s="153"/>
    </row>
    <row r="39" spans="2:8" s="149" customFormat="1" ht="15.75">
      <c r="B39" s="156"/>
      <c r="C39" s="155" t="s">
        <v>234</v>
      </c>
      <c r="D39" s="154"/>
      <c r="E39" s="154"/>
      <c r="F39" s="154"/>
      <c r="G39" s="153"/>
    </row>
    <row r="40" spans="2:8" s="149" customFormat="1" ht="15" customHeight="1" thickBot="1">
      <c r="B40" s="152"/>
      <c r="C40" s="151"/>
      <c r="D40" s="151"/>
      <c r="E40" s="151"/>
      <c r="F40" s="151"/>
      <c r="G40" s="150"/>
      <c r="H40" s="175"/>
    </row>
    <row r="41" spans="2:8" s="149" customFormat="1" ht="15">
      <c r="F41" s="175"/>
      <c r="G41" s="175"/>
    </row>
  </sheetData>
  <phoneticPr fontId="25" type="noConversion"/>
  <pageMargins left="0.75" right="0.75" top="1" bottom="1" header="0.5" footer="0.5"/>
  <pageSetup orientation="portrait" horizont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112112111111112"/>
  <dimension ref="B1:E51"/>
  <sheetViews>
    <sheetView workbookViewId="0"/>
  </sheetViews>
  <sheetFormatPr defaultRowHeight="12.75"/>
  <cols>
    <col min="2" max="2" width="3.140625" customWidth="1"/>
    <col min="3" max="3" width="31.7109375" customWidth="1"/>
    <col min="4" max="4" width="17.42578125" customWidth="1"/>
    <col min="5" max="5" width="3.140625" customWidth="1"/>
  </cols>
  <sheetData>
    <row r="1" spans="2:5" ht="18">
      <c r="C1" s="1" t="s">
        <v>215</v>
      </c>
    </row>
    <row r="2" spans="2:5" ht="15">
      <c r="C2" s="2" t="s">
        <v>69</v>
      </c>
    </row>
    <row r="4" spans="2:5" ht="15">
      <c r="C4" s="3" t="s">
        <v>1</v>
      </c>
      <c r="D4" s="2"/>
      <c r="E4" s="2"/>
    </row>
    <row r="5" spans="2:5" s="2" customFormat="1" ht="15.75" thickBot="1">
      <c r="C5" s="4"/>
      <c r="D5" s="5"/>
    </row>
    <row r="6" spans="2:5" s="2" customFormat="1" ht="15">
      <c r="B6" s="21"/>
      <c r="C6" s="6"/>
      <c r="D6" s="7"/>
      <c r="E6" s="8"/>
    </row>
    <row r="7" spans="2:5" s="2" customFormat="1" ht="15">
      <c r="B7" s="22"/>
      <c r="C7" s="34" t="s">
        <v>70</v>
      </c>
      <c r="D7" s="9"/>
      <c r="E7" s="10"/>
    </row>
    <row r="8" spans="2:5" s="2" customFormat="1" ht="15">
      <c r="B8" s="22"/>
      <c r="C8" s="9" t="s">
        <v>5</v>
      </c>
      <c r="D8" s="88">
        <v>0.09</v>
      </c>
      <c r="E8" s="10"/>
    </row>
    <row r="9" spans="2:5" s="2" customFormat="1" ht="15">
      <c r="B9" s="22"/>
      <c r="C9" s="9" t="s">
        <v>6</v>
      </c>
      <c r="D9" s="88">
        <v>7.0000000000000007E-2</v>
      </c>
      <c r="E9" s="10"/>
    </row>
    <row r="10" spans="2:5" s="2" customFormat="1" ht="15">
      <c r="B10" s="22"/>
      <c r="C10" s="9" t="s">
        <v>8</v>
      </c>
      <c r="D10" s="87">
        <v>36526</v>
      </c>
      <c r="E10" s="10"/>
    </row>
    <row r="11" spans="2:5" s="2" customFormat="1" ht="15">
      <c r="B11" s="22"/>
      <c r="C11" s="9" t="s">
        <v>9</v>
      </c>
      <c r="D11" s="87">
        <v>40179</v>
      </c>
      <c r="E11" s="10"/>
    </row>
    <row r="12" spans="2:5" s="2" customFormat="1" ht="15">
      <c r="B12" s="22"/>
      <c r="C12" s="9" t="s">
        <v>15</v>
      </c>
      <c r="D12" s="96">
        <v>1000</v>
      </c>
      <c r="E12" s="10"/>
    </row>
    <row r="13" spans="2:5" s="2" customFormat="1" ht="15">
      <c r="B13" s="22"/>
      <c r="C13" s="9" t="s">
        <v>37</v>
      </c>
      <c r="D13" s="96">
        <v>1</v>
      </c>
      <c r="E13" s="10"/>
    </row>
    <row r="14" spans="2:5" s="2" customFormat="1" ht="15">
      <c r="B14" s="22"/>
      <c r="C14" s="9"/>
      <c r="D14" s="93"/>
      <c r="E14" s="10"/>
    </row>
    <row r="15" spans="2:5" s="2" customFormat="1" ht="15">
      <c r="B15" s="22"/>
      <c r="C15" s="34" t="s">
        <v>71</v>
      </c>
      <c r="D15" s="93"/>
      <c r="E15" s="10"/>
    </row>
    <row r="16" spans="2:5" s="2" customFormat="1" ht="15">
      <c r="B16" s="22"/>
      <c r="C16" s="9" t="s">
        <v>5</v>
      </c>
      <c r="D16" s="91">
        <v>0.05</v>
      </c>
      <c r="E16" s="10"/>
    </row>
    <row r="17" spans="2:5" s="2" customFormat="1" ht="15">
      <c r="B17" s="22"/>
      <c r="C17" s="9" t="s">
        <v>6</v>
      </c>
      <c r="D17" s="91">
        <v>7.0000000000000007E-2</v>
      </c>
      <c r="E17" s="10"/>
    </row>
    <row r="18" spans="2:5" s="2" customFormat="1" ht="15">
      <c r="B18" s="22"/>
      <c r="C18" s="9" t="s">
        <v>8</v>
      </c>
      <c r="D18" s="227">
        <f>D10</f>
        <v>36526</v>
      </c>
      <c r="E18" s="10"/>
    </row>
    <row r="19" spans="2:5" s="2" customFormat="1" ht="15">
      <c r="B19" s="22"/>
      <c r="C19" s="9" t="s">
        <v>9</v>
      </c>
      <c r="D19" s="230">
        <f>D11</f>
        <v>40179</v>
      </c>
      <c r="E19" s="10"/>
    </row>
    <row r="20" spans="2:5" s="2" customFormat="1" ht="15">
      <c r="B20" s="22"/>
      <c r="C20" s="9" t="s">
        <v>15</v>
      </c>
      <c r="D20" s="96">
        <v>1000</v>
      </c>
      <c r="E20" s="10"/>
    </row>
    <row r="21" spans="2:5" s="2" customFormat="1" ht="15">
      <c r="B21" s="22"/>
      <c r="C21" s="9" t="s">
        <v>37</v>
      </c>
      <c r="D21" s="96">
        <v>1</v>
      </c>
      <c r="E21" s="10"/>
    </row>
    <row r="22" spans="2:5" s="2" customFormat="1" ht="15">
      <c r="B22" s="22"/>
      <c r="C22" s="9"/>
      <c r="D22" s="96"/>
      <c r="E22" s="10"/>
    </row>
    <row r="23" spans="2:5" s="2" customFormat="1" ht="15">
      <c r="B23" s="22"/>
      <c r="C23" s="9" t="s">
        <v>72</v>
      </c>
      <c r="D23" s="87">
        <v>36892</v>
      </c>
      <c r="E23" s="10"/>
    </row>
    <row r="24" spans="2:5" s="2" customFormat="1" ht="15" customHeight="1" thickBot="1">
      <c r="B24" s="23"/>
      <c r="C24" s="11"/>
      <c r="D24" s="35"/>
      <c r="E24" s="12"/>
    </row>
    <row r="25" spans="2:5" s="2" customFormat="1" ht="15"/>
    <row r="26" spans="2:5" s="2" customFormat="1" ht="15">
      <c r="C26" s="3" t="s">
        <v>2</v>
      </c>
    </row>
    <row r="27" spans="2:5" s="2" customFormat="1" ht="15.75" thickBot="1">
      <c r="C27" s="4"/>
    </row>
    <row r="28" spans="2:5" s="2" customFormat="1" ht="15">
      <c r="B28" s="24"/>
      <c r="C28" s="13"/>
      <c r="D28" s="13"/>
      <c r="E28" s="25"/>
    </row>
    <row r="29" spans="2:5" s="2" customFormat="1" ht="15">
      <c r="B29" s="19"/>
      <c r="C29" s="16" t="s">
        <v>183</v>
      </c>
      <c r="D29" s="38">
        <f>10*PRICE(D10,D11,D8,D9,D12/10,D13)</f>
        <v>1140.4716308186519</v>
      </c>
      <c r="E29" s="20"/>
    </row>
    <row r="30" spans="2:5" s="2" customFormat="1" ht="15">
      <c r="B30" s="19"/>
      <c r="C30" s="16" t="s">
        <v>184</v>
      </c>
      <c r="D30" s="39">
        <f>10*PRICE(D23,D11,D8,D9,D12/10,D13)</f>
        <v>1130.3046449759574</v>
      </c>
      <c r="E30" s="20"/>
    </row>
    <row r="31" spans="2:5" s="2" customFormat="1" ht="15">
      <c r="B31" s="19"/>
      <c r="C31" s="16"/>
      <c r="D31" s="16"/>
      <c r="E31" s="20"/>
    </row>
    <row r="32" spans="2:5" s="2" customFormat="1" ht="15">
      <c r="B32" s="19"/>
      <c r="C32" s="14" t="s">
        <v>185</v>
      </c>
      <c r="D32" s="38">
        <f>10*PRICE(D18,D19,D16,D17,D20/10,D21)</f>
        <v>859.5283691813479</v>
      </c>
      <c r="E32" s="30"/>
    </row>
    <row r="33" spans="2:5" s="2" customFormat="1" ht="15">
      <c r="B33" s="19"/>
      <c r="C33" s="14" t="s">
        <v>184</v>
      </c>
      <c r="D33" s="39">
        <f>10*PRICE(D23,D19,D16,D17,D20/10,D21)</f>
        <v>869.69535502404233</v>
      </c>
      <c r="E33" s="30"/>
    </row>
    <row r="34" spans="2:5" s="2" customFormat="1" ht="15.75">
      <c r="B34" s="19"/>
      <c r="C34" s="14"/>
      <c r="D34" s="33"/>
      <c r="E34" s="30"/>
    </row>
    <row r="35" spans="2:5" s="2" customFormat="1" ht="15.75">
      <c r="B35" s="19"/>
      <c r="C35" s="14" t="s">
        <v>186</v>
      </c>
      <c r="D35" s="31">
        <f>(D8*D12)/D29</f>
        <v>7.8914720513824893E-2</v>
      </c>
      <c r="E35" s="30"/>
    </row>
    <row r="36" spans="2:5" s="2" customFormat="1" ht="15.75">
      <c r="B36" s="19"/>
      <c r="C36" s="61"/>
      <c r="D36" s="37"/>
      <c r="E36" s="30"/>
    </row>
    <row r="37" spans="2:5" s="2" customFormat="1" ht="15.75">
      <c r="B37" s="19"/>
      <c r="C37" s="14" t="s">
        <v>187</v>
      </c>
      <c r="D37" s="31">
        <f>(D30-D29)/D29</f>
        <v>-8.9147205138249488E-3</v>
      </c>
      <c r="E37" s="30"/>
    </row>
    <row r="38" spans="2:5" s="2" customFormat="1" ht="15.75">
      <c r="B38" s="19"/>
      <c r="C38" s="14"/>
      <c r="D38" s="33"/>
      <c r="E38" s="30"/>
    </row>
    <row r="39" spans="2:5" s="2" customFormat="1" ht="15.75">
      <c r="B39" s="19"/>
      <c r="C39" s="14" t="s">
        <v>188</v>
      </c>
      <c r="D39" s="31">
        <f>(D16*D20)/D32</f>
        <v>5.8171436560752694E-2</v>
      </c>
      <c r="E39" s="30"/>
    </row>
    <row r="40" spans="2:5" s="2" customFormat="1" ht="15.75">
      <c r="B40" s="19"/>
      <c r="C40" s="14"/>
      <c r="D40" s="37"/>
      <c r="E40" s="30"/>
    </row>
    <row r="41" spans="2:5" s="2" customFormat="1" ht="15.75">
      <c r="B41" s="19"/>
      <c r="C41" s="14" t="s">
        <v>189</v>
      </c>
      <c r="D41" s="31">
        <f>(D33-D32)/D32</f>
        <v>1.1828563439247396E-2</v>
      </c>
      <c r="E41" s="30"/>
    </row>
    <row r="42" spans="2:5" s="2" customFormat="1" ht="15.75">
      <c r="B42" s="19"/>
      <c r="C42" s="14"/>
      <c r="D42" s="33"/>
      <c r="E42" s="30"/>
    </row>
    <row r="43" spans="2:5" s="2" customFormat="1" ht="15.75">
      <c r="B43" s="19"/>
      <c r="C43" s="14" t="s">
        <v>73</v>
      </c>
      <c r="D43" s="36"/>
      <c r="E43" s="30"/>
    </row>
    <row r="44" spans="2:5" s="2" customFormat="1" ht="15.75">
      <c r="B44" s="19"/>
      <c r="C44" s="14" t="s">
        <v>74</v>
      </c>
      <c r="D44" s="36"/>
      <c r="E44" s="30"/>
    </row>
    <row r="45" spans="2:5" s="2" customFormat="1" ht="15.75">
      <c r="B45" s="19"/>
      <c r="C45" s="14" t="s">
        <v>75</v>
      </c>
      <c r="D45" s="36"/>
      <c r="E45" s="30"/>
    </row>
    <row r="46" spans="2:5" s="2" customFormat="1" ht="15.75">
      <c r="B46" s="19"/>
      <c r="C46" s="14" t="s">
        <v>76</v>
      </c>
      <c r="D46" s="36"/>
      <c r="E46" s="30"/>
    </row>
    <row r="47" spans="2:5" s="2" customFormat="1" ht="15.75">
      <c r="B47" s="19"/>
      <c r="C47" s="14" t="s">
        <v>77</v>
      </c>
      <c r="D47" s="36"/>
      <c r="E47" s="30"/>
    </row>
    <row r="48" spans="2:5" s="2" customFormat="1" ht="15.75">
      <c r="B48" s="19"/>
      <c r="C48" s="14" t="s">
        <v>106</v>
      </c>
      <c r="D48" s="36"/>
      <c r="E48" s="30"/>
    </row>
    <row r="49" spans="2:5" s="2" customFormat="1" ht="15.75">
      <c r="B49" s="19"/>
      <c r="C49" s="14" t="s">
        <v>78</v>
      </c>
      <c r="D49" s="36"/>
      <c r="E49" s="30"/>
    </row>
    <row r="50" spans="2:5" s="2" customFormat="1" ht="15" customHeight="1" thickBot="1">
      <c r="B50" s="26"/>
      <c r="C50" s="27"/>
      <c r="D50" s="27"/>
      <c r="E50" s="28"/>
    </row>
    <row r="51" spans="2:5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112111211"/>
  <dimension ref="B1:H34"/>
  <sheetViews>
    <sheetView workbookViewId="0"/>
  </sheetViews>
  <sheetFormatPr defaultRowHeight="12.75"/>
  <cols>
    <col min="2" max="2" width="3.140625" customWidth="1"/>
    <col min="3" max="3" width="31" customWidth="1"/>
    <col min="4" max="4" width="17.140625" customWidth="1"/>
    <col min="5" max="5" width="3.140625" customWidth="1"/>
    <col min="6" max="6" width="17" customWidth="1"/>
    <col min="7" max="7" width="3.140625" customWidth="1"/>
  </cols>
  <sheetData>
    <row r="1" spans="2:7" ht="18">
      <c r="C1" s="1" t="s">
        <v>215</v>
      </c>
    </row>
    <row r="2" spans="2:7" ht="15">
      <c r="C2" s="2" t="s">
        <v>79</v>
      </c>
    </row>
    <row r="4" spans="2:7" ht="15">
      <c r="C4" s="3" t="s">
        <v>1</v>
      </c>
      <c r="D4" s="2"/>
      <c r="E4" s="2"/>
      <c r="F4" s="2"/>
      <c r="G4" s="2"/>
    </row>
    <row r="5" spans="2:7" s="2" customFormat="1" ht="15.75" thickBot="1">
      <c r="C5" s="4"/>
      <c r="D5" s="5"/>
      <c r="E5" s="5"/>
      <c r="F5" s="5"/>
    </row>
    <row r="6" spans="2:7" s="2" customFormat="1" ht="15">
      <c r="B6" s="21"/>
      <c r="C6" s="6"/>
      <c r="D6" s="7"/>
      <c r="E6" s="8"/>
      <c r="F6" s="45"/>
      <c r="G6" s="45"/>
    </row>
    <row r="7" spans="2:7" s="2" customFormat="1" ht="15">
      <c r="B7" s="22"/>
      <c r="C7" s="9" t="s">
        <v>8</v>
      </c>
      <c r="D7" s="101">
        <v>36526</v>
      </c>
      <c r="E7" s="10"/>
      <c r="F7" s="45"/>
      <c r="G7" s="45"/>
    </row>
    <row r="8" spans="2:7" s="2" customFormat="1" ht="15">
      <c r="B8" s="22"/>
      <c r="C8" s="9" t="s">
        <v>9</v>
      </c>
      <c r="D8" s="86">
        <v>40179</v>
      </c>
      <c r="E8" s="46"/>
      <c r="F8" s="45"/>
      <c r="G8" s="45"/>
    </row>
    <row r="9" spans="2:7" s="2" customFormat="1" ht="15">
      <c r="B9" s="22"/>
      <c r="C9" s="9" t="s">
        <v>5</v>
      </c>
      <c r="D9" s="93">
        <v>5.6000000000000001E-2</v>
      </c>
      <c r="E9" s="47"/>
      <c r="F9" s="45"/>
      <c r="G9" s="45"/>
    </row>
    <row r="10" spans="2:7" s="2" customFormat="1" ht="15">
      <c r="B10" s="22"/>
      <c r="C10" s="9" t="s">
        <v>80</v>
      </c>
      <c r="D10" s="90">
        <v>930</v>
      </c>
      <c r="E10" s="48"/>
      <c r="F10" s="45"/>
      <c r="G10" s="45"/>
    </row>
    <row r="11" spans="2:7" s="2" customFormat="1" ht="15">
      <c r="B11" s="22"/>
      <c r="C11" s="9" t="s">
        <v>15</v>
      </c>
      <c r="D11" s="89">
        <v>1000</v>
      </c>
      <c r="E11" s="49"/>
      <c r="F11" s="45"/>
      <c r="G11" s="45"/>
    </row>
    <row r="12" spans="2:7" s="2" customFormat="1" ht="15">
      <c r="B12" s="22"/>
      <c r="C12" s="9" t="s">
        <v>11</v>
      </c>
      <c r="D12" s="89">
        <v>1</v>
      </c>
      <c r="E12" s="49"/>
      <c r="F12" s="45"/>
      <c r="G12" s="45"/>
    </row>
    <row r="13" spans="2:7" s="2" customFormat="1" ht="15">
      <c r="B13" s="22"/>
      <c r="C13" s="9"/>
      <c r="D13" s="89"/>
      <c r="E13" s="49"/>
      <c r="F13" s="45"/>
      <c r="G13" s="45"/>
    </row>
    <row r="14" spans="2:7" s="2" customFormat="1" ht="15">
      <c r="B14" s="22"/>
      <c r="C14" s="9" t="s">
        <v>81</v>
      </c>
      <c r="D14" s="87">
        <v>37257</v>
      </c>
      <c r="E14" s="49"/>
      <c r="F14" s="45"/>
      <c r="G14" s="45"/>
    </row>
    <row r="15" spans="2:7" s="2" customFormat="1" ht="15">
      <c r="B15" s="22"/>
      <c r="C15" s="9" t="s">
        <v>47</v>
      </c>
      <c r="D15" s="91">
        <v>-0.01</v>
      </c>
      <c r="E15" s="47"/>
      <c r="F15" s="45"/>
      <c r="G15" s="45"/>
    </row>
    <row r="16" spans="2:7" s="2" customFormat="1" ht="15" customHeight="1" thickBot="1">
      <c r="B16" s="23"/>
      <c r="C16" s="11"/>
      <c r="D16" s="11"/>
      <c r="E16" s="12"/>
      <c r="F16" s="45"/>
      <c r="G16" s="45"/>
    </row>
    <row r="17" spans="2:8" s="2" customFormat="1" ht="15"/>
    <row r="18" spans="2:8" s="2" customFormat="1" ht="15">
      <c r="C18" s="3" t="s">
        <v>2</v>
      </c>
    </row>
    <row r="19" spans="2:8" s="2" customFormat="1" ht="15.75" thickBot="1">
      <c r="C19" s="4"/>
      <c r="F19" s="5"/>
      <c r="G19" s="5"/>
    </row>
    <row r="20" spans="2:8" s="2" customFormat="1" ht="15">
      <c r="B20" s="24"/>
      <c r="C20" s="13"/>
      <c r="D20" s="13"/>
      <c r="E20" s="13"/>
      <c r="F20" s="55"/>
      <c r="G20" s="45"/>
      <c r="H20" s="5"/>
    </row>
    <row r="21" spans="2:8" s="2" customFormat="1" ht="15.75">
      <c r="B21" s="19" t="s">
        <v>60</v>
      </c>
      <c r="C21" s="16" t="s">
        <v>179</v>
      </c>
      <c r="D21" s="31">
        <f>YIELD(D7,D8,D9,D10/10,D11/10,D12)</f>
        <v>6.5772562479068805E-2</v>
      </c>
      <c r="E21" s="17"/>
      <c r="F21" s="52"/>
      <c r="G21" s="45"/>
      <c r="H21" s="5"/>
    </row>
    <row r="22" spans="2:8" s="2" customFormat="1" ht="15.75">
      <c r="B22" s="19"/>
      <c r="C22" s="14"/>
      <c r="D22" s="44"/>
      <c r="E22" s="44"/>
      <c r="F22" s="53"/>
      <c r="G22" s="51"/>
      <c r="H22" s="5"/>
    </row>
    <row r="23" spans="2:8" s="2" customFormat="1" ht="15.75">
      <c r="B23" s="19"/>
      <c r="C23" s="14" t="s">
        <v>82</v>
      </c>
      <c r="D23" s="44"/>
      <c r="E23" s="44"/>
      <c r="F23" s="53"/>
      <c r="G23" s="51"/>
      <c r="H23" s="5"/>
    </row>
    <row r="24" spans="2:8" s="2" customFormat="1" ht="15.75">
      <c r="B24" s="19"/>
      <c r="C24" s="14" t="s">
        <v>83</v>
      </c>
      <c r="D24" s="44"/>
      <c r="E24" s="44"/>
      <c r="F24" s="53"/>
      <c r="G24" s="51"/>
      <c r="H24" s="5"/>
    </row>
    <row r="25" spans="2:8" s="2" customFormat="1" ht="15.75">
      <c r="B25" s="19"/>
      <c r="C25" s="14"/>
      <c r="D25" s="44"/>
      <c r="E25" s="44"/>
      <c r="F25" s="53"/>
      <c r="G25" s="51"/>
      <c r="H25" s="5"/>
    </row>
    <row r="26" spans="2:8" s="2" customFormat="1" ht="15.75">
      <c r="B26" s="19" t="s">
        <v>61</v>
      </c>
      <c r="C26" s="14" t="s">
        <v>190</v>
      </c>
      <c r="D26" s="41">
        <f>10*PRICE(D14,D8,D9,D21+D15,D11/10,D12)</f>
        <v>1001.4362765348537</v>
      </c>
      <c r="E26" s="40"/>
      <c r="F26" s="54"/>
      <c r="G26" s="51"/>
      <c r="H26" s="5"/>
    </row>
    <row r="27" spans="2:8" s="2" customFormat="1" ht="15.75">
      <c r="B27" s="19"/>
      <c r="C27" s="14" t="s">
        <v>191</v>
      </c>
      <c r="D27" s="31">
        <f>YIELD(D7,D14,D9,D10/10,D26/10,D12)</f>
        <v>9.6847756492864104E-2</v>
      </c>
      <c r="E27" s="44"/>
      <c r="F27" s="53"/>
      <c r="G27" s="51"/>
      <c r="H27" s="5"/>
    </row>
    <row r="28" spans="2:8" s="2" customFormat="1" ht="15">
      <c r="B28" s="19"/>
      <c r="C28" s="14"/>
      <c r="D28" s="40"/>
      <c r="E28" s="40"/>
      <c r="F28" s="54"/>
      <c r="G28" s="51"/>
      <c r="H28" s="5"/>
    </row>
    <row r="29" spans="2:8" s="2" customFormat="1" ht="15">
      <c r="B29" s="19"/>
      <c r="C29" s="14" t="s">
        <v>84</v>
      </c>
      <c r="D29" s="40"/>
      <c r="E29" s="40"/>
      <c r="F29" s="54"/>
      <c r="G29" s="51"/>
      <c r="H29" s="5"/>
    </row>
    <row r="30" spans="2:8" s="2" customFormat="1" ht="15">
      <c r="B30" s="19"/>
      <c r="C30" s="14" t="s">
        <v>85</v>
      </c>
      <c r="D30" s="40"/>
      <c r="E30" s="40"/>
      <c r="F30" s="54"/>
      <c r="G30" s="51"/>
      <c r="H30" s="5"/>
    </row>
    <row r="31" spans="2:8" s="2" customFormat="1" ht="15">
      <c r="B31" s="19"/>
      <c r="C31" s="14" t="s">
        <v>86</v>
      </c>
      <c r="D31" s="40"/>
      <c r="E31" s="40"/>
      <c r="F31" s="54"/>
      <c r="G31" s="51"/>
      <c r="H31" s="5"/>
    </row>
    <row r="32" spans="2:8" s="2" customFormat="1" ht="15">
      <c r="B32" s="19"/>
      <c r="C32" s="14" t="s">
        <v>87</v>
      </c>
      <c r="D32" s="40"/>
      <c r="E32" s="40"/>
      <c r="F32" s="54"/>
      <c r="G32" s="51"/>
      <c r="H32" s="5"/>
    </row>
    <row r="33" spans="2:8" s="2" customFormat="1" ht="15" customHeight="1" thickBot="1">
      <c r="B33" s="26"/>
      <c r="C33" s="27"/>
      <c r="D33" s="27"/>
      <c r="E33" s="27"/>
      <c r="F33" s="55"/>
      <c r="G33" s="45"/>
      <c r="H33" s="5"/>
    </row>
    <row r="34" spans="2:8" s="2" customFormat="1" ht="15">
      <c r="F34" s="5"/>
      <c r="G34" s="5"/>
    </row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1121112111"/>
  <dimension ref="B1:H34"/>
  <sheetViews>
    <sheetView workbookViewId="0"/>
  </sheetViews>
  <sheetFormatPr defaultRowHeight="12.75"/>
  <cols>
    <col min="2" max="2" width="3.140625" customWidth="1"/>
    <col min="3" max="3" width="41" customWidth="1"/>
    <col min="4" max="4" width="17.140625" customWidth="1"/>
    <col min="5" max="5" width="3.140625" customWidth="1"/>
    <col min="6" max="6" width="17" customWidth="1"/>
    <col min="7" max="7" width="3.140625" customWidth="1"/>
  </cols>
  <sheetData>
    <row r="1" spans="2:7" ht="18">
      <c r="C1" s="1" t="s">
        <v>215</v>
      </c>
    </row>
    <row r="2" spans="2:7" ht="15">
      <c r="C2" s="2" t="s">
        <v>88</v>
      </c>
    </row>
    <row r="4" spans="2:7" ht="15">
      <c r="C4" s="3" t="s">
        <v>1</v>
      </c>
      <c r="D4" s="2"/>
      <c r="E4" s="2"/>
      <c r="F4" s="2"/>
      <c r="G4" s="2"/>
    </row>
    <row r="5" spans="2:7" s="2" customFormat="1" ht="15.75" thickBot="1">
      <c r="C5" s="4"/>
      <c r="D5" s="5"/>
      <c r="E5" s="5"/>
      <c r="F5" s="5"/>
    </row>
    <row r="6" spans="2:7" s="2" customFormat="1" ht="15">
      <c r="B6" s="21"/>
      <c r="C6" s="6"/>
      <c r="D6" s="7"/>
      <c r="E6" s="8"/>
      <c r="F6" s="45"/>
      <c r="G6" s="45"/>
    </row>
    <row r="7" spans="2:7" s="2" customFormat="1" ht="15">
      <c r="B7" s="22"/>
      <c r="C7" s="34" t="s">
        <v>89</v>
      </c>
      <c r="D7" s="9"/>
      <c r="E7" s="10"/>
      <c r="F7" s="45"/>
      <c r="G7" s="45"/>
    </row>
    <row r="8" spans="2:7" s="2" customFormat="1" ht="15">
      <c r="B8" s="22"/>
      <c r="C8" s="9" t="s">
        <v>64</v>
      </c>
      <c r="D8" s="102">
        <v>20</v>
      </c>
      <c r="E8" s="10"/>
      <c r="F8" s="45"/>
      <c r="G8" s="45"/>
    </row>
    <row r="9" spans="2:7" s="2" customFormat="1" ht="15">
      <c r="B9" s="22"/>
      <c r="C9" s="9" t="s">
        <v>94</v>
      </c>
      <c r="D9" s="100">
        <v>6</v>
      </c>
      <c r="E9" s="46"/>
      <c r="F9" s="45"/>
      <c r="G9" s="45"/>
    </row>
    <row r="10" spans="2:7" s="2" customFormat="1" ht="15">
      <c r="B10" s="22"/>
      <c r="C10" s="9" t="s">
        <v>95</v>
      </c>
      <c r="D10" s="103">
        <v>14</v>
      </c>
      <c r="E10" s="47"/>
      <c r="F10" s="45"/>
      <c r="G10" s="45"/>
    </row>
    <row r="11" spans="2:7" s="2" customFormat="1" ht="15">
      <c r="B11" s="22"/>
      <c r="C11" s="9"/>
      <c r="D11" s="86"/>
      <c r="E11" s="48"/>
      <c r="F11" s="45"/>
      <c r="G11" s="45"/>
    </row>
    <row r="12" spans="2:7" s="2" customFormat="1" ht="15">
      <c r="B12" s="22"/>
      <c r="C12" s="9" t="s">
        <v>15</v>
      </c>
      <c r="D12" s="90">
        <v>30000</v>
      </c>
      <c r="E12" s="48"/>
      <c r="F12" s="45"/>
      <c r="G12" s="45"/>
    </row>
    <row r="13" spans="2:7" s="2" customFormat="1" ht="15">
      <c r="B13" s="22"/>
      <c r="C13" s="9" t="s">
        <v>90</v>
      </c>
      <c r="D13" s="89">
        <v>800</v>
      </c>
      <c r="E13" s="49"/>
      <c r="F13" s="45"/>
      <c r="G13" s="45"/>
    </row>
    <row r="14" spans="2:7" s="2" customFormat="1" ht="15">
      <c r="B14" s="22"/>
      <c r="C14" s="9" t="s">
        <v>91</v>
      </c>
      <c r="D14" s="89">
        <v>1000</v>
      </c>
      <c r="E14" s="49"/>
      <c r="F14" s="45"/>
      <c r="G14" s="45"/>
    </row>
    <row r="15" spans="2:7" s="2" customFormat="1" ht="15">
      <c r="B15" s="22"/>
      <c r="C15" s="9"/>
      <c r="D15" s="89"/>
      <c r="E15" s="49"/>
      <c r="F15" s="45"/>
      <c r="G15" s="45"/>
    </row>
    <row r="16" spans="2:7" s="2" customFormat="1" ht="15">
      <c r="B16" s="22"/>
      <c r="C16" s="34" t="s">
        <v>92</v>
      </c>
      <c r="D16" s="89"/>
      <c r="E16" s="49"/>
      <c r="F16" s="45"/>
      <c r="G16" s="45"/>
    </row>
    <row r="17" spans="2:8" s="2" customFormat="1" ht="15">
      <c r="B17" s="22"/>
      <c r="C17" s="9" t="s">
        <v>64</v>
      </c>
      <c r="D17" s="103">
        <v>20</v>
      </c>
      <c r="E17" s="49"/>
      <c r="F17" s="45"/>
      <c r="G17" s="45"/>
    </row>
    <row r="18" spans="2:8" s="2" customFormat="1" ht="15">
      <c r="B18" s="22"/>
      <c r="C18" s="9" t="s">
        <v>15</v>
      </c>
      <c r="D18" s="90">
        <v>30000</v>
      </c>
      <c r="E18" s="47"/>
      <c r="F18" s="45"/>
      <c r="G18" s="45"/>
    </row>
    <row r="19" spans="2:8" s="2" customFormat="1" ht="15">
      <c r="B19" s="22"/>
      <c r="C19" s="9"/>
      <c r="D19" s="90"/>
      <c r="E19" s="47"/>
      <c r="F19" s="45"/>
      <c r="G19" s="45"/>
    </row>
    <row r="20" spans="2:8" s="2" customFormat="1" ht="15">
      <c r="B20" s="22"/>
      <c r="C20" s="9" t="s">
        <v>93</v>
      </c>
      <c r="D20" s="91">
        <v>0.08</v>
      </c>
      <c r="E20" s="47"/>
      <c r="F20" s="45"/>
      <c r="G20" s="45"/>
    </row>
    <row r="21" spans="2:8" s="2" customFormat="1" ht="15" customHeight="1" thickBot="1">
      <c r="B21" s="23"/>
      <c r="C21" s="11"/>
      <c r="D21" s="11"/>
      <c r="E21" s="12"/>
      <c r="F21" s="45"/>
      <c r="G21" s="45"/>
    </row>
    <row r="22" spans="2:8" s="2" customFormat="1" ht="15"/>
    <row r="23" spans="2:8" s="2" customFormat="1" ht="15">
      <c r="C23" s="3" t="s">
        <v>2</v>
      </c>
    </row>
    <row r="24" spans="2:8" s="2" customFormat="1" ht="15.75" thickBot="1">
      <c r="C24" s="4"/>
      <c r="F24" s="5"/>
      <c r="G24" s="5"/>
    </row>
    <row r="25" spans="2:8" s="2" customFormat="1" ht="15">
      <c r="B25" s="24"/>
      <c r="C25" s="13"/>
      <c r="D25" s="13"/>
      <c r="E25" s="13"/>
      <c r="F25" s="55"/>
      <c r="G25" s="45"/>
      <c r="H25" s="5"/>
    </row>
    <row r="26" spans="2:8" s="2" customFormat="1" ht="15">
      <c r="B26" s="19"/>
      <c r="C26" s="50" t="s">
        <v>89</v>
      </c>
      <c r="D26" s="16"/>
      <c r="E26" s="16"/>
      <c r="F26" s="55"/>
      <c r="G26" s="45"/>
      <c r="H26" s="5"/>
    </row>
    <row r="27" spans="2:8" s="2" customFormat="1" ht="15">
      <c r="B27" s="19" t="s">
        <v>60</v>
      </c>
      <c r="C27" s="16" t="s">
        <v>192</v>
      </c>
      <c r="D27" s="38">
        <f>D12/(1+D20/2)^(D8*2)</f>
        <v>6248.6713398882302</v>
      </c>
      <c r="E27" s="17"/>
      <c r="F27" s="52"/>
      <c r="G27" s="45"/>
      <c r="H27" s="5"/>
    </row>
    <row r="28" spans="2:8" s="2" customFormat="1" ht="15.75">
      <c r="B28" s="19"/>
      <c r="C28" s="14" t="s">
        <v>193</v>
      </c>
      <c r="D28" s="62">
        <f>-(PV(D20/2,(D10-D9)*2,D13))/(1+D20/2)^(D9*2)</f>
        <v>5822.3915660002749</v>
      </c>
      <c r="E28" s="44"/>
      <c r="F28" s="53"/>
      <c r="G28" s="51"/>
      <c r="H28" s="5"/>
    </row>
    <row r="29" spans="2:8" s="2" customFormat="1" ht="15.75">
      <c r="B29" s="19"/>
      <c r="C29" s="14" t="s">
        <v>194</v>
      </c>
      <c r="D29" s="63">
        <f>-PV(D20/2,(D8-D10)*2,D14)/(1+D20/2)^(D10*2)</f>
        <v>3129.7106654277595</v>
      </c>
      <c r="E29" s="44"/>
      <c r="F29" s="53"/>
      <c r="G29" s="51"/>
      <c r="H29" s="5"/>
    </row>
    <row r="30" spans="2:8" s="2" customFormat="1" ht="15.75">
      <c r="B30" s="19"/>
      <c r="C30" s="14" t="s">
        <v>195</v>
      </c>
      <c r="D30" s="29">
        <f>D27+D28+D29</f>
        <v>15200.773571316266</v>
      </c>
      <c r="E30" s="44"/>
      <c r="F30" s="53"/>
      <c r="G30" s="51"/>
      <c r="H30" s="5"/>
    </row>
    <row r="31" spans="2:8" s="2" customFormat="1" ht="15.75">
      <c r="B31" s="19"/>
      <c r="C31" s="14"/>
      <c r="D31" s="44"/>
      <c r="E31" s="44"/>
      <c r="F31" s="53"/>
      <c r="G31" s="51"/>
      <c r="H31" s="5"/>
    </row>
    <row r="32" spans="2:8" s="2" customFormat="1" ht="15.75">
      <c r="B32" s="19" t="s">
        <v>61</v>
      </c>
      <c r="C32" s="14" t="s">
        <v>196</v>
      </c>
      <c r="D32" s="41">
        <f>D18/(1+D20/2)^(D17*2)</f>
        <v>6248.6713398882302</v>
      </c>
      <c r="E32" s="40"/>
      <c r="F32" s="54"/>
      <c r="G32" s="51"/>
      <c r="H32" s="5"/>
    </row>
    <row r="33" spans="2:8" s="2" customFormat="1" ht="15" customHeight="1" thickBot="1">
      <c r="B33" s="26"/>
      <c r="C33" s="27"/>
      <c r="D33" s="27"/>
      <c r="E33" s="27"/>
      <c r="F33" s="55"/>
      <c r="G33" s="45"/>
      <c r="H33" s="5"/>
    </row>
    <row r="34" spans="2:8" s="2" customFormat="1" ht="15">
      <c r="F34" s="5"/>
      <c r="G34" s="5"/>
    </row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1215"/>
  <dimension ref="B1:E25"/>
  <sheetViews>
    <sheetView workbookViewId="0"/>
  </sheetViews>
  <sheetFormatPr defaultRowHeight="12.75"/>
  <cols>
    <col min="2" max="2" width="3.140625" customWidth="1"/>
    <col min="3" max="3" width="22.7109375" customWidth="1"/>
    <col min="4" max="4" width="13" customWidth="1"/>
    <col min="5" max="5" width="3.140625" customWidth="1"/>
  </cols>
  <sheetData>
    <row r="1" spans="2:5" ht="18">
      <c r="C1" s="1" t="s">
        <v>215</v>
      </c>
    </row>
    <row r="2" spans="2:5" ht="15">
      <c r="C2" s="2" t="s">
        <v>3</v>
      </c>
    </row>
    <row r="4" spans="2:5" ht="15">
      <c r="C4" s="3" t="s">
        <v>1</v>
      </c>
      <c r="D4" s="2"/>
      <c r="E4" s="2"/>
    </row>
    <row r="5" spans="2:5" s="2" customFormat="1" ht="15.75" thickBot="1">
      <c r="C5" s="4"/>
      <c r="D5" s="5"/>
    </row>
    <row r="6" spans="2:5" s="2" customFormat="1" ht="15">
      <c r="B6" s="21"/>
      <c r="C6" s="6"/>
      <c r="D6" s="7"/>
      <c r="E6" s="8"/>
    </row>
    <row r="7" spans="2:5" s="2" customFormat="1" ht="15">
      <c r="B7" s="22"/>
      <c r="C7" s="9" t="s">
        <v>8</v>
      </c>
      <c r="D7" s="86">
        <v>36526</v>
      </c>
      <c r="E7" s="10"/>
    </row>
    <row r="8" spans="2:5" s="2" customFormat="1" ht="15">
      <c r="B8" s="22"/>
      <c r="C8" s="9" t="s">
        <v>9</v>
      </c>
      <c r="D8" s="87">
        <v>42005</v>
      </c>
      <c r="E8" s="10"/>
    </row>
    <row r="9" spans="2:5" s="2" customFormat="1" ht="15">
      <c r="B9" s="22"/>
      <c r="C9" s="9" t="s">
        <v>10</v>
      </c>
      <c r="D9" s="93">
        <v>7.0000000000000007E-2</v>
      </c>
      <c r="E9" s="10"/>
    </row>
    <row r="10" spans="2:5" s="2" customFormat="1" ht="15">
      <c r="B10" s="22"/>
      <c r="C10" s="9" t="s">
        <v>11</v>
      </c>
      <c r="D10" s="89">
        <v>2</v>
      </c>
      <c r="E10" s="10"/>
    </row>
    <row r="11" spans="2:5" s="2" customFormat="1" ht="15">
      <c r="B11" s="22" t="s">
        <v>60</v>
      </c>
      <c r="C11" s="9" t="s">
        <v>6</v>
      </c>
      <c r="D11" s="91">
        <v>7.0000000000000007E-2</v>
      </c>
      <c r="E11" s="10"/>
    </row>
    <row r="12" spans="2:5" s="2" customFormat="1" ht="15">
      <c r="B12" s="22" t="s">
        <v>61</v>
      </c>
      <c r="C12" s="9" t="s">
        <v>6</v>
      </c>
      <c r="D12" s="91">
        <v>0.09</v>
      </c>
      <c r="E12" s="10"/>
    </row>
    <row r="13" spans="2:5" s="2" customFormat="1" ht="15">
      <c r="B13" s="22" t="s">
        <v>62</v>
      </c>
      <c r="C13" s="9" t="s">
        <v>6</v>
      </c>
      <c r="D13" s="91">
        <v>0.05</v>
      </c>
      <c r="E13" s="10"/>
    </row>
    <row r="14" spans="2:5" s="2" customFormat="1" ht="15" customHeight="1" thickBot="1">
      <c r="B14" s="23"/>
      <c r="C14" s="11"/>
      <c r="D14" s="11"/>
      <c r="E14" s="12"/>
    </row>
    <row r="15" spans="2:5" s="2" customFormat="1" ht="15"/>
    <row r="16" spans="2:5" s="2" customFormat="1" ht="15">
      <c r="C16" s="3" t="s">
        <v>2</v>
      </c>
    </row>
    <row r="17" spans="2:5" s="2" customFormat="1" ht="15.75" thickBot="1">
      <c r="C17" s="4"/>
    </row>
    <row r="18" spans="2:5" s="2" customFormat="1" ht="15">
      <c r="B18" s="24"/>
      <c r="C18" s="13"/>
      <c r="D18" s="13"/>
      <c r="E18" s="25"/>
    </row>
    <row r="19" spans="2:5" s="2" customFormat="1" ht="15.75">
      <c r="B19" s="19" t="s">
        <v>60</v>
      </c>
      <c r="C19" s="16" t="s">
        <v>102</v>
      </c>
      <c r="D19" s="134">
        <f>PRICE($D$7,$D$8,$D$9,D11,100,$D$10)*10</f>
        <v>1000.0000000000017</v>
      </c>
      <c r="E19" s="20"/>
    </row>
    <row r="20" spans="2:5" s="2" customFormat="1" ht="15.75">
      <c r="B20" s="19"/>
      <c r="C20" s="16"/>
      <c r="D20" s="133"/>
      <c r="E20" s="20"/>
    </row>
    <row r="21" spans="2:5" s="2" customFormat="1" ht="15.75">
      <c r="B21" s="19" t="s">
        <v>61</v>
      </c>
      <c r="C21" s="16" t="s">
        <v>102</v>
      </c>
      <c r="D21" s="134">
        <f>PRICE($D$7,$D$8,$D$9,D12,100,$D$10)*10</f>
        <v>837.11111455711318</v>
      </c>
      <c r="E21" s="20"/>
    </row>
    <row r="22" spans="2:5" s="2" customFormat="1" ht="15.75">
      <c r="B22" s="19"/>
      <c r="C22" s="16"/>
      <c r="D22" s="133"/>
      <c r="E22" s="20"/>
    </row>
    <row r="23" spans="2:5" s="2" customFormat="1" ht="15.75">
      <c r="B23" s="19" t="s">
        <v>62</v>
      </c>
      <c r="C23" s="16" t="s">
        <v>102</v>
      </c>
      <c r="D23" s="134">
        <f>PRICE($D$7,$D$8,$D$9,D13,100,$D$10)*10</f>
        <v>1209.3029259276134</v>
      </c>
      <c r="E23" s="20"/>
    </row>
    <row r="24" spans="2:5" s="2" customFormat="1" ht="15" customHeight="1" thickBot="1">
      <c r="B24" s="26"/>
      <c r="C24" s="27"/>
      <c r="D24" s="27"/>
      <c r="E24" s="28"/>
    </row>
    <row r="25" spans="2:5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11211121112"/>
  <dimension ref="B1:J24"/>
  <sheetViews>
    <sheetView workbookViewId="0"/>
  </sheetViews>
  <sheetFormatPr defaultRowHeight="15"/>
  <cols>
    <col min="2" max="2" width="3.140625" customWidth="1"/>
    <col min="3" max="3" width="41" customWidth="1"/>
    <col min="4" max="4" width="15" bestFit="1" customWidth="1"/>
    <col min="5" max="5" width="3.140625" customWidth="1"/>
    <col min="6" max="7" width="17.140625" style="2" customWidth="1"/>
    <col min="8" max="8" width="3.140625" customWidth="1"/>
    <col min="9" max="9" width="17" customWidth="1"/>
    <col min="10" max="10" width="3.140625" customWidth="1"/>
  </cols>
  <sheetData>
    <row r="1" spans="2:10" ht="18">
      <c r="C1" s="1" t="s">
        <v>215</v>
      </c>
      <c r="D1" s="1"/>
      <c r="E1" s="1"/>
    </row>
    <row r="2" spans="2:10">
      <c r="C2" s="2" t="s">
        <v>219</v>
      </c>
      <c r="D2" s="2"/>
      <c r="E2" s="2"/>
    </row>
    <row r="4" spans="2:10">
      <c r="C4" s="3" t="s">
        <v>1</v>
      </c>
      <c r="D4" s="3"/>
      <c r="E4" s="3"/>
      <c r="H4" s="2"/>
      <c r="I4" s="2"/>
      <c r="J4" s="2"/>
    </row>
    <row r="5" spans="2:10" s="2" customFormat="1" ht="15.75" thickBot="1">
      <c r="C5" s="4"/>
      <c r="D5" s="4"/>
      <c r="E5" s="4"/>
      <c r="F5" s="5"/>
      <c r="G5" s="5"/>
      <c r="H5" s="5"/>
      <c r="I5" s="5"/>
    </row>
    <row r="6" spans="2:10" s="2" customFormat="1">
      <c r="B6" s="21"/>
      <c r="C6" s="6"/>
      <c r="D6" s="6"/>
      <c r="E6" s="68"/>
      <c r="F6" s="45"/>
      <c r="G6" s="45"/>
      <c r="H6" s="45"/>
      <c r="I6" s="45"/>
      <c r="J6" s="45"/>
    </row>
    <row r="7" spans="2:10" s="2" customFormat="1">
      <c r="B7" s="22"/>
      <c r="C7" s="9" t="s">
        <v>117</v>
      </c>
      <c r="D7" s="111">
        <v>8</v>
      </c>
      <c r="E7" s="69"/>
      <c r="F7" s="45"/>
      <c r="G7" s="64"/>
      <c r="H7" s="45"/>
      <c r="I7" s="45"/>
      <c r="J7" s="45"/>
    </row>
    <row r="8" spans="2:10" s="2" customFormat="1">
      <c r="B8" s="22"/>
      <c r="C8" s="9" t="s">
        <v>118</v>
      </c>
      <c r="D8" s="112">
        <v>30</v>
      </c>
      <c r="E8" s="69"/>
      <c r="F8" s="45"/>
      <c r="G8" s="64"/>
      <c r="H8" s="45"/>
      <c r="I8" s="45"/>
      <c r="J8" s="45"/>
    </row>
    <row r="9" spans="2:10" s="2" customFormat="1">
      <c r="B9" s="22"/>
      <c r="C9" s="9" t="s">
        <v>119</v>
      </c>
      <c r="D9" s="93">
        <v>6.9000000000000006E-2</v>
      </c>
      <c r="E9" s="69"/>
      <c r="F9" s="45"/>
      <c r="G9" s="64"/>
      <c r="H9" s="67"/>
      <c r="I9" s="45"/>
      <c r="J9" s="45"/>
    </row>
    <row r="10" spans="2:10" s="2" customFormat="1">
      <c r="B10" s="22"/>
      <c r="C10" s="9" t="s">
        <v>22</v>
      </c>
      <c r="D10" s="93">
        <v>3.2000000000000001E-2</v>
      </c>
      <c r="E10" s="70"/>
      <c r="F10" s="45"/>
      <c r="G10" s="65"/>
      <c r="H10" s="66"/>
      <c r="I10" s="45"/>
      <c r="J10" s="45"/>
    </row>
    <row r="11" spans="2:10" s="2" customFormat="1" ht="15" customHeight="1" thickBot="1">
      <c r="B11" s="23"/>
      <c r="C11" s="11"/>
      <c r="D11" s="11"/>
      <c r="E11" s="12"/>
      <c r="F11" s="45"/>
      <c r="G11" s="45"/>
      <c r="H11" s="45"/>
      <c r="I11" s="45"/>
      <c r="J11" s="45"/>
    </row>
    <row r="12" spans="2:10" s="2" customFormat="1"/>
    <row r="13" spans="2:10" s="2" customFormat="1">
      <c r="C13" s="3" t="s">
        <v>2</v>
      </c>
      <c r="D13" s="3"/>
      <c r="E13" s="3"/>
    </row>
    <row r="14" spans="2:10" s="2" customFormat="1" ht="15.75" thickBot="1">
      <c r="C14" s="4"/>
      <c r="D14" s="4"/>
      <c r="E14" s="4"/>
      <c r="I14" s="5"/>
      <c r="J14" s="5"/>
    </row>
    <row r="15" spans="2:10" s="2" customFormat="1">
      <c r="B15" s="24"/>
      <c r="C15" s="13"/>
      <c r="D15" s="13"/>
      <c r="E15" s="13"/>
      <c r="F15" s="55"/>
      <c r="G15" s="45"/>
      <c r="H15" s="5"/>
    </row>
    <row r="16" spans="2:10" s="2" customFormat="1">
      <c r="B16" s="19"/>
      <c r="C16" s="16" t="s">
        <v>120</v>
      </c>
      <c r="D16" s="113">
        <f>((1+D9)/(1+D10))-1</f>
        <v>3.5852713178294415E-2</v>
      </c>
      <c r="E16" s="17"/>
      <c r="F16" s="52"/>
      <c r="G16" s="45"/>
      <c r="H16" s="5"/>
    </row>
    <row r="17" spans="2:10" s="2" customFormat="1" ht="15.75">
      <c r="B17" s="19"/>
      <c r="C17" s="14"/>
      <c r="D17" s="14"/>
      <c r="E17" s="44"/>
      <c r="F17" s="53"/>
      <c r="G17" s="51"/>
      <c r="H17" s="5"/>
    </row>
    <row r="18" spans="2:10" s="2" customFormat="1" ht="15.75">
      <c r="B18" s="19"/>
      <c r="C18" s="14" t="s">
        <v>121</v>
      </c>
      <c r="D18" s="114">
        <f>NOMINAL(D16,52)</f>
        <v>3.5236898429492847E-2</v>
      </c>
      <c r="E18" s="44"/>
      <c r="F18" s="53"/>
      <c r="G18" s="51"/>
      <c r="H18" s="5"/>
    </row>
    <row r="19" spans="2:10" s="2" customFormat="1" ht="15.75">
      <c r="B19" s="19"/>
      <c r="C19" s="14"/>
      <c r="D19" s="14"/>
      <c r="E19" s="44"/>
      <c r="F19" s="53"/>
      <c r="G19" s="51"/>
      <c r="H19" s="5"/>
    </row>
    <row r="20" spans="2:10" s="2" customFormat="1" ht="15.75">
      <c r="B20" s="19"/>
      <c r="C20" s="14" t="s">
        <v>122</v>
      </c>
      <c r="D20" s="114">
        <f>D18/52</f>
        <v>6.7763266210563167E-4</v>
      </c>
      <c r="E20" s="44"/>
      <c r="F20" s="53"/>
      <c r="G20" s="51"/>
      <c r="H20" s="5"/>
    </row>
    <row r="21" spans="2:10" s="2" customFormat="1" ht="15.75">
      <c r="B21" s="19"/>
      <c r="C21" s="14"/>
      <c r="D21" s="71"/>
      <c r="E21" s="44"/>
      <c r="F21" s="53"/>
      <c r="G21" s="51"/>
      <c r="H21" s="5"/>
    </row>
    <row r="22" spans="2:10" s="2" customFormat="1" ht="15.75">
      <c r="B22" s="19"/>
      <c r="C22" s="14" t="s">
        <v>123</v>
      </c>
      <c r="D22" s="72">
        <f>PV(D20,D8*52,-D7)</f>
        <v>7702.2971049938697</v>
      </c>
      <c r="E22" s="40"/>
      <c r="F22" s="54"/>
      <c r="G22" s="51"/>
      <c r="H22" s="5"/>
    </row>
    <row r="23" spans="2:10" s="2" customFormat="1" ht="15" customHeight="1" thickBot="1">
      <c r="B23" s="26"/>
      <c r="C23" s="27"/>
      <c r="D23" s="27"/>
      <c r="E23" s="27"/>
      <c r="F23" s="55"/>
      <c r="G23" s="45"/>
      <c r="H23" s="5"/>
    </row>
    <row r="24" spans="2:10" s="2" customFormat="1">
      <c r="I24" s="5"/>
      <c r="J24" s="5"/>
    </row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Sheet11211121113"/>
  <dimension ref="B1:J40"/>
  <sheetViews>
    <sheetView workbookViewId="0"/>
  </sheetViews>
  <sheetFormatPr defaultRowHeight="15"/>
  <cols>
    <col min="2" max="2" width="3.140625" customWidth="1"/>
    <col min="3" max="3" width="41" customWidth="1"/>
    <col min="4" max="4" width="17.5703125" bestFit="1" customWidth="1"/>
    <col min="5" max="5" width="3.140625" customWidth="1"/>
    <col min="6" max="7" width="17.140625" style="2" customWidth="1"/>
    <col min="8" max="8" width="3.140625" customWidth="1"/>
    <col min="9" max="9" width="17" customWidth="1"/>
    <col min="10" max="10" width="3.140625" customWidth="1"/>
  </cols>
  <sheetData>
    <row r="1" spans="2:10" ht="18">
      <c r="C1" s="1" t="s">
        <v>215</v>
      </c>
      <c r="D1" s="1"/>
      <c r="E1" s="1"/>
    </row>
    <row r="2" spans="2:10">
      <c r="C2" s="2" t="s">
        <v>218</v>
      </c>
      <c r="D2" s="2"/>
      <c r="E2" s="2"/>
    </row>
    <row r="4" spans="2:10">
      <c r="C4" s="3" t="s">
        <v>1</v>
      </c>
      <c r="D4" s="3"/>
      <c r="E4" s="3"/>
      <c r="H4" s="2"/>
      <c r="I4" s="2"/>
      <c r="J4" s="2"/>
    </row>
    <row r="5" spans="2:10" s="2" customFormat="1" ht="15.75" thickBot="1">
      <c r="C5" s="4"/>
      <c r="D5" s="4"/>
      <c r="E5" s="4"/>
      <c r="F5" s="5"/>
      <c r="G5" s="5"/>
      <c r="H5" s="5"/>
      <c r="I5" s="5"/>
    </row>
    <row r="6" spans="2:10" s="2" customFormat="1">
      <c r="B6" s="21"/>
      <c r="C6" s="6"/>
      <c r="D6" s="6"/>
      <c r="E6" s="68"/>
      <c r="F6" s="45"/>
      <c r="G6" s="45"/>
      <c r="H6" s="45"/>
      <c r="I6" s="45"/>
      <c r="J6" s="45"/>
    </row>
    <row r="7" spans="2:10" s="2" customFormat="1">
      <c r="B7" s="22"/>
      <c r="C7" s="9" t="s">
        <v>124</v>
      </c>
      <c r="D7" s="111">
        <v>900</v>
      </c>
      <c r="E7" s="69"/>
      <c r="F7" s="45"/>
      <c r="G7" s="64"/>
      <c r="H7" s="45"/>
      <c r="I7" s="45"/>
      <c r="J7" s="45"/>
    </row>
    <row r="8" spans="2:10" s="2" customFormat="1">
      <c r="B8" s="22"/>
      <c r="C8" s="9" t="s">
        <v>127</v>
      </c>
      <c r="D8" s="91">
        <v>0.12</v>
      </c>
      <c r="E8" s="69"/>
      <c r="F8" s="45"/>
      <c r="G8" s="64"/>
      <c r="H8" s="45"/>
      <c r="I8" s="45"/>
      <c r="J8" s="45"/>
    </row>
    <row r="9" spans="2:10" s="2" customFormat="1">
      <c r="B9" s="22"/>
      <c r="C9" s="9" t="s">
        <v>125</v>
      </c>
      <c r="D9" s="111">
        <v>300</v>
      </c>
      <c r="E9" s="69"/>
      <c r="F9" s="45"/>
      <c r="G9" s="64"/>
      <c r="H9" s="67"/>
      <c r="I9" s="45"/>
      <c r="J9" s="45"/>
    </row>
    <row r="10" spans="2:10" s="2" customFormat="1">
      <c r="B10" s="22"/>
      <c r="C10" s="9" t="s">
        <v>126</v>
      </c>
      <c r="D10" s="88">
        <v>7.0000000000000007E-2</v>
      </c>
      <c r="E10" s="70"/>
      <c r="F10" s="45"/>
      <c r="G10" s="65"/>
      <c r="H10" s="66"/>
      <c r="I10" s="45"/>
      <c r="J10" s="45"/>
    </row>
    <row r="11" spans="2:10" s="2" customFormat="1">
      <c r="B11" s="22"/>
      <c r="C11" s="9" t="s">
        <v>22</v>
      </c>
      <c r="D11" s="91">
        <v>0.04</v>
      </c>
      <c r="E11" s="70"/>
      <c r="F11" s="45"/>
      <c r="G11" s="65"/>
      <c r="H11" s="66"/>
      <c r="I11" s="45"/>
      <c r="J11" s="45"/>
    </row>
    <row r="12" spans="2:10" s="2" customFormat="1">
      <c r="B12" s="22"/>
      <c r="C12" s="9" t="s">
        <v>140</v>
      </c>
      <c r="D12" s="91">
        <v>0.08</v>
      </c>
      <c r="E12" s="70"/>
      <c r="F12" s="45"/>
      <c r="G12" s="65"/>
      <c r="H12" s="66"/>
      <c r="I12" s="45"/>
      <c r="J12" s="45"/>
    </row>
    <row r="13" spans="2:10" s="2" customFormat="1">
      <c r="B13" s="22"/>
      <c r="C13" s="9" t="s">
        <v>128</v>
      </c>
      <c r="D13" s="112">
        <v>30</v>
      </c>
      <c r="E13" s="70"/>
      <c r="F13" s="45"/>
      <c r="G13" s="65"/>
      <c r="H13" s="66"/>
      <c r="I13" s="45"/>
      <c r="J13" s="45"/>
    </row>
    <row r="14" spans="2:10" s="2" customFormat="1">
      <c r="B14" s="22"/>
      <c r="C14" s="9" t="s">
        <v>129</v>
      </c>
      <c r="D14" s="112">
        <v>25</v>
      </c>
      <c r="E14" s="70"/>
      <c r="F14" s="45"/>
      <c r="G14" s="65"/>
      <c r="H14" s="66"/>
      <c r="I14" s="45"/>
      <c r="J14" s="45"/>
    </row>
    <row r="15" spans="2:10" s="2" customFormat="1" ht="15" customHeight="1" thickBot="1">
      <c r="B15" s="23"/>
      <c r="C15" s="11"/>
      <c r="D15" s="11"/>
      <c r="E15" s="12"/>
      <c r="F15" s="45"/>
      <c r="G15" s="45"/>
      <c r="H15" s="45"/>
      <c r="I15" s="45"/>
      <c r="J15" s="45"/>
    </row>
    <row r="16" spans="2:10" s="2" customFormat="1"/>
    <row r="17" spans="2:10" s="2" customFormat="1">
      <c r="C17" s="3" t="s">
        <v>2</v>
      </c>
      <c r="D17" s="3"/>
      <c r="E17" s="3"/>
    </row>
    <row r="18" spans="2:10" s="2" customFormat="1" ht="15.75" thickBot="1">
      <c r="C18" s="4"/>
      <c r="D18" s="4"/>
      <c r="E18" s="4"/>
      <c r="I18" s="5"/>
      <c r="J18" s="5"/>
    </row>
    <row r="19" spans="2:10" s="2" customFormat="1">
      <c r="B19" s="24"/>
      <c r="C19" s="13"/>
      <c r="D19" s="13"/>
      <c r="E19" s="13"/>
      <c r="F19" s="55"/>
      <c r="G19" s="45"/>
      <c r="H19" s="5"/>
    </row>
    <row r="20" spans="2:10" s="2" customFormat="1">
      <c r="B20" s="19"/>
      <c r="C20" s="16" t="s">
        <v>130</v>
      </c>
      <c r="D20" s="136">
        <f>((1+D8)/(1+D11))-1</f>
        <v>7.6923076923077094E-2</v>
      </c>
      <c r="E20" s="17"/>
      <c r="F20" s="52"/>
      <c r="G20" s="45"/>
      <c r="H20" s="5"/>
    </row>
    <row r="21" spans="2:10" s="2" customFormat="1" ht="15.75">
      <c r="B21" s="19"/>
      <c r="C21" s="14" t="s">
        <v>131</v>
      </c>
      <c r="D21" s="140">
        <f>NOMINAL(D20,12)</f>
        <v>7.4337276927831653E-2</v>
      </c>
      <c r="E21" s="44"/>
      <c r="F21" s="53"/>
      <c r="G21" s="51"/>
      <c r="H21" s="5"/>
    </row>
    <row r="22" spans="2:10" s="2" customFormat="1" ht="15.75">
      <c r="B22" s="19"/>
      <c r="C22" s="14" t="s">
        <v>132</v>
      </c>
      <c r="D22" s="140">
        <f>D21/12</f>
        <v>6.1947730773193044E-3</v>
      </c>
      <c r="E22" s="44"/>
      <c r="F22" s="53"/>
      <c r="G22" s="51"/>
      <c r="H22" s="5"/>
    </row>
    <row r="23" spans="2:10" s="2" customFormat="1" ht="15.75">
      <c r="B23" s="19"/>
      <c r="C23" s="14" t="s">
        <v>133</v>
      </c>
      <c r="D23" s="115">
        <f>FV(D22,D13*12,-D7)</f>
        <v>1196731.9642359309</v>
      </c>
      <c r="E23" s="44"/>
      <c r="F23" s="53"/>
      <c r="G23" s="51"/>
      <c r="H23" s="5"/>
    </row>
    <row r="24" spans="2:10" s="2" customFormat="1" ht="15.75">
      <c r="B24" s="19"/>
      <c r="C24" s="14"/>
      <c r="D24" s="114"/>
      <c r="E24" s="44"/>
      <c r="F24" s="53"/>
      <c r="G24" s="51"/>
      <c r="H24" s="5"/>
    </row>
    <row r="25" spans="2:10" s="2" customFormat="1" ht="15.75">
      <c r="B25" s="19"/>
      <c r="C25" s="16" t="s">
        <v>136</v>
      </c>
      <c r="D25" s="140">
        <f>((1+D10)/(1+D11))-1</f>
        <v>2.8846153846153966E-2</v>
      </c>
      <c r="E25" s="44"/>
      <c r="F25" s="53"/>
      <c r="G25" s="51"/>
      <c r="H25" s="5"/>
    </row>
    <row r="26" spans="2:10" s="2" customFormat="1" ht="15.75">
      <c r="B26" s="19"/>
      <c r="C26" s="14" t="s">
        <v>137</v>
      </c>
      <c r="D26" s="140">
        <f>NOMINAL(D25,12)</f>
        <v>2.8471658461505456E-2</v>
      </c>
      <c r="E26" s="44"/>
      <c r="F26" s="53"/>
      <c r="G26" s="51"/>
      <c r="H26" s="5"/>
    </row>
    <row r="27" spans="2:10" s="2" customFormat="1" ht="15.75">
      <c r="B27" s="19"/>
      <c r="C27" s="14" t="s">
        <v>134</v>
      </c>
      <c r="D27" s="140">
        <f>D26/12</f>
        <v>2.3726382051254546E-3</v>
      </c>
      <c r="E27" s="44"/>
      <c r="F27" s="53"/>
      <c r="G27" s="51"/>
      <c r="H27" s="5"/>
    </row>
    <row r="28" spans="2:10" s="2" customFormat="1" ht="15.75">
      <c r="B28" s="19"/>
      <c r="C28" s="14" t="s">
        <v>135</v>
      </c>
      <c r="D28" s="115">
        <f>FV(D27,D13*12,-D9)</f>
        <v>170316.78055056653</v>
      </c>
      <c r="E28" s="44"/>
      <c r="F28" s="53"/>
      <c r="G28" s="51"/>
      <c r="H28" s="5"/>
    </row>
    <row r="29" spans="2:10" s="2" customFormat="1" ht="15.75">
      <c r="B29" s="19"/>
      <c r="C29" s="14"/>
      <c r="D29" s="114"/>
      <c r="E29" s="44"/>
      <c r="F29" s="53"/>
      <c r="G29" s="51"/>
      <c r="H29" s="5"/>
    </row>
    <row r="30" spans="2:10" s="2" customFormat="1" ht="15.75">
      <c r="B30" s="19"/>
      <c r="C30" s="14" t="s">
        <v>138</v>
      </c>
      <c r="D30" s="115">
        <f>D23+D28</f>
        <v>1367048.7447864974</v>
      </c>
      <c r="E30" s="44"/>
      <c r="F30" s="53"/>
      <c r="G30" s="51"/>
      <c r="H30" s="5"/>
    </row>
    <row r="31" spans="2:10" s="2" customFormat="1" ht="15.75">
      <c r="B31" s="19"/>
      <c r="C31" s="14"/>
      <c r="D31" s="115"/>
      <c r="E31" s="44"/>
      <c r="F31" s="53"/>
      <c r="G31" s="51"/>
      <c r="H31" s="5"/>
    </row>
    <row r="32" spans="2:10" s="2" customFormat="1" ht="15.75">
      <c r="B32" s="19"/>
      <c r="C32" s="14" t="s">
        <v>141</v>
      </c>
      <c r="D32" s="140">
        <f>((1+D12)/(1+D11))-1</f>
        <v>3.8461538461538547E-2</v>
      </c>
      <c r="E32" s="44"/>
      <c r="F32" s="53"/>
      <c r="G32" s="51"/>
      <c r="H32" s="5"/>
    </row>
    <row r="33" spans="2:10" s="2" customFormat="1" ht="15.75">
      <c r="B33" s="19"/>
      <c r="C33" s="14" t="s">
        <v>142</v>
      </c>
      <c r="D33" s="140">
        <f>NOMINAL(D32,12)</f>
        <v>3.7799737429474511E-2</v>
      </c>
      <c r="E33" s="44"/>
      <c r="F33" s="53"/>
      <c r="G33" s="51"/>
      <c r="H33" s="5"/>
    </row>
    <row r="34" spans="2:10" s="2" customFormat="1" ht="15.75">
      <c r="B34" s="19"/>
      <c r="C34" s="14" t="s">
        <v>143</v>
      </c>
      <c r="D34" s="140">
        <f>D33/12</f>
        <v>3.149978119122876E-3</v>
      </c>
      <c r="E34" s="44"/>
      <c r="F34" s="53"/>
      <c r="G34" s="51"/>
      <c r="H34" s="5"/>
    </row>
    <row r="35" spans="2:10" s="2" customFormat="1" ht="15.75">
      <c r="B35" s="19"/>
      <c r="C35" s="14"/>
      <c r="D35" s="71"/>
      <c r="E35" s="44"/>
      <c r="F35" s="53"/>
      <c r="G35" s="51"/>
      <c r="H35" s="5"/>
    </row>
    <row r="36" spans="2:10" s="2" customFormat="1" ht="15.75">
      <c r="B36" s="19"/>
      <c r="C36" s="14" t="s">
        <v>123</v>
      </c>
      <c r="D36" s="72">
        <f>PMT(D34,D14*12,-D30)</f>
        <v>7050.7457793487501</v>
      </c>
      <c r="E36" s="40"/>
      <c r="F36" s="54"/>
      <c r="G36" s="51"/>
      <c r="H36" s="5"/>
    </row>
    <row r="37" spans="2:10" s="2" customFormat="1" ht="15.75">
      <c r="B37" s="19"/>
      <c r="C37" s="14"/>
      <c r="D37" s="116"/>
      <c r="E37" s="40"/>
      <c r="F37" s="54"/>
      <c r="G37" s="51"/>
      <c r="H37" s="5"/>
    </row>
    <row r="38" spans="2:10" s="2" customFormat="1" ht="15.75">
      <c r="B38" s="19"/>
      <c r="C38" s="14" t="s">
        <v>139</v>
      </c>
      <c r="D38" s="72">
        <f>FV(D11,D13+D14,0,-D36)</f>
        <v>60963.335065685642</v>
      </c>
      <c r="E38" s="40"/>
      <c r="F38" s="54"/>
      <c r="G38" s="51"/>
      <c r="H38" s="5"/>
    </row>
    <row r="39" spans="2:10" s="2" customFormat="1" ht="15" customHeight="1" thickBot="1">
      <c r="B39" s="26"/>
      <c r="C39" s="27"/>
      <c r="D39" s="27"/>
      <c r="E39" s="27"/>
      <c r="F39" s="55"/>
      <c r="G39" s="45"/>
      <c r="H39" s="5"/>
    </row>
    <row r="40" spans="2:10" s="2" customFormat="1">
      <c r="I40" s="5"/>
      <c r="J40" s="5"/>
    </row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Sheet11211121114"/>
  <dimension ref="B1:J43"/>
  <sheetViews>
    <sheetView workbookViewId="0"/>
  </sheetViews>
  <sheetFormatPr defaultRowHeight="15"/>
  <cols>
    <col min="2" max="2" width="3.140625" customWidth="1"/>
    <col min="3" max="3" width="41" customWidth="1"/>
    <col min="4" max="4" width="17.5703125" bestFit="1" customWidth="1"/>
    <col min="5" max="5" width="3.140625" customWidth="1"/>
    <col min="6" max="7" width="17.140625" style="2" customWidth="1"/>
    <col min="8" max="8" width="3.140625" customWidth="1"/>
    <col min="9" max="9" width="17" customWidth="1"/>
    <col min="10" max="10" width="3.140625" customWidth="1"/>
  </cols>
  <sheetData>
    <row r="1" spans="2:10" ht="18">
      <c r="C1" s="1" t="s">
        <v>215</v>
      </c>
      <c r="D1" s="1"/>
      <c r="E1" s="1"/>
    </row>
    <row r="2" spans="2:10">
      <c r="C2" s="2" t="s">
        <v>217</v>
      </c>
      <c r="D2" s="2"/>
      <c r="E2" s="2"/>
    </row>
    <row r="4" spans="2:10">
      <c r="C4" s="3" t="s">
        <v>1</v>
      </c>
      <c r="D4" s="3"/>
      <c r="E4" s="3"/>
      <c r="H4" s="2"/>
      <c r="I4" s="2"/>
      <c r="J4" s="2"/>
    </row>
    <row r="5" spans="2:10" s="2" customFormat="1" ht="15.75" thickBot="1">
      <c r="C5" s="4"/>
      <c r="D5" s="4"/>
      <c r="E5" s="4"/>
      <c r="F5" s="5"/>
      <c r="G5" s="5"/>
      <c r="H5" s="5"/>
      <c r="I5" s="5"/>
    </row>
    <row r="6" spans="2:10" s="2" customFormat="1">
      <c r="B6" s="21"/>
      <c r="C6" s="6"/>
      <c r="D6" s="6"/>
      <c r="E6" s="68"/>
      <c r="F6" s="45"/>
      <c r="G6" s="45"/>
      <c r="H6" s="45"/>
      <c r="I6" s="45"/>
      <c r="J6" s="45"/>
    </row>
    <row r="7" spans="2:10" s="2" customFormat="1">
      <c r="B7" s="22"/>
      <c r="C7" s="9" t="s">
        <v>144</v>
      </c>
      <c r="D7" s="111">
        <v>500</v>
      </c>
      <c r="E7" s="69"/>
      <c r="F7" s="45"/>
      <c r="G7" s="64"/>
      <c r="H7" s="45"/>
      <c r="I7" s="45"/>
      <c r="J7" s="45"/>
    </row>
    <row r="8" spans="2:10" s="2" customFormat="1">
      <c r="B8" s="22"/>
      <c r="C8" s="9" t="s">
        <v>145</v>
      </c>
      <c r="D8" s="112">
        <v>600</v>
      </c>
      <c r="E8" s="69"/>
      <c r="F8" s="45"/>
      <c r="G8" s="64"/>
      <c r="H8" s="45"/>
      <c r="I8" s="45"/>
      <c r="J8" s="45"/>
    </row>
    <row r="9" spans="2:10" s="2" customFormat="1">
      <c r="B9" s="22"/>
      <c r="C9" s="9" t="s">
        <v>146</v>
      </c>
      <c r="D9" s="91">
        <v>0.06</v>
      </c>
      <c r="E9" s="69"/>
      <c r="F9" s="45"/>
      <c r="G9" s="64"/>
      <c r="H9" s="67"/>
      <c r="I9" s="45"/>
      <c r="J9" s="45"/>
    </row>
    <row r="10" spans="2:10" s="2" customFormat="1">
      <c r="B10" s="22"/>
      <c r="C10" s="9" t="s">
        <v>147</v>
      </c>
      <c r="D10" s="91">
        <v>0.03</v>
      </c>
      <c r="E10" s="70"/>
      <c r="F10" s="45"/>
      <c r="G10" s="65"/>
      <c r="H10" s="66"/>
      <c r="I10" s="45"/>
      <c r="J10" s="45"/>
    </row>
    <row r="11" spans="2:10" s="2" customFormat="1">
      <c r="B11" s="22"/>
      <c r="C11" s="9" t="s">
        <v>148</v>
      </c>
      <c r="D11" s="111">
        <v>125000</v>
      </c>
      <c r="E11" s="70"/>
      <c r="F11" s="45"/>
      <c r="G11" s="65"/>
      <c r="H11" s="66"/>
      <c r="I11" s="45"/>
      <c r="J11" s="45"/>
    </row>
    <row r="12" spans="2:10" s="2" customFormat="1">
      <c r="B12" s="22"/>
      <c r="C12" s="9" t="s">
        <v>156</v>
      </c>
      <c r="D12" s="91">
        <v>0.02</v>
      </c>
      <c r="E12" s="70"/>
      <c r="F12" s="45"/>
      <c r="G12" s="65"/>
      <c r="H12" s="66"/>
      <c r="I12" s="45"/>
      <c r="J12" s="45"/>
    </row>
    <row r="13" spans="2:10" s="2" customFormat="1">
      <c r="B13" s="22"/>
      <c r="C13" s="9" t="s">
        <v>149</v>
      </c>
      <c r="D13" s="111">
        <v>500000</v>
      </c>
      <c r="E13" s="70"/>
      <c r="F13" s="45"/>
      <c r="G13" s="65"/>
      <c r="H13" s="66"/>
      <c r="I13" s="45"/>
      <c r="J13" s="45"/>
    </row>
    <row r="14" spans="2:10" s="2" customFormat="1">
      <c r="B14" s="22"/>
      <c r="C14" s="9" t="s">
        <v>129</v>
      </c>
      <c r="D14" s="112">
        <v>25</v>
      </c>
      <c r="E14" s="70"/>
      <c r="F14" s="45"/>
      <c r="G14" s="65"/>
      <c r="H14" s="66"/>
      <c r="I14" s="45"/>
      <c r="J14" s="45"/>
    </row>
    <row r="15" spans="2:10" s="2" customFormat="1">
      <c r="B15" s="22"/>
      <c r="C15" s="9" t="s">
        <v>150</v>
      </c>
      <c r="D15" s="91">
        <v>0.09</v>
      </c>
      <c r="E15" s="70"/>
      <c r="F15" s="45"/>
      <c r="G15" s="65"/>
      <c r="H15" s="66"/>
      <c r="I15" s="45"/>
      <c r="J15" s="45"/>
    </row>
    <row r="16" spans="2:10" s="2" customFormat="1" ht="15" customHeight="1" thickBot="1">
      <c r="B16" s="23"/>
      <c r="C16" s="11"/>
      <c r="D16" s="11"/>
      <c r="E16" s="12"/>
      <c r="F16" s="45"/>
      <c r="G16" s="45"/>
      <c r="H16" s="45"/>
      <c r="I16" s="45"/>
      <c r="J16" s="45"/>
    </row>
    <row r="17" spans="2:10" s="2" customFormat="1"/>
    <row r="18" spans="2:10" s="2" customFormat="1">
      <c r="C18" s="3" t="s">
        <v>2</v>
      </c>
      <c r="D18" s="3"/>
      <c r="E18" s="3"/>
    </row>
    <row r="19" spans="2:10" s="2" customFormat="1" ht="15.75" thickBot="1">
      <c r="C19" s="4"/>
      <c r="D19" s="4"/>
      <c r="E19" s="4"/>
      <c r="I19" s="5"/>
      <c r="J19" s="5"/>
    </row>
    <row r="20" spans="2:10" s="2" customFormat="1">
      <c r="B20" s="24"/>
      <c r="C20" s="13"/>
      <c r="D20" s="13"/>
      <c r="E20" s="13"/>
      <c r="F20" s="13"/>
      <c r="G20" s="13"/>
      <c r="H20" s="25"/>
    </row>
    <row r="21" spans="2:10" s="2" customFormat="1">
      <c r="B21" s="19"/>
      <c r="C21" s="16" t="s">
        <v>151</v>
      </c>
      <c r="D21" s="113">
        <f>((1+D9)*(1+D10))-1</f>
        <v>9.1800000000000104E-2</v>
      </c>
      <c r="E21" s="17"/>
      <c r="F21" s="17"/>
      <c r="G21" s="16"/>
      <c r="H21" s="20"/>
    </row>
    <row r="22" spans="2:10" s="2" customFormat="1">
      <c r="B22" s="19"/>
      <c r="C22" s="16" t="s">
        <v>157</v>
      </c>
      <c r="D22" s="123">
        <f>D8*D7</f>
        <v>300000</v>
      </c>
      <c r="E22" s="17"/>
      <c r="F22" s="17"/>
      <c r="G22" s="16"/>
      <c r="H22" s="20"/>
    </row>
    <row r="23" spans="2:10" s="2" customFormat="1" ht="15.75">
      <c r="B23" s="19"/>
      <c r="C23" s="14"/>
      <c r="D23" s="114"/>
      <c r="E23" s="44"/>
      <c r="F23" s="44"/>
      <c r="G23" s="15"/>
      <c r="H23" s="20"/>
    </row>
    <row r="24" spans="2:10" s="2" customFormat="1">
      <c r="B24" s="19"/>
      <c r="C24" s="119" t="s">
        <v>152</v>
      </c>
      <c r="D24" s="120" t="s">
        <v>153</v>
      </c>
      <c r="E24" s="121"/>
      <c r="F24" s="121" t="s">
        <v>154</v>
      </c>
      <c r="G24" s="128" t="s">
        <v>155</v>
      </c>
      <c r="H24" s="20"/>
    </row>
    <row r="25" spans="2:10" s="2" customFormat="1">
      <c r="B25" s="19"/>
      <c r="C25" s="118">
        <v>1</v>
      </c>
      <c r="D25" s="115">
        <f>D22*(1+D21)</f>
        <v>327540.00000000006</v>
      </c>
      <c r="E25" s="62"/>
      <c r="F25" s="130">
        <f>D11*(1+D12)</f>
        <v>127500</v>
      </c>
      <c r="G25" s="40">
        <f>D25-F25</f>
        <v>200040.00000000006</v>
      </c>
      <c r="H25" s="20"/>
    </row>
    <row r="26" spans="2:10" s="2" customFormat="1">
      <c r="B26" s="19"/>
      <c r="C26" s="118">
        <v>2</v>
      </c>
      <c r="D26" s="122">
        <f>D25*(1+$D$21)</f>
        <v>357608.17200000008</v>
      </c>
      <c r="E26" s="105"/>
      <c r="F26" s="105">
        <f>F25*(1+$D$12)</f>
        <v>130050</v>
      </c>
      <c r="G26" s="129">
        <f>D26-F26</f>
        <v>227558.17200000008</v>
      </c>
      <c r="H26" s="20"/>
    </row>
    <row r="27" spans="2:10" s="2" customFormat="1">
      <c r="B27" s="19"/>
      <c r="C27" s="118">
        <v>3</v>
      </c>
      <c r="D27" s="122">
        <f>D26*(1+$D$21)</f>
        <v>390436.60218960012</v>
      </c>
      <c r="E27" s="105"/>
      <c r="F27" s="105">
        <f>F26*(1+$D$12)</f>
        <v>132651</v>
      </c>
      <c r="G27" s="129">
        <f>D27-F27</f>
        <v>257785.60218960012</v>
      </c>
      <c r="H27" s="20"/>
    </row>
    <row r="28" spans="2:10" s="2" customFormat="1">
      <c r="B28" s="19"/>
      <c r="C28" s="118">
        <v>4</v>
      </c>
      <c r="D28" s="122">
        <f>D27*(1+$D$21)</f>
        <v>426278.68227060547</v>
      </c>
      <c r="E28" s="105"/>
      <c r="F28" s="105">
        <f>F27*(1+$D$12)</f>
        <v>135304.01999999999</v>
      </c>
      <c r="G28" s="129">
        <f>D28-F28</f>
        <v>290974.66227060545</v>
      </c>
      <c r="H28" s="20"/>
    </row>
    <row r="29" spans="2:10" s="2" customFormat="1">
      <c r="B29" s="19"/>
      <c r="C29" s="118">
        <v>5</v>
      </c>
      <c r="D29" s="122">
        <f>D28*(1+$D$21)</f>
        <v>465411.06530304707</v>
      </c>
      <c r="E29" s="105"/>
      <c r="F29" s="105">
        <f>F28*(1+$D$12)</f>
        <v>138010.1004</v>
      </c>
      <c r="G29" s="129">
        <f>D29-F29</f>
        <v>327400.96490304708</v>
      </c>
      <c r="H29" s="20"/>
    </row>
    <row r="30" spans="2:10" s="2" customFormat="1" ht="15.75">
      <c r="B30" s="19"/>
      <c r="C30" s="14"/>
      <c r="D30" s="115"/>
      <c r="E30" s="44"/>
      <c r="F30" s="44"/>
      <c r="G30" s="15"/>
      <c r="H30" s="20"/>
    </row>
    <row r="31" spans="2:10" s="2" customFormat="1" ht="15.75">
      <c r="B31" s="19"/>
      <c r="C31" s="14" t="s">
        <v>158</v>
      </c>
      <c r="D31" s="114"/>
      <c r="E31" s="44"/>
      <c r="F31" s="44"/>
      <c r="G31" s="15"/>
      <c r="H31" s="20"/>
    </row>
    <row r="32" spans="2:10" s="2" customFormat="1" ht="15.75">
      <c r="B32" s="19"/>
      <c r="C32" s="118">
        <v>1</v>
      </c>
      <c r="D32" s="115">
        <f>FV($D$15,4,0,-G25)</f>
        <v>282372.78526440013</v>
      </c>
      <c r="E32" s="44"/>
      <c r="F32" s="44"/>
      <c r="G32" s="15"/>
      <c r="H32" s="20"/>
    </row>
    <row r="33" spans="2:10" s="2" customFormat="1" ht="15.75">
      <c r="B33" s="19"/>
      <c r="C33" s="118">
        <v>2</v>
      </c>
      <c r="D33" s="124">
        <f>FV($D$15,3,0,-G26)</f>
        <v>294694.43192698812</v>
      </c>
      <c r="E33" s="44"/>
      <c r="F33" s="44"/>
      <c r="G33" s="15"/>
      <c r="H33" s="20"/>
    </row>
    <row r="34" spans="2:10" s="2" customFormat="1" ht="15.75">
      <c r="B34" s="19"/>
      <c r="C34" s="118">
        <v>3</v>
      </c>
      <c r="D34" s="124">
        <f>FV($D$15,2,0,-G27)</f>
        <v>306275.07396146393</v>
      </c>
      <c r="E34" s="44"/>
      <c r="F34" s="44"/>
      <c r="G34" s="15"/>
      <c r="H34" s="20"/>
    </row>
    <row r="35" spans="2:10" s="2" customFormat="1" ht="15.75">
      <c r="B35" s="19"/>
      <c r="C35" s="118">
        <v>4</v>
      </c>
      <c r="D35" s="124">
        <f>FV($D$15,1,0,-G28)</f>
        <v>317162.38187495997</v>
      </c>
      <c r="E35" s="44"/>
      <c r="F35" s="44"/>
      <c r="G35" s="15"/>
      <c r="H35" s="20"/>
    </row>
    <row r="36" spans="2:10" s="2" customFormat="1" ht="15.75">
      <c r="B36" s="19"/>
      <c r="C36" s="118">
        <v>5</v>
      </c>
      <c r="D36" s="125">
        <f>G29</f>
        <v>327400.96490304708</v>
      </c>
      <c r="E36" s="44"/>
      <c r="F36" s="44"/>
      <c r="G36" s="15"/>
      <c r="H36" s="20"/>
    </row>
    <row r="37" spans="2:10" s="2" customFormat="1" ht="15.75">
      <c r="B37" s="19"/>
      <c r="C37" s="14" t="s">
        <v>159</v>
      </c>
      <c r="D37" s="126">
        <f>SUM(D32:D36)</f>
        <v>1527905.6379308591</v>
      </c>
      <c r="E37" s="44"/>
      <c r="F37" s="44"/>
      <c r="G37" s="15"/>
      <c r="H37" s="20"/>
    </row>
    <row r="38" spans="2:10" s="2" customFormat="1" ht="15.75">
      <c r="B38" s="19"/>
      <c r="C38" s="14"/>
      <c r="D38" s="117"/>
      <c r="E38" s="40"/>
      <c r="F38" s="40"/>
      <c r="G38" s="15"/>
      <c r="H38" s="20"/>
    </row>
    <row r="39" spans="2:10" s="2" customFormat="1">
      <c r="B39" s="19"/>
      <c r="C39" s="14" t="s">
        <v>160</v>
      </c>
      <c r="D39" s="127">
        <f>D37-D13</f>
        <v>1027905.6379308591</v>
      </c>
      <c r="E39" s="40"/>
      <c r="F39" s="40"/>
      <c r="G39" s="15"/>
      <c r="H39" s="20"/>
    </row>
    <row r="40" spans="2:10" s="2" customFormat="1">
      <c r="B40" s="19"/>
      <c r="C40" s="14"/>
      <c r="D40" s="127"/>
      <c r="E40" s="40"/>
      <c r="F40" s="40"/>
      <c r="G40" s="15"/>
      <c r="H40" s="20"/>
    </row>
    <row r="41" spans="2:10" s="2" customFormat="1" ht="15.75">
      <c r="B41" s="19"/>
      <c r="C41" s="14" t="s">
        <v>161</v>
      </c>
      <c r="D41" s="72">
        <f>PMT(D15,D14,-D39)</f>
        <v>104647.21888464141</v>
      </c>
      <c r="E41" s="40"/>
      <c r="F41" s="40"/>
      <c r="G41" s="15"/>
      <c r="H41" s="20"/>
    </row>
    <row r="42" spans="2:10" s="2" customFormat="1" ht="15" customHeight="1" thickBot="1">
      <c r="B42" s="26"/>
      <c r="C42" s="27"/>
      <c r="D42" s="27"/>
      <c r="E42" s="27"/>
      <c r="F42" s="27"/>
      <c r="G42" s="27"/>
      <c r="H42" s="28"/>
    </row>
    <row r="43" spans="2:10" s="2" customFormat="1">
      <c r="I43" s="5"/>
      <c r="J43" s="5"/>
    </row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1212"/>
  <dimension ref="B1:E20"/>
  <sheetViews>
    <sheetView workbookViewId="0"/>
  </sheetViews>
  <sheetFormatPr defaultRowHeight="12.75"/>
  <cols>
    <col min="2" max="2" width="3.140625" customWidth="1"/>
    <col min="3" max="3" width="22.7109375" customWidth="1"/>
    <col min="4" max="4" width="13" customWidth="1"/>
    <col min="5" max="5" width="3.140625" customWidth="1"/>
  </cols>
  <sheetData>
    <row r="1" spans="2:5" ht="18">
      <c r="C1" s="1" t="s">
        <v>215</v>
      </c>
    </row>
    <row r="2" spans="2:5" ht="15">
      <c r="C2" s="2" t="s">
        <v>4</v>
      </c>
    </row>
    <row r="4" spans="2:5" ht="15">
      <c r="C4" s="3" t="s">
        <v>1</v>
      </c>
      <c r="D4" s="2"/>
      <c r="E4" s="2"/>
    </row>
    <row r="5" spans="2:5" s="2" customFormat="1" ht="15.75" thickBot="1">
      <c r="C5" s="4"/>
      <c r="D5" s="5"/>
    </row>
    <row r="6" spans="2:5" s="2" customFormat="1" ht="15">
      <c r="B6" s="21"/>
      <c r="C6" s="6"/>
      <c r="D6" s="7"/>
      <c r="E6" s="8"/>
    </row>
    <row r="7" spans="2:5" s="2" customFormat="1" ht="15">
      <c r="B7" s="22"/>
      <c r="C7" s="9" t="s">
        <v>8</v>
      </c>
      <c r="D7" s="86">
        <v>36526</v>
      </c>
      <c r="E7" s="10"/>
    </row>
    <row r="8" spans="2:5" s="2" customFormat="1" ht="15">
      <c r="B8" s="22"/>
      <c r="C8" s="9" t="s">
        <v>9</v>
      </c>
      <c r="D8" s="87">
        <v>41275</v>
      </c>
      <c r="E8" s="10"/>
    </row>
    <row r="9" spans="2:5" s="2" customFormat="1" ht="15">
      <c r="B9" s="22"/>
      <c r="C9" s="9" t="s">
        <v>10</v>
      </c>
      <c r="D9" s="93">
        <v>6.4000000000000001E-2</v>
      </c>
      <c r="E9" s="10"/>
    </row>
    <row r="10" spans="2:5" s="2" customFormat="1" ht="15">
      <c r="B10" s="22"/>
      <c r="C10" s="9" t="s">
        <v>11</v>
      </c>
      <c r="D10" s="89">
        <v>2</v>
      </c>
      <c r="E10" s="10"/>
    </row>
    <row r="11" spans="2:5" s="2" customFormat="1" ht="15">
      <c r="B11" s="22"/>
      <c r="C11" s="9" t="s">
        <v>12</v>
      </c>
      <c r="D11" s="89">
        <v>100</v>
      </c>
      <c r="E11" s="10"/>
    </row>
    <row r="12" spans="2:5" s="2" customFormat="1" ht="15">
      <c r="B12" s="22"/>
      <c r="C12" s="9" t="s">
        <v>13</v>
      </c>
      <c r="D12" s="89">
        <v>105</v>
      </c>
      <c r="E12" s="10"/>
    </row>
    <row r="13" spans="2:5" s="2" customFormat="1" ht="15" customHeight="1" thickBot="1">
      <c r="B13" s="23"/>
      <c r="C13" s="11"/>
      <c r="D13" s="11"/>
      <c r="E13" s="12"/>
    </row>
    <row r="14" spans="2:5" s="2" customFormat="1" ht="15"/>
    <row r="15" spans="2:5" s="2" customFormat="1" ht="15">
      <c r="C15" s="3" t="s">
        <v>2</v>
      </c>
    </row>
    <row r="16" spans="2:5" s="2" customFormat="1" ht="15.75" thickBot="1">
      <c r="C16" s="4"/>
    </row>
    <row r="17" spans="2:5" s="2" customFormat="1" ht="15">
      <c r="B17" s="24"/>
      <c r="C17" s="13"/>
      <c r="D17" s="13"/>
      <c r="E17" s="25"/>
    </row>
    <row r="18" spans="2:5" s="2" customFormat="1" ht="15.75">
      <c r="B18" s="19"/>
      <c r="C18" s="14" t="s">
        <v>179</v>
      </c>
      <c r="D18" s="31">
        <f>YIELD(D7,D8,D9,D12,D11,D10)</f>
        <v>5.8455759774776322E-2</v>
      </c>
      <c r="E18" s="30"/>
    </row>
    <row r="19" spans="2:5" s="2" customFormat="1" ht="15" customHeight="1" thickBot="1">
      <c r="B19" s="26"/>
      <c r="C19" s="27"/>
      <c r="D19" s="27"/>
      <c r="E19" s="28"/>
    </row>
    <row r="20" spans="2:5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12112"/>
  <dimension ref="B1:F24"/>
  <sheetViews>
    <sheetView workbookViewId="0"/>
  </sheetViews>
  <sheetFormatPr defaultRowHeight="12.75"/>
  <cols>
    <col min="2" max="2" width="3.140625" customWidth="1"/>
    <col min="3" max="3" width="36.5703125" bestFit="1" customWidth="1"/>
    <col min="4" max="4" width="17.140625" customWidth="1"/>
    <col min="5" max="5" width="3.140625" customWidth="1"/>
    <col min="6" max="6" width="13" customWidth="1"/>
    <col min="7" max="7" width="3.140625" customWidth="1"/>
  </cols>
  <sheetData>
    <row r="1" spans="2:6" ht="18">
      <c r="C1" s="1" t="s">
        <v>215</v>
      </c>
    </row>
    <row r="2" spans="2:6" ht="15">
      <c r="C2" s="2" t="s">
        <v>7</v>
      </c>
    </row>
    <row r="4" spans="2:6" ht="15">
      <c r="C4" s="3" t="s">
        <v>1</v>
      </c>
      <c r="D4" s="2"/>
      <c r="E4" s="2"/>
      <c r="F4" s="2"/>
    </row>
    <row r="5" spans="2:6" s="2" customFormat="1" ht="15.75" thickBot="1">
      <c r="C5" s="4"/>
      <c r="D5" s="5"/>
    </row>
    <row r="6" spans="2:6" s="2" customFormat="1" ht="15">
      <c r="B6" s="21"/>
      <c r="C6" s="6"/>
      <c r="D6" s="7"/>
      <c r="E6" s="8"/>
    </row>
    <row r="7" spans="2:6" s="2" customFormat="1" ht="15">
      <c r="B7" s="22"/>
      <c r="C7" s="9" t="s">
        <v>64</v>
      </c>
      <c r="D7" s="104">
        <v>11.5</v>
      </c>
      <c r="E7" s="10"/>
    </row>
    <row r="8" spans="2:6" s="2" customFormat="1" ht="15">
      <c r="B8" s="22"/>
      <c r="C8" s="9" t="s">
        <v>11</v>
      </c>
      <c r="D8" s="89">
        <v>2</v>
      </c>
      <c r="E8" s="10"/>
    </row>
    <row r="9" spans="2:6" s="2" customFormat="1" ht="15">
      <c r="B9" s="22"/>
      <c r="C9" s="9" t="s">
        <v>15</v>
      </c>
      <c r="D9" s="90">
        <v>1000</v>
      </c>
      <c r="E9" s="10"/>
    </row>
    <row r="10" spans="2:6" s="2" customFormat="1" ht="15">
      <c r="B10" s="22"/>
      <c r="C10" s="9" t="s">
        <v>16</v>
      </c>
      <c r="D10" s="89">
        <v>1060</v>
      </c>
      <c r="E10" s="10"/>
    </row>
    <row r="11" spans="2:6" s="2" customFormat="1" ht="15">
      <c r="B11" s="22"/>
      <c r="C11" s="9" t="s">
        <v>6</v>
      </c>
      <c r="D11" s="98">
        <v>7.5999999999999998E-2</v>
      </c>
      <c r="E11" s="10"/>
    </row>
    <row r="12" spans="2:6" s="2" customFormat="1" ht="15" customHeight="1" thickBot="1">
      <c r="B12" s="23"/>
      <c r="C12" s="11"/>
      <c r="D12" s="11"/>
      <c r="E12" s="12"/>
    </row>
    <row r="13" spans="2:6" s="2" customFormat="1" ht="15"/>
    <row r="14" spans="2:6" s="2" customFormat="1" ht="15">
      <c r="C14" s="3" t="s">
        <v>2</v>
      </c>
    </row>
    <row r="15" spans="2:6" s="2" customFormat="1" ht="15.75" thickBot="1">
      <c r="C15" s="4"/>
    </row>
    <row r="16" spans="2:6" s="2" customFormat="1" ht="15">
      <c r="B16" s="24"/>
      <c r="C16" s="13"/>
      <c r="D16" s="13"/>
      <c r="E16" s="25"/>
    </row>
    <row r="17" spans="2:5" s="2" customFormat="1" ht="15">
      <c r="B17" s="19"/>
      <c r="C17" s="14" t="s">
        <v>197</v>
      </c>
      <c r="D17" s="38">
        <f>D9/(1+D11/D8)^(D7*D8)</f>
        <v>424.09277059710081</v>
      </c>
      <c r="E17" s="20"/>
    </row>
    <row r="18" spans="2:5" s="2" customFormat="1" ht="15">
      <c r="B18" s="19"/>
      <c r="C18" s="16" t="s">
        <v>198</v>
      </c>
      <c r="D18" s="137">
        <f>D10-D17</f>
        <v>635.90722940289925</v>
      </c>
      <c r="E18" s="20"/>
    </row>
    <row r="19" spans="2:5" s="2" customFormat="1" ht="15">
      <c r="B19" s="19"/>
      <c r="C19" s="16" t="s">
        <v>200</v>
      </c>
      <c r="D19" s="130">
        <f>-PMT(D11/D8,D7*2,D18)</f>
        <v>41.958970965452039</v>
      </c>
      <c r="E19" s="20"/>
    </row>
    <row r="20" spans="2:5" s="2" customFormat="1" ht="15">
      <c r="B20" s="19"/>
      <c r="C20" s="16" t="s">
        <v>201</v>
      </c>
      <c r="D20" s="130">
        <f>D19*2</f>
        <v>83.917941930904078</v>
      </c>
      <c r="E20" s="20"/>
    </row>
    <row r="21" spans="2:5" s="2" customFormat="1" ht="15">
      <c r="B21" s="19"/>
      <c r="C21" s="16"/>
      <c r="D21" s="39"/>
      <c r="E21" s="20"/>
    </row>
    <row r="22" spans="2:5" s="2" customFormat="1" ht="15.75">
      <c r="B22" s="19"/>
      <c r="C22" s="16" t="s">
        <v>199</v>
      </c>
      <c r="D22" s="31">
        <f>D20/D9</f>
        <v>8.3917941930904072E-2</v>
      </c>
      <c r="E22" s="20"/>
    </row>
    <row r="23" spans="2:5" s="2" customFormat="1" ht="15" customHeight="1" thickBot="1">
      <c r="B23" s="26"/>
      <c r="C23" s="27"/>
      <c r="D23" s="27"/>
      <c r="E23" s="28"/>
    </row>
    <row r="24" spans="2:5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E19"/>
  <sheetViews>
    <sheetView workbookViewId="0"/>
  </sheetViews>
  <sheetFormatPr defaultRowHeight="12.75"/>
  <cols>
    <col min="2" max="2" width="3.140625" customWidth="1"/>
    <col min="3" max="3" width="22.7109375" customWidth="1"/>
    <col min="4" max="4" width="13.5703125" bestFit="1" customWidth="1"/>
    <col min="5" max="5" width="3.140625" customWidth="1"/>
  </cols>
  <sheetData>
    <row r="1" spans="2:5" ht="18">
      <c r="C1" s="1" t="s">
        <v>215</v>
      </c>
    </row>
    <row r="2" spans="2:5" ht="15">
      <c r="C2" s="2" t="s">
        <v>14</v>
      </c>
    </row>
    <row r="4" spans="2:5" ht="15">
      <c r="C4" s="3" t="s">
        <v>1</v>
      </c>
      <c r="D4" s="2"/>
      <c r="E4" s="2"/>
    </row>
    <row r="5" spans="2:5" s="2" customFormat="1" ht="15.75" thickBot="1">
      <c r="C5" s="4"/>
      <c r="D5" s="5"/>
    </row>
    <row r="6" spans="2:5" s="2" customFormat="1" ht="15">
      <c r="B6" s="21"/>
      <c r="C6" s="6"/>
      <c r="D6" s="7"/>
      <c r="E6" s="8"/>
    </row>
    <row r="7" spans="2:5" s="2" customFormat="1" ht="15">
      <c r="B7" s="22"/>
      <c r="C7" s="9" t="s">
        <v>8</v>
      </c>
      <c r="D7" s="86">
        <v>36526</v>
      </c>
      <c r="E7" s="10"/>
    </row>
    <row r="8" spans="2:5" s="2" customFormat="1" ht="15">
      <c r="B8" s="22"/>
      <c r="C8" s="9" t="s">
        <v>9</v>
      </c>
      <c r="D8" s="87">
        <v>43466</v>
      </c>
      <c r="E8" s="10"/>
    </row>
    <row r="9" spans="2:5" s="2" customFormat="1" ht="15">
      <c r="B9" s="22"/>
      <c r="C9" s="9" t="s">
        <v>10</v>
      </c>
      <c r="D9" s="93">
        <v>4.4999999999999998E-2</v>
      </c>
      <c r="E9" s="10"/>
    </row>
    <row r="10" spans="2:5" s="2" customFormat="1" ht="15">
      <c r="B10" s="22"/>
      <c r="C10" s="9" t="s">
        <v>11</v>
      </c>
      <c r="D10" s="89">
        <v>1</v>
      </c>
      <c r="E10" s="10"/>
    </row>
    <row r="11" spans="2:5" s="2" customFormat="1" ht="15">
      <c r="B11" s="22"/>
      <c r="C11" s="9" t="s">
        <v>6</v>
      </c>
      <c r="D11" s="93">
        <v>3.9E-2</v>
      </c>
      <c r="E11" s="10"/>
    </row>
    <row r="12" spans="2:5" s="2" customFormat="1" ht="15" customHeight="1" thickBot="1">
      <c r="B12" s="23"/>
      <c r="C12" s="11"/>
      <c r="D12" s="11"/>
      <c r="E12" s="12"/>
    </row>
    <row r="13" spans="2:5" s="2" customFormat="1" ht="15"/>
    <row r="14" spans="2:5" s="2" customFormat="1" ht="15">
      <c r="C14" s="3" t="s">
        <v>2</v>
      </c>
    </row>
    <row r="15" spans="2:5" s="2" customFormat="1" ht="15.75" thickBot="1">
      <c r="C15" s="4"/>
    </row>
    <row r="16" spans="2:5" s="2" customFormat="1" ht="15">
      <c r="B16" s="24"/>
      <c r="C16" s="13"/>
      <c r="D16" s="13"/>
      <c r="E16" s="25"/>
    </row>
    <row r="17" spans="2:5" s="2" customFormat="1" ht="15.75">
      <c r="B17" s="19"/>
      <c r="C17" s="16" t="s">
        <v>102</v>
      </c>
      <c r="D17" s="218">
        <f>PRICE($D$7,$D$8,$D$9,D11,100,$D$10)*10</f>
        <v>1079.4772740625708</v>
      </c>
      <c r="E17" s="20"/>
    </row>
    <row r="18" spans="2:5" s="2" customFormat="1" ht="15" customHeight="1" thickBot="1">
      <c r="B18" s="26"/>
      <c r="C18" s="27"/>
      <c r="D18" s="27"/>
      <c r="E18" s="28"/>
    </row>
    <row r="19" spans="2:5" s="2" customFormat="1" ht="15"/>
  </sheetData>
  <phoneticPr fontId="25" type="noConversion"/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1:E20"/>
  <sheetViews>
    <sheetView workbookViewId="0"/>
  </sheetViews>
  <sheetFormatPr defaultRowHeight="12.75"/>
  <cols>
    <col min="2" max="2" width="3.140625" customWidth="1"/>
    <col min="3" max="3" width="22.7109375" customWidth="1"/>
    <col min="4" max="4" width="13" customWidth="1"/>
    <col min="5" max="5" width="3.140625" customWidth="1"/>
  </cols>
  <sheetData>
    <row r="1" spans="2:5" ht="18">
      <c r="C1" s="1" t="s">
        <v>215</v>
      </c>
    </row>
    <row r="2" spans="2:5" ht="15">
      <c r="C2" s="2" t="s">
        <v>17</v>
      </c>
    </row>
    <row r="4" spans="2:5" ht="15">
      <c r="C4" s="3" t="s">
        <v>1</v>
      </c>
      <c r="D4" s="2"/>
      <c r="E4" s="2"/>
    </row>
    <row r="5" spans="2:5" s="2" customFormat="1" ht="15.75" thickBot="1">
      <c r="C5" s="4"/>
      <c r="D5" s="5"/>
    </row>
    <row r="6" spans="2:5" s="2" customFormat="1" ht="15">
      <c r="B6" s="21"/>
      <c r="C6" s="6"/>
      <c r="D6" s="7"/>
      <c r="E6" s="8"/>
    </row>
    <row r="7" spans="2:5" s="2" customFormat="1" ht="15">
      <c r="B7" s="22"/>
      <c r="C7" s="9" t="s">
        <v>8</v>
      </c>
      <c r="D7" s="86">
        <v>36526</v>
      </c>
      <c r="E7" s="10"/>
    </row>
    <row r="8" spans="2:5" s="2" customFormat="1" ht="15">
      <c r="B8" s="22"/>
      <c r="C8" s="9" t="s">
        <v>9</v>
      </c>
      <c r="D8" s="87">
        <v>44197</v>
      </c>
      <c r="E8" s="10"/>
    </row>
    <row r="9" spans="2:5" s="2" customFormat="1" ht="15">
      <c r="B9" s="22"/>
      <c r="C9" s="9" t="s">
        <v>10</v>
      </c>
      <c r="D9" s="93">
        <v>2.8000000000000001E-2</v>
      </c>
      <c r="E9" s="10"/>
    </row>
    <row r="10" spans="2:5" s="2" customFormat="1" ht="15">
      <c r="B10" s="22"/>
      <c r="C10" s="9" t="s">
        <v>11</v>
      </c>
      <c r="D10" s="89">
        <v>1</v>
      </c>
      <c r="E10" s="10"/>
    </row>
    <row r="11" spans="2:5" s="2" customFormat="1" ht="15">
      <c r="B11" s="22"/>
      <c r="C11" s="9" t="s">
        <v>12</v>
      </c>
      <c r="D11" s="89">
        <v>100</v>
      </c>
      <c r="E11" s="10"/>
    </row>
    <row r="12" spans="2:5" s="2" customFormat="1" ht="15">
      <c r="B12" s="22"/>
      <c r="C12" s="9" t="s">
        <v>13</v>
      </c>
      <c r="D12" s="89">
        <v>92</v>
      </c>
      <c r="E12" s="10"/>
    </row>
    <row r="13" spans="2:5" s="2" customFormat="1" ht="15" customHeight="1" thickBot="1">
      <c r="B13" s="23"/>
      <c r="C13" s="11"/>
      <c r="D13" s="11"/>
      <c r="E13" s="12"/>
    </row>
    <row r="14" spans="2:5" s="2" customFormat="1" ht="15"/>
    <row r="15" spans="2:5" s="2" customFormat="1" ht="15">
      <c r="C15" s="3" t="s">
        <v>2</v>
      </c>
    </row>
    <row r="16" spans="2:5" s="2" customFormat="1" ht="15.75" thickBot="1">
      <c r="C16" s="4"/>
    </row>
    <row r="17" spans="2:5" s="2" customFormat="1" ht="15">
      <c r="B17" s="24"/>
      <c r="C17" s="13"/>
      <c r="D17" s="13"/>
      <c r="E17" s="25"/>
    </row>
    <row r="18" spans="2:5" s="2" customFormat="1" ht="15.75">
      <c r="B18" s="19"/>
      <c r="C18" s="14" t="s">
        <v>179</v>
      </c>
      <c r="D18" s="31">
        <f>YIELD(D7,D8,D9,D12,D11,D10)</f>
        <v>3.335913790023922E-2</v>
      </c>
      <c r="E18" s="30"/>
    </row>
    <row r="19" spans="2:5" s="2" customFormat="1" ht="15" customHeight="1" thickBot="1">
      <c r="B19" s="26"/>
      <c r="C19" s="27"/>
      <c r="D19" s="27"/>
      <c r="E19" s="28"/>
    </row>
    <row r="20" spans="2:5" s="2" customFormat="1" ht="15"/>
  </sheetData>
  <phoneticPr fontId="25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21121"/>
  <dimension ref="B1:G18"/>
  <sheetViews>
    <sheetView workbookViewId="0"/>
  </sheetViews>
  <sheetFormatPr defaultRowHeight="12.75"/>
  <cols>
    <col min="2" max="2" width="3.140625" customWidth="1"/>
    <col min="3" max="3" width="23.28515625" customWidth="1"/>
    <col min="4" max="4" width="12.85546875" customWidth="1"/>
    <col min="5" max="5" width="3.140625" customWidth="1"/>
    <col min="6" max="6" width="12.28515625" customWidth="1"/>
    <col min="7" max="7" width="11.5703125" customWidth="1"/>
    <col min="8" max="8" width="3.140625" customWidth="1"/>
  </cols>
  <sheetData>
    <row r="1" spans="2:7" ht="18">
      <c r="C1" s="1" t="s">
        <v>215</v>
      </c>
    </row>
    <row r="2" spans="2:7" ht="15">
      <c r="C2" s="2" t="s">
        <v>18</v>
      </c>
    </row>
    <row r="4" spans="2:7" ht="15">
      <c r="C4" s="3" t="s">
        <v>1</v>
      </c>
      <c r="D4" s="2"/>
      <c r="E4" s="2"/>
      <c r="F4" s="2"/>
      <c r="G4" s="2"/>
    </row>
    <row r="5" spans="2:7" s="2" customFormat="1" ht="15.75" thickBot="1">
      <c r="C5" s="4"/>
      <c r="D5" s="5"/>
    </row>
    <row r="6" spans="2:7" s="2" customFormat="1" ht="15">
      <c r="B6" s="21"/>
      <c r="C6" s="6"/>
      <c r="D6" s="7"/>
      <c r="E6" s="8"/>
    </row>
    <row r="7" spans="2:7" s="2" customFormat="1" ht="15">
      <c r="B7" s="22"/>
      <c r="C7" s="9" t="s">
        <v>21</v>
      </c>
      <c r="D7" s="93">
        <v>4.4999999999999998E-2</v>
      </c>
      <c r="E7" s="10"/>
    </row>
    <row r="8" spans="2:7" s="2" customFormat="1" ht="15">
      <c r="B8" s="22"/>
      <c r="C8" s="9" t="s">
        <v>22</v>
      </c>
      <c r="D8" s="93">
        <v>2.1000000000000001E-2</v>
      </c>
      <c r="E8" s="10"/>
    </row>
    <row r="9" spans="2:7" s="2" customFormat="1" ht="15" customHeight="1" thickBot="1">
      <c r="B9" s="23"/>
      <c r="C9" s="11"/>
      <c r="D9" s="11"/>
      <c r="E9" s="12"/>
    </row>
    <row r="10" spans="2:7" s="2" customFormat="1" ht="15"/>
    <row r="11" spans="2:7" s="2" customFormat="1" ht="15">
      <c r="C11" s="3" t="s">
        <v>2</v>
      </c>
    </row>
    <row r="12" spans="2:7" s="2" customFormat="1" ht="15.75" thickBot="1">
      <c r="C12" s="4"/>
    </row>
    <row r="13" spans="2:7" s="2" customFormat="1" ht="15">
      <c r="B13" s="24"/>
      <c r="C13" s="13"/>
      <c r="D13" s="13"/>
      <c r="E13" s="25"/>
    </row>
    <row r="14" spans="2:7" s="2" customFormat="1" ht="15.75">
      <c r="B14" s="19"/>
      <c r="C14" s="14" t="s">
        <v>103</v>
      </c>
      <c r="D14" s="31">
        <f>D7-D8</f>
        <v>2.3999999999999997E-2</v>
      </c>
      <c r="E14" s="20"/>
    </row>
    <row r="15" spans="2:7" s="2" customFormat="1" ht="15.75">
      <c r="B15" s="19"/>
      <c r="C15" s="16"/>
      <c r="D15" s="32"/>
      <c r="E15" s="20"/>
    </row>
    <row r="16" spans="2:7" s="2" customFormat="1" ht="15.75">
      <c r="B16" s="19"/>
      <c r="C16" s="16" t="s">
        <v>104</v>
      </c>
      <c r="D16" s="31">
        <f>(D7+1)/(1+D8)-1</f>
        <v>2.350636630754166E-2</v>
      </c>
      <c r="E16" s="20"/>
    </row>
    <row r="17" spans="2:5" s="2" customFormat="1" ht="15" customHeight="1" thickBot="1">
      <c r="B17" s="26"/>
      <c r="C17" s="27"/>
      <c r="D17" s="27"/>
      <c r="E17" s="28"/>
    </row>
    <row r="18" spans="2:5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1211211"/>
  <dimension ref="B1:E16"/>
  <sheetViews>
    <sheetView workbookViewId="0"/>
  </sheetViews>
  <sheetFormatPr defaultRowHeight="12.75"/>
  <cols>
    <col min="2" max="2" width="3.140625" customWidth="1"/>
    <col min="3" max="3" width="22.7109375" customWidth="1"/>
    <col min="4" max="4" width="12.85546875" customWidth="1"/>
    <col min="5" max="5" width="3.140625" customWidth="1"/>
  </cols>
  <sheetData>
    <row r="1" spans="2:5" ht="18">
      <c r="C1" s="1" t="s">
        <v>215</v>
      </c>
    </row>
    <row r="2" spans="2:5" ht="15">
      <c r="C2" s="2" t="s">
        <v>19</v>
      </c>
    </row>
    <row r="4" spans="2:5" ht="15">
      <c r="C4" s="3" t="s">
        <v>1</v>
      </c>
      <c r="D4" s="2"/>
      <c r="E4" s="2"/>
    </row>
    <row r="5" spans="2:5" s="2" customFormat="1" ht="15.75" thickBot="1">
      <c r="C5" s="4"/>
      <c r="D5" s="5"/>
    </row>
    <row r="6" spans="2:5" s="2" customFormat="1" ht="15">
      <c r="B6" s="21"/>
      <c r="C6" s="6"/>
      <c r="D6" s="7"/>
      <c r="E6" s="8"/>
    </row>
    <row r="7" spans="2:5" s="2" customFormat="1" ht="15">
      <c r="B7" s="22"/>
      <c r="C7" s="9" t="s">
        <v>23</v>
      </c>
      <c r="D7" s="93">
        <v>2.4E-2</v>
      </c>
      <c r="E7" s="10"/>
    </row>
    <row r="8" spans="2:5" s="2" customFormat="1" ht="15">
      <c r="B8" s="22"/>
      <c r="C8" s="9" t="s">
        <v>22</v>
      </c>
      <c r="D8" s="93">
        <v>3.1E-2</v>
      </c>
      <c r="E8" s="10"/>
    </row>
    <row r="9" spans="2:5" s="2" customFormat="1" ht="15" customHeight="1" thickBot="1">
      <c r="B9" s="23"/>
      <c r="C9" s="11"/>
      <c r="D9" s="11"/>
      <c r="E9" s="12"/>
    </row>
    <row r="10" spans="2:5" s="2" customFormat="1" ht="15"/>
    <row r="11" spans="2:5" s="2" customFormat="1" ht="15">
      <c r="C11" s="3" t="s">
        <v>2</v>
      </c>
    </row>
    <row r="12" spans="2:5" s="2" customFormat="1" ht="15.75" thickBot="1">
      <c r="C12" s="4"/>
    </row>
    <row r="13" spans="2:5" s="2" customFormat="1" ht="15">
      <c r="B13" s="24"/>
      <c r="C13" s="13"/>
      <c r="D13" s="13"/>
      <c r="E13" s="25"/>
    </row>
    <row r="14" spans="2:5" s="2" customFormat="1" ht="15.75">
      <c r="B14" s="19"/>
      <c r="C14" s="14" t="s">
        <v>175</v>
      </c>
      <c r="D14" s="31">
        <f>(1+D7)*(1+D8)-1</f>
        <v>5.5744000000000016E-2</v>
      </c>
      <c r="E14" s="30"/>
    </row>
    <row r="15" spans="2:5" s="2" customFormat="1" ht="15" customHeight="1" thickBot="1">
      <c r="B15" s="26"/>
      <c r="C15" s="27"/>
      <c r="D15" s="27"/>
      <c r="E15" s="28"/>
    </row>
    <row r="16" spans="2:5" s="2" customFormat="1" ht="15"/>
  </sheetData>
  <phoneticPr fontId="18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Chapter 8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  <vt:lpstr>#23</vt:lpstr>
      <vt:lpstr>#24</vt:lpstr>
      <vt:lpstr>#25</vt:lpstr>
      <vt:lpstr>#26</vt:lpstr>
      <vt:lpstr>#27</vt:lpstr>
      <vt:lpstr>#28</vt:lpstr>
      <vt:lpstr>#30</vt:lpstr>
      <vt:lpstr>#31</vt:lpstr>
      <vt:lpstr>#32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2005-03-20T23:14:26Z</cp:lastPrinted>
  <dcterms:created xsi:type="dcterms:W3CDTF">2002-04-15T02:43:42Z</dcterms:created>
  <dcterms:modified xsi:type="dcterms:W3CDTF">2012-11-06T10:28:24Z</dcterms:modified>
</cp:coreProperties>
</file>