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60" windowWidth="11295" windowHeight="7260" tabRatio="603"/>
  </bookViews>
  <sheets>
    <sheet name="Chapter 22" sheetId="33" r:id="rId1"/>
    <sheet name="#1" sheetId="35" r:id="rId2"/>
    <sheet name="#2" sheetId="36" r:id="rId3"/>
    <sheet name="#3" sheetId="37" r:id="rId4"/>
    <sheet name="#4" sheetId="38" r:id="rId5"/>
    <sheet name="#5" sheetId="39" r:id="rId6"/>
    <sheet name="#6" sheetId="5" r:id="rId7"/>
    <sheet name="#7" sheetId="6" r:id="rId8"/>
    <sheet name="#8" sheetId="7" r:id="rId9"/>
    <sheet name="#9" sheetId="8" r:id="rId10"/>
    <sheet name="#10" sheetId="10" r:id="rId11"/>
    <sheet name="#11" sheetId="11" r:id="rId12"/>
    <sheet name="#12" sheetId="12" r:id="rId13"/>
    <sheet name="#13" sheetId="13" r:id="rId14"/>
    <sheet name="#14" sheetId="14" r:id="rId15"/>
    <sheet name="#15" sheetId="15" r:id="rId16"/>
    <sheet name="#16" sheetId="47" r:id="rId17"/>
    <sheet name="#17" sheetId="48" r:id="rId18"/>
    <sheet name="#18" sheetId="34" r:id="rId19"/>
    <sheet name="#19" sheetId="18" r:id="rId20"/>
    <sheet name="#20" sheetId="49" r:id="rId21"/>
    <sheet name="#21" sheetId="20" r:id="rId22"/>
    <sheet name="#22" sheetId="21" r:id="rId23"/>
    <sheet name="#23" sheetId="22" r:id="rId24"/>
    <sheet name="#24" sheetId="23" r:id="rId25"/>
    <sheet name="#25" sheetId="24" r:id="rId26"/>
    <sheet name="#26" sheetId="40" r:id="rId27"/>
    <sheet name="#27" sheetId="41" r:id="rId28"/>
    <sheet name="#28" sheetId="42" r:id="rId29"/>
    <sheet name="#29" sheetId="43" r:id="rId30"/>
    <sheet name="#30" sheetId="25" r:id="rId31"/>
    <sheet name="#31" sheetId="26" r:id="rId32"/>
    <sheet name="#32" sheetId="44" r:id="rId33"/>
    <sheet name="#33" sheetId="27" r:id="rId34"/>
    <sheet name="#34" sheetId="28" r:id="rId35"/>
    <sheet name="#35" sheetId="29" r:id="rId36"/>
    <sheet name="#36" sheetId="30" r:id="rId37"/>
    <sheet name="#37" sheetId="31" r:id="rId38"/>
    <sheet name="#38" sheetId="32" r:id="rId39"/>
  </sheets>
  <calcPr calcId="114210"/>
</workbook>
</file>

<file path=xl/calcChain.xml><?xml version="1.0" encoding="utf-8"?>
<calcChain xmlns="http://schemas.openxmlformats.org/spreadsheetml/2006/main">
  <c r="E41" i="40"/>
  <c r="D20" i="38"/>
  <c r="E42" i="41"/>
  <c r="E40"/>
  <c r="C33" i="43"/>
  <c r="C32"/>
  <c r="C24"/>
  <c r="E26" i="40"/>
  <c r="D8" i="21"/>
  <c r="C58"/>
  <c r="D17" i="49"/>
  <c r="D19"/>
  <c r="D10" i="48"/>
  <c r="D9"/>
  <c r="D23"/>
  <c r="D24"/>
  <c r="D8"/>
  <c r="D7"/>
  <c r="D18"/>
  <c r="D23" i="47"/>
  <c r="D24"/>
  <c r="D18"/>
  <c r="D21"/>
  <c r="D17"/>
  <c r="D20"/>
  <c r="D18" i="49"/>
  <c r="D20"/>
  <c r="D22"/>
  <c r="D21" i="48"/>
  <c r="D26" i="47"/>
  <c r="D17" i="48"/>
  <c r="D20"/>
  <c r="D26"/>
  <c r="D20" i="39"/>
  <c r="D18"/>
  <c r="D18" i="38"/>
  <c r="E58" i="44"/>
  <c r="E57"/>
  <c r="D51"/>
  <c r="G51"/>
  <c r="D55"/>
  <c r="G55"/>
  <c r="C53"/>
  <c r="E46"/>
  <c r="E33"/>
  <c r="E32"/>
  <c r="D26"/>
  <c r="G26"/>
  <c r="D30"/>
  <c r="G30"/>
  <c r="C28"/>
  <c r="D19" i="43"/>
  <c r="D21"/>
  <c r="D27"/>
  <c r="D29"/>
  <c r="D25" i="42"/>
  <c r="G25"/>
  <c r="D29"/>
  <c r="G29"/>
  <c r="E20"/>
  <c r="D20" i="40"/>
  <c r="G20"/>
  <c r="D24"/>
  <c r="G24"/>
  <c r="E27"/>
  <c r="E30"/>
  <c r="E31"/>
  <c r="E32" i="42"/>
  <c r="E31"/>
  <c r="G17"/>
  <c r="C27"/>
  <c r="D27" i="41"/>
  <c r="G27"/>
  <c r="D23"/>
  <c r="G23"/>
  <c r="E18"/>
  <c r="E30"/>
  <c r="E29"/>
  <c r="C25"/>
  <c r="C22" i="40"/>
  <c r="D29" i="37"/>
  <c r="D31"/>
  <c r="D32"/>
  <c r="D34"/>
  <c r="D35"/>
  <c r="D36"/>
  <c r="D37"/>
  <c r="D39"/>
  <c r="D40"/>
  <c r="D41"/>
  <c r="D42"/>
  <c r="D43"/>
  <c r="F44"/>
  <c r="D18" i="36"/>
  <c r="H18"/>
  <c r="D20"/>
  <c r="H20"/>
  <c r="D18" i="35"/>
  <c r="D19"/>
  <c r="D21"/>
  <c r="D22"/>
  <c r="D24"/>
  <c r="D17" i="22"/>
  <c r="D19"/>
  <c r="D20" i="18"/>
  <c r="D10" i="28"/>
  <c r="D9"/>
  <c r="D11"/>
  <c r="D7"/>
  <c r="D12"/>
  <c r="D28" i="27"/>
  <c r="D30"/>
  <c r="D17" i="20"/>
  <c r="D18"/>
  <c r="D20"/>
  <c r="D8" i="28"/>
  <c r="D31" i="26"/>
  <c r="D32"/>
  <c r="D34"/>
  <c r="D20"/>
  <c r="D21"/>
  <c r="D23"/>
  <c r="D31" i="25"/>
  <c r="D32"/>
  <c r="D34"/>
  <c r="D20"/>
  <c r="D21"/>
  <c r="D23"/>
  <c r="D28" i="24"/>
  <c r="D30"/>
  <c r="D18"/>
  <c r="D20"/>
  <c r="D19"/>
  <c r="D21"/>
  <c r="D8" i="23"/>
  <c r="D7"/>
  <c r="D11"/>
  <c r="D9"/>
  <c r="D7" i="21"/>
  <c r="D9"/>
  <c r="D26"/>
  <c r="D27"/>
  <c r="D29"/>
  <c r="D24" i="34"/>
  <c r="D26"/>
  <c r="D17"/>
  <c r="D18"/>
  <c r="D20"/>
  <c r="D17" i="15"/>
  <c r="D18"/>
  <c r="D20"/>
  <c r="D21" i="13"/>
  <c r="D22"/>
  <c r="D24"/>
  <c r="D17" i="12"/>
  <c r="D18"/>
  <c r="C20"/>
  <c r="D21"/>
  <c r="D17" i="11"/>
  <c r="D18"/>
  <c r="D20"/>
  <c r="D17" i="10"/>
  <c r="D18"/>
  <c r="D20"/>
  <c r="D10" i="14"/>
  <c r="D22"/>
  <c r="D12"/>
  <c r="D11"/>
  <c r="D7"/>
  <c r="D9"/>
  <c r="D8"/>
  <c r="D18" i="13"/>
  <c r="C20"/>
  <c r="D30" i="26"/>
  <c r="D18"/>
  <c r="D30" i="25"/>
  <c r="D18"/>
  <c r="D26" i="15"/>
  <c r="D25"/>
  <c r="D17" i="18"/>
  <c r="D17" i="5"/>
  <c r="D17" i="6"/>
  <c r="D17" i="7"/>
  <c r="D17" i="8"/>
  <c r="E44" i="41"/>
  <c r="E33"/>
  <c r="E34"/>
  <c r="E36"/>
  <c r="E38"/>
  <c r="E61" i="44"/>
  <c r="E36"/>
  <c r="E37"/>
  <c r="D20" i="43"/>
  <c r="D22"/>
  <c r="D24"/>
  <c r="D28"/>
  <c r="D30"/>
  <c r="D32"/>
  <c r="D33"/>
  <c r="E35" i="42"/>
  <c r="E36"/>
  <c r="E42"/>
  <c r="E44"/>
  <c r="E38"/>
  <c r="E40"/>
  <c r="D22" i="24"/>
  <c r="D24"/>
  <c r="D26"/>
  <c r="D24" i="23"/>
  <c r="D26"/>
  <c r="D18" i="22"/>
  <c r="D20"/>
  <c r="D21"/>
  <c r="D19" i="20"/>
  <c r="D21"/>
  <c r="D12" i="23"/>
  <c r="D34" i="21"/>
  <c r="D35"/>
  <c r="D37"/>
  <c r="D22" i="20"/>
  <c r="D14" i="23"/>
  <c r="E46" i="41"/>
  <c r="E47"/>
  <c r="E33" i="40"/>
  <c r="E35"/>
  <c r="E37"/>
  <c r="E39"/>
  <c r="E50" i="42"/>
  <c r="E52"/>
  <c r="E62" i="44"/>
  <c r="E64"/>
  <c r="E66"/>
  <c r="E67"/>
  <c r="D29" i="24"/>
  <c r="D31"/>
  <c r="D32"/>
  <c r="D34"/>
  <c r="D35"/>
  <c r="D29" i="27"/>
  <c r="D31"/>
  <c r="D32"/>
  <c r="D27" i="28"/>
  <c r="D19" i="10"/>
  <c r="D22"/>
  <c r="D23"/>
  <c r="D19" i="11"/>
  <c r="D22"/>
  <c r="D23"/>
  <c r="D23" i="13"/>
  <c r="D25"/>
  <c r="D13" i="14"/>
  <c r="D19"/>
  <c r="D20"/>
  <c r="D19" i="15"/>
  <c r="D22"/>
  <c r="D19" i="34"/>
  <c r="D22"/>
  <c r="D28" i="21"/>
  <c r="D30"/>
  <c r="D31"/>
  <c r="D22" i="25"/>
  <c r="D24"/>
  <c r="D25"/>
  <c r="D27"/>
  <c r="D28"/>
  <c r="D33"/>
  <c r="D35"/>
  <c r="D36"/>
  <c r="D37"/>
  <c r="D38"/>
  <c r="D22" i="26"/>
  <c r="D24"/>
  <c r="D25"/>
  <c r="D27"/>
  <c r="D28"/>
  <c r="D33"/>
  <c r="D35"/>
  <c r="E48" i="42"/>
  <c r="E46"/>
  <c r="E47"/>
  <c r="D35" i="43"/>
  <c r="D22" i="22"/>
  <c r="D23"/>
  <c r="D13" i="23"/>
  <c r="E39" i="44"/>
  <c r="E41"/>
  <c r="E44"/>
  <c r="D25" i="23"/>
  <c r="D27"/>
  <c r="D28"/>
  <c r="D29"/>
  <c r="D36" i="21"/>
  <c r="D38"/>
  <c r="D39"/>
  <c r="D47" i="26"/>
  <c r="D36"/>
  <c r="D38"/>
  <c r="D15" i="23"/>
  <c r="E49" i="41"/>
  <c r="D22" i="23"/>
  <c r="D23" i="15"/>
  <c r="D29"/>
  <c r="D28"/>
  <c r="E43" i="40"/>
  <c r="D21" i="23"/>
  <c r="E42" i="44"/>
  <c r="D31" i="23"/>
  <c r="D32"/>
  <c r="D46" i="26"/>
  <c r="D39"/>
</calcChain>
</file>

<file path=xl/sharedStrings.xml><?xml version="1.0" encoding="utf-8"?>
<sst xmlns="http://schemas.openxmlformats.org/spreadsheetml/2006/main" count="899" uniqueCount="363">
  <si>
    <t>Question 1</t>
  </si>
  <si>
    <t>Input Area:</t>
  </si>
  <si>
    <t>Output Area:</t>
  </si>
  <si>
    <t>Question 2</t>
  </si>
  <si>
    <t>Question 3</t>
  </si>
  <si>
    <t>Current stock price</t>
  </si>
  <si>
    <t>Call option</t>
  </si>
  <si>
    <t>Risk-free rate</t>
  </si>
  <si>
    <t>Exercise price</t>
  </si>
  <si>
    <t>Question 4</t>
  </si>
  <si>
    <t>Expiration (months)</t>
  </si>
  <si>
    <t>Put option</t>
  </si>
  <si>
    <t>Question 5</t>
  </si>
  <si>
    <t>Question 6</t>
  </si>
  <si>
    <t>Question 7</t>
  </si>
  <si>
    <t>Question 8</t>
  </si>
  <si>
    <t>Standard deviation</t>
  </si>
  <si>
    <t>Question 9</t>
  </si>
  <si>
    <t>Question 10</t>
  </si>
  <si>
    <t>Question 11</t>
  </si>
  <si>
    <t>Current selling price</t>
  </si>
  <si>
    <t>Price % increase</t>
  </si>
  <si>
    <t>Option to buy</t>
  </si>
  <si>
    <t>Question 12</t>
  </si>
  <si>
    <t>Option to sell</t>
  </si>
  <si>
    <t>Question 13</t>
  </si>
  <si>
    <t>Stock price</t>
  </si>
  <si>
    <t>Question 14</t>
  </si>
  <si>
    <t>Question 15</t>
  </si>
  <si>
    <t>Question 16</t>
  </si>
  <si>
    <t>Question 17</t>
  </si>
  <si>
    <t>Question 18</t>
  </si>
  <si>
    <t>Maturity (years)</t>
  </si>
  <si>
    <t>Market value</t>
  </si>
  <si>
    <t>Question 19</t>
  </si>
  <si>
    <t>Project A:</t>
  </si>
  <si>
    <t>NPV</t>
  </si>
  <si>
    <t>Project B:</t>
  </si>
  <si>
    <t>Question 20</t>
  </si>
  <si>
    <t>Question 21</t>
  </si>
  <si>
    <t>Question 22</t>
  </si>
  <si>
    <t>Question 23</t>
  </si>
  <si>
    <t>Question 24</t>
  </si>
  <si>
    <t>New standard deviation</t>
  </si>
  <si>
    <t>Question 25</t>
  </si>
  <si>
    <t>Dividend yield</t>
  </si>
  <si>
    <t>Strike price</t>
  </si>
  <si>
    <t>Question 26</t>
  </si>
  <si>
    <t>Question 27</t>
  </si>
  <si>
    <t>Question 28</t>
  </si>
  <si>
    <t>Question 29</t>
  </si>
  <si>
    <t>Expiration date</t>
  </si>
  <si>
    <t>Question 30</t>
  </si>
  <si>
    <t>PV</t>
  </si>
  <si>
    <t>Price</t>
  </si>
  <si>
    <t>Put</t>
  </si>
  <si>
    <t>Call</t>
  </si>
  <si>
    <t>The delta tells us the price of an option</t>
  </si>
  <si>
    <t xml:space="preserve">for a $1 change in the price of the </t>
  </si>
  <si>
    <t>underlying asset.</t>
  </si>
  <si>
    <t xml:space="preserve">You would have to pay $253,110.14 in </t>
  </si>
  <si>
    <t>Call intrinsic value</t>
  </si>
  <si>
    <t>Put intrinsic value</t>
  </si>
  <si>
    <t>Call option value</t>
  </si>
  <si>
    <t>Put option value</t>
  </si>
  <si>
    <t xml:space="preserve">The time premium (theta) is more </t>
  </si>
  <si>
    <t xml:space="preserve">important for a call option than a put </t>
  </si>
  <si>
    <t xml:space="preserve">option, therefore, the time premium is, </t>
  </si>
  <si>
    <t>in general, larger for a call option.</t>
  </si>
  <si>
    <t>Maturity (months)</t>
  </si>
  <si>
    <t>Although the NPV of project B is higher,</t>
  </si>
  <si>
    <t>the equity value with project A is higher.</t>
  </si>
  <si>
    <t>While NPV represents the increase in</t>
  </si>
  <si>
    <t>the value of the assets of the firm, in this</t>
  </si>
  <si>
    <t xml:space="preserve">case, the increase in the value of the </t>
  </si>
  <si>
    <t>firm's assets resulting from the project B</t>
  </si>
  <si>
    <t xml:space="preserve">is mostly allocated to the debtholders, </t>
  </si>
  <si>
    <t>resulting in smaller increase in the value</t>
  </si>
  <si>
    <t xml:space="preserve">of the equity.  Stockholders would, </t>
  </si>
  <si>
    <t>therefore, prefer project A even though</t>
  </si>
  <si>
    <t>it has a lower NPV.</t>
  </si>
  <si>
    <t>Yes. If the same group of investors have</t>
  </si>
  <si>
    <t>equal stakes in the firm as bondholders</t>
  </si>
  <si>
    <t>and stockholders, then total firm value</t>
  </si>
  <si>
    <t>matters and project B should be chosen,</t>
  </si>
  <si>
    <t>since it increases the value of the firm</t>
  </si>
  <si>
    <t xml:space="preserve">Stockholders may have an incentive to </t>
  </si>
  <si>
    <t>take on more risky, less profitable projects</t>
  </si>
  <si>
    <t>if the firm is leveraged; the higher the firm's</t>
  </si>
  <si>
    <t>debt load, all else the same, the greater is</t>
  </si>
  <si>
    <t>this incentive.</t>
  </si>
  <si>
    <t>Rd</t>
  </si>
  <si>
    <t>Debt</t>
  </si>
  <si>
    <t>Equity</t>
  </si>
  <si>
    <t>shareholders will lose exactly the amount</t>
  </si>
  <si>
    <t xml:space="preserve">the bondholders gain. The bondholders </t>
  </si>
  <si>
    <t>gain as a result of the coinsurance effect.</t>
  </si>
  <si>
    <t>When the firm accepts the new project,</t>
  </si>
  <si>
    <t>part of the NPV accrues to bondholders.</t>
  </si>
  <si>
    <t xml:space="preserve">This increases the present value of the </t>
  </si>
  <si>
    <t>bond, thus reducing the return on the bond.</t>
  </si>
  <si>
    <t>Additionally, the new project makes the</t>
  </si>
  <si>
    <t xml:space="preserve">firm safer in the sense it increases the </t>
  </si>
  <si>
    <t xml:space="preserve">value of assets, thus increasing the </t>
  </si>
  <si>
    <t>probability the call will end in the money</t>
  </si>
  <si>
    <t xml:space="preserve">and the bondholders will receive their </t>
  </si>
  <si>
    <t>payment.</t>
  </si>
  <si>
    <t>Value of bond</t>
  </si>
  <si>
    <t xml:space="preserve">The value of the debt declines because </t>
  </si>
  <si>
    <t>of the time value of money, i.e., it will be</t>
  </si>
  <si>
    <t xml:space="preserve">longer until shareholders receive their </t>
  </si>
  <si>
    <t>payment.  However, the required return</t>
  </si>
  <si>
    <t xml:space="preserve">on the debt declines.  Under the current </t>
  </si>
  <si>
    <t>situation, it is not likely the company will</t>
  </si>
  <si>
    <t>Under the new plan where the company</t>
  </si>
  <si>
    <t xml:space="preserve">operates for five more years, the </t>
  </si>
  <si>
    <t xml:space="preserve">probability of increasing the value of </t>
  </si>
  <si>
    <t xml:space="preserve">assets to meet or exceed the face value </t>
  </si>
  <si>
    <t>of debt is higher than if the company only</t>
  </si>
  <si>
    <t xml:space="preserve">operates for two more years. </t>
  </si>
  <si>
    <t>The value of the debt declines.  Since the</t>
  </si>
  <si>
    <t>standard deviation of the company's assets</t>
  </si>
  <si>
    <t xml:space="preserve">increases, the value of the put option on the </t>
  </si>
  <si>
    <t>face value of the bond increases, which</t>
  </si>
  <si>
    <t>decreases the bond's current value.</t>
  </si>
  <si>
    <t>This is an agency problem for bondholders.</t>
  </si>
  <si>
    <t>Management, acting to increase shareholder</t>
  </si>
  <si>
    <t>wealth in this manner, will reduce bondholder</t>
  </si>
  <si>
    <t>wealth by the exact amount that shareholder</t>
  </si>
  <si>
    <t>wealth is increased.</t>
  </si>
  <si>
    <t>price of the stock will decline by the amount</t>
  </si>
  <si>
    <t xml:space="preserve">of the dividend (less any tax effects).  </t>
  </si>
  <si>
    <t>Therefore, we would expect the price of the</t>
  </si>
  <si>
    <t xml:space="preserve">stock to drop when a dividend is paid, </t>
  </si>
  <si>
    <t>reducing the upside potential of the call by the</t>
  </si>
  <si>
    <t>option will decrease when the dividend yield</t>
  </si>
  <si>
    <t>increases.</t>
  </si>
  <si>
    <t xml:space="preserve">Going back to the chapter on dividends, the </t>
  </si>
  <si>
    <t xml:space="preserve"> of the dividend (less any tax effects).  </t>
  </si>
  <si>
    <t xml:space="preserve">Therefore, we would expect the price of the </t>
  </si>
  <si>
    <t xml:space="preserve">price of a put option will increase when the </t>
  </si>
  <si>
    <t>dividend yield increases.</t>
  </si>
  <si>
    <t xml:space="preserve"> of the symmetry of the normal distribution, </t>
  </si>
  <si>
    <t>this is the same thing as the probability that</t>
  </si>
  <si>
    <t>Substituting the Black-Scholes call option</t>
  </si>
  <si>
    <t xml:space="preserve">formula for C and using the result in the </t>
  </si>
  <si>
    <t>previous question produces the put option</t>
  </si>
  <si>
    <t>formula:</t>
  </si>
  <si>
    <t>Based on Black-Scholes, the call option is</t>
  </si>
  <si>
    <t>of the exercise price is zero, so the second</t>
  </si>
  <si>
    <t>option is European with an infinite expiration,</t>
  </si>
  <si>
    <t xml:space="preserve">so why would you pay anything for it since </t>
  </si>
  <si>
    <t xml:space="preserve">be resolved by examining the price of the </t>
  </si>
  <si>
    <t>only applies to a non-dividend paying stock.</t>
  </si>
  <si>
    <t xml:space="preserve">If the stock will never pay a dividend, it (and </t>
  </si>
  <si>
    <t>a call option to buy it at any price) must be</t>
  </si>
  <si>
    <t>worthless.</t>
  </si>
  <si>
    <t xml:space="preserve">are selling a put option, the delta of the </t>
  </si>
  <si>
    <t xml:space="preserve">position will change dollar for dollar in value </t>
  </si>
  <si>
    <t xml:space="preserve">replicates the dollar "action" on the </t>
  </si>
  <si>
    <t>Input boxes in tan</t>
  </si>
  <si>
    <t>Output boxes in yellow</t>
  </si>
  <si>
    <t>Given data in blue</t>
  </si>
  <si>
    <t>Calculations in red</t>
  </si>
  <si>
    <t>Answers in green</t>
  </si>
  <si>
    <t>worth $50. The reason is that present value</t>
  </si>
  <si>
    <t>is equal to one. The problem is that the call</t>
  </si>
  <si>
    <t xml:space="preserve">you can never exercise it? The paradox can </t>
  </si>
  <si>
    <t>stock. Remember that the call option formula</t>
  </si>
  <si>
    <t xml:space="preserve">overall delta of your position as 1. This </t>
  </si>
  <si>
    <t>with the underlying asset. This position</t>
  </si>
  <si>
    <r>
      <t>From put-call parity, P = E*e</t>
    </r>
    <r>
      <rPr>
        <vertAlign val="superscript"/>
        <sz val="12"/>
        <rFont val="Arial"/>
        <family val="2"/>
      </rPr>
      <t xml:space="preserve">-RT </t>
    </r>
    <r>
      <rPr>
        <sz val="12"/>
        <rFont val="Arial"/>
        <family val="2"/>
      </rPr>
      <t>+ C - S.</t>
    </r>
  </si>
  <si>
    <r>
      <t>P = E *e</t>
    </r>
    <r>
      <rPr>
        <vertAlign val="superscript"/>
        <sz val="12"/>
        <rFont val="Arial"/>
        <family val="2"/>
      </rPr>
      <t xml:space="preserve">-Rt </t>
    </r>
    <r>
      <rPr>
        <sz val="12"/>
        <rFont val="Arial"/>
        <family val="2"/>
      </rPr>
      <t>+ C - S</t>
    </r>
  </si>
  <si>
    <t>reducing the decreasing the stock price. The</t>
  </si>
  <si>
    <r>
      <t>The delta of the call option is N(d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 xml:space="preserve">) and the </t>
    </r>
  </si>
  <si>
    <t>Put price</t>
  </si>
  <si>
    <t>Call price</t>
  </si>
  <si>
    <r>
      <t>d</t>
    </r>
    <r>
      <rPr>
        <vertAlign val="subscript"/>
        <sz val="12"/>
        <rFont val="Arial"/>
        <family val="2"/>
      </rPr>
      <t>1</t>
    </r>
  </si>
  <si>
    <r>
      <t>d</t>
    </r>
    <r>
      <rPr>
        <vertAlign val="subscript"/>
        <sz val="12"/>
        <rFont val="Arial"/>
        <family val="2"/>
      </rPr>
      <t>2</t>
    </r>
  </si>
  <si>
    <r>
      <t>N(d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)</t>
    </r>
  </si>
  <si>
    <r>
      <t>N(d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)</t>
    </r>
  </si>
  <si>
    <t>For a put option,</t>
  </si>
  <si>
    <t xml:space="preserve">the delta is </t>
  </si>
  <si>
    <t>and the exercise price is</t>
  </si>
  <si>
    <t xml:space="preserve">The 'stock' price is </t>
  </si>
  <si>
    <t>in order to guarantee the right to sell</t>
  </si>
  <si>
    <t>the land for</t>
  </si>
  <si>
    <t>a.</t>
  </si>
  <si>
    <t>b.</t>
  </si>
  <si>
    <t>c.</t>
  </si>
  <si>
    <t>B-S call price</t>
  </si>
  <si>
    <t>An option can never sell for less than</t>
  </si>
  <si>
    <t>its intrinsic value.</t>
  </si>
  <si>
    <r>
      <t>So 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 xml:space="preserve"> and d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 go to positive infinity,</t>
    </r>
  </si>
  <si>
    <r>
      <t>For standard deviation = infinity, 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 xml:space="preserve"> goes </t>
    </r>
  </si>
  <si>
    <r>
      <t>to positive infinity so N(d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 xml:space="preserve">) goes to 1, and </t>
    </r>
  </si>
  <si>
    <r>
      <t>d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 goes to negative infinity so N(d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) goes </t>
    </r>
  </si>
  <si>
    <t>Equity value</t>
  </si>
  <si>
    <t>Debt value</t>
  </si>
  <si>
    <t>Face value</t>
  </si>
  <si>
    <t>Face value of debt</t>
  </si>
  <si>
    <t>d.</t>
  </si>
  <si>
    <t>Return on debt</t>
  </si>
  <si>
    <t xml:space="preserve">That is, it is less likely that the new </t>
  </si>
  <si>
    <t>company will default on the debt.</t>
  </si>
  <si>
    <t>In a purely financial merger, when the</t>
  </si>
  <si>
    <t xml:space="preserve">standard deviation of the assets declines, </t>
  </si>
  <si>
    <t xml:space="preserve">the value of the equity declines as well. The </t>
  </si>
  <si>
    <t>e.</t>
  </si>
  <si>
    <t>Stockholders gain/(lose)</t>
  </si>
  <si>
    <t>Bondholders gain/(lose)</t>
  </si>
  <si>
    <t>amount of the dividend. The price of a call</t>
  </si>
  <si>
    <r>
      <t>delta of the put option is N(d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) - 1. Since you</t>
    </r>
  </si>
  <si>
    <r>
      <t>portfolio is N(d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) - [N(d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) - 1]. This leaves the</t>
    </r>
  </si>
  <si>
    <r>
      <t>term disappears. Also, 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 xml:space="preserve"> is infinite, so N(d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)</t>
    </r>
  </si>
  <si>
    <r>
      <t xml:space="preserve">   = E*e-</t>
    </r>
    <r>
      <rPr>
        <vertAlign val="superscript"/>
        <sz val="12"/>
        <rFont val="Arial"/>
        <family val="2"/>
      </rPr>
      <t xml:space="preserve">Rt </t>
    </r>
    <r>
      <rPr>
        <sz val="12"/>
        <rFont val="Arial"/>
        <family val="2"/>
      </rPr>
      <t>+ S*N(d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) - E*e</t>
    </r>
    <r>
      <rPr>
        <vertAlign val="superscript"/>
        <sz val="12"/>
        <rFont val="Arial"/>
        <family val="2"/>
      </rPr>
      <t>-Rt</t>
    </r>
    <r>
      <rPr>
        <sz val="12"/>
        <rFont val="Arial"/>
        <family val="2"/>
      </rPr>
      <t>*N(d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) - S </t>
    </r>
  </si>
  <si>
    <r>
      <t xml:space="preserve">   = S*(N(d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) - 1) + E*e</t>
    </r>
    <r>
      <rPr>
        <vertAlign val="superscript"/>
        <sz val="12"/>
        <rFont val="Arial"/>
        <family val="2"/>
      </rPr>
      <t>-Rt</t>
    </r>
    <r>
      <rPr>
        <sz val="12"/>
        <rFont val="Arial"/>
        <family val="2"/>
      </rPr>
      <t>*(1 - N(d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))</t>
    </r>
  </si>
  <si>
    <r>
      <t>N(d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 xml:space="preserve">) is the probability that "z" is less than or </t>
    </r>
  </si>
  <si>
    <r>
      <t>equal to N(d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), so 1 - N(d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) is the probability</t>
    </r>
  </si>
  <si>
    <r>
      <t xml:space="preserve"> that "z" is greater than N(d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). Because</t>
    </r>
  </si>
  <si>
    <r>
      <t>"z" is less than N(-d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). So, N(d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) - 1 = N(-d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).</t>
    </r>
  </si>
  <si>
    <t xml:space="preserve">For a call option the delta is </t>
  </si>
  <si>
    <t xml:space="preserve">Going back to chapter on dividends, the </t>
  </si>
  <si>
    <t>Question 36</t>
  </si>
  <si>
    <t>Question 35</t>
  </si>
  <si>
    <t>Question 34</t>
  </si>
  <si>
    <t>Question 33</t>
  </si>
  <si>
    <t>Question 32</t>
  </si>
  <si>
    <t>Question 31</t>
  </si>
  <si>
    <t>T-bills</t>
  </si>
  <si>
    <t>Share price</t>
  </si>
  <si>
    <t>Price won't drop below:</t>
  </si>
  <si>
    <t>Exercise price on a call:</t>
  </si>
  <si>
    <t>Exercise price on a put:</t>
  </si>
  <si>
    <t>Call value</t>
  </si>
  <si>
    <t xml:space="preserve">Intrinsic value </t>
  </si>
  <si>
    <t>Put value</t>
  </si>
  <si>
    <t xml:space="preserve">There is no possiblity that the put will finish </t>
  </si>
  <si>
    <t>in the money.  Intrinsic value = $0.</t>
  </si>
  <si>
    <t xml:space="preserve">                 Calls</t>
  </si>
  <si>
    <t xml:space="preserve">                 Puts</t>
  </si>
  <si>
    <t>Option</t>
  </si>
  <si>
    <t>Strike Price</t>
  </si>
  <si>
    <t>Expiration</t>
  </si>
  <si>
    <t>Volume</t>
  </si>
  <si>
    <t>Last</t>
  </si>
  <si>
    <t>RWJ</t>
  </si>
  <si>
    <t>Mar</t>
  </si>
  <si>
    <t>Apr</t>
  </si>
  <si>
    <t>Jul</t>
  </si>
  <si>
    <t>Oct</t>
  </si>
  <si>
    <t>The calls are</t>
  </si>
  <si>
    <t>The intinsic value is</t>
  </si>
  <si>
    <t xml:space="preserve">The puts are </t>
  </si>
  <si>
    <t>The intrinsic value is</t>
  </si>
  <si>
    <t xml:space="preserve">The Mar call and the Oct put are mispriced. The call is mispriced because it is selling for less  </t>
  </si>
  <si>
    <t>than its intrinsic value.  If the option expired today, the arbitrage would be to buy the call for $2.80,</t>
  </si>
  <si>
    <t>exercise it and pay $80 for a share of stock, and sell the stock for $83.  Riskless profit of $0.20.</t>
  </si>
  <si>
    <t>The Oct put is mispriced because it sells for less than the July put.  To take advantage of this,</t>
  </si>
  <si>
    <t>sell the July put for $3.90 and buy the October put for $3.65, for a cash inflow of $0.25.  The</t>
  </si>
  <si>
    <t>The exposure of the short position is completely covered by the long position in the October</t>
  </si>
  <si>
    <t>put, with a positive cash inflow today.</t>
  </si>
  <si>
    <t>Macrosoft</t>
  </si>
  <si>
    <t>Feb</t>
  </si>
  <si>
    <t>May</t>
  </si>
  <si>
    <t>Aug</t>
  </si>
  <si>
    <t>Contracts bought</t>
  </si>
  <si>
    <t>Feb call</t>
  </si>
  <si>
    <t>Aug put</t>
  </si>
  <si>
    <t>Contracts sold</t>
  </si>
  <si>
    <t>Initial cost</t>
  </si>
  <si>
    <t>Maximum gain</t>
  </si>
  <si>
    <t>Terminal value</t>
  </si>
  <si>
    <t>Net gain</t>
  </si>
  <si>
    <t>Option payoff</t>
  </si>
  <si>
    <t xml:space="preserve">Net profit </t>
  </si>
  <si>
    <t>Net profit</t>
  </si>
  <si>
    <t>Break-even</t>
  </si>
  <si>
    <t xml:space="preserve">For terminal stock prices above </t>
  </si>
  <si>
    <t xml:space="preserve">, the writer of the put option makes a </t>
  </si>
  <si>
    <t>net profit.</t>
  </si>
  <si>
    <r>
      <t>S</t>
    </r>
    <r>
      <rPr>
        <vertAlign val="subscript"/>
        <sz val="12"/>
        <rFont val="Arial"/>
        <family val="2"/>
      </rPr>
      <t>T</t>
    </r>
  </si>
  <si>
    <t>Low stock price</t>
  </si>
  <si>
    <t>High stock price</t>
  </si>
  <si>
    <t>Current price</t>
  </si>
  <si>
    <r>
      <t>C</t>
    </r>
    <r>
      <rPr>
        <vertAlign val="subscript"/>
        <sz val="12"/>
        <rFont val="Arial"/>
        <family val="2"/>
      </rPr>
      <t>0</t>
    </r>
  </si>
  <si>
    <t>Today</t>
  </si>
  <si>
    <t>3 months</t>
  </si>
  <si>
    <t>?</t>
  </si>
  <si>
    <t>Price of stock</t>
  </si>
  <si>
    <t>Call option price</t>
  </si>
  <si>
    <t>Risk-neutral probabilities:</t>
  </si>
  <si>
    <t>Rise</t>
  </si>
  <si>
    <t>Fall</t>
  </si>
  <si>
    <t>Percentage price increase</t>
  </si>
  <si>
    <t>Percentage price decrease</t>
  </si>
  <si>
    <t>Expected payoff at expiration</t>
  </si>
  <si>
    <t>Price of option today</t>
  </si>
  <si>
    <t>Delta of call</t>
  </si>
  <si>
    <t>Shares of stock to buy</t>
  </si>
  <si>
    <t>Amount to borrow</t>
  </si>
  <si>
    <t>Cost of synthetic call option</t>
  </si>
  <si>
    <t>1 year</t>
  </si>
  <si>
    <t>6 months</t>
  </si>
  <si>
    <t>Semiannual interest rate</t>
  </si>
  <si>
    <t>Months to expiration</t>
  </si>
  <si>
    <t>Delta of put</t>
  </si>
  <si>
    <t>Shares of stock to short</t>
  </si>
  <si>
    <t>Cash flow from short sale</t>
  </si>
  <si>
    <t>Cash flow from lending</t>
  </si>
  <si>
    <t>Bankruptcy price</t>
  </si>
  <si>
    <t>High gold price</t>
  </si>
  <si>
    <t>Low gold price</t>
  </si>
  <si>
    <t>The company should buy a call option with a strike price of</t>
  </si>
  <si>
    <t>per ounce.</t>
  </si>
  <si>
    <t>3 month risk-free rate</t>
  </si>
  <si>
    <t>Price of gold</t>
  </si>
  <si>
    <t>Put strike price</t>
  </si>
  <si>
    <t>Call strike price</t>
  </si>
  <si>
    <t>Price of put option:</t>
  </si>
  <si>
    <t>Price of call option:</t>
  </si>
  <si>
    <t>Cost of collar</t>
  </si>
  <si>
    <t>High firm price</t>
  </si>
  <si>
    <t>Low firm price</t>
  </si>
  <si>
    <t>Current firm value</t>
  </si>
  <si>
    <t>Value of equity today</t>
  </si>
  <si>
    <t>Value of debt today</t>
  </si>
  <si>
    <t>Stock price per share</t>
  </si>
  <si>
    <t>Shares outstanding</t>
  </si>
  <si>
    <t>Value of riskless debt today</t>
  </si>
  <si>
    <t>New project</t>
  </si>
  <si>
    <t>New high firm value</t>
  </si>
  <si>
    <t>New low firm value</t>
  </si>
  <si>
    <t>Problems 1-38</t>
  </si>
  <si>
    <t>Question 38</t>
  </si>
  <si>
    <t>Question 37</t>
  </si>
  <si>
    <t>Stock price change (+/-)</t>
  </si>
  <si>
    <t>Expiration (years)</t>
  </si>
  <si>
    <t>Stock price with increase</t>
  </si>
  <si>
    <t>Stock price with decrease</t>
  </si>
  <si>
    <t>Payoff if stock price increases</t>
  </si>
  <si>
    <t>Payoff if stock price decreases</t>
  </si>
  <si>
    <t>Probability of rise</t>
  </si>
  <si>
    <t>Probability of decline</t>
  </si>
  <si>
    <t>Value of call option</t>
  </si>
  <si>
    <t>Chapter 22</t>
  </si>
  <si>
    <r>
      <t xml:space="preserve">   = E*e</t>
    </r>
    <r>
      <rPr>
        <vertAlign val="superscript"/>
        <sz val="12"/>
        <rFont val="Arial"/>
        <family val="2"/>
      </rPr>
      <t>-Rt</t>
    </r>
    <r>
      <rPr>
        <sz val="12"/>
        <rFont val="Arial"/>
        <family val="2"/>
      </rPr>
      <t>*N(-d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) - S*N(-d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)</t>
    </r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</si>
  <si>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</si>
  <si>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</si>
  <si>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</si>
  <si>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</si>
  <si>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to 0; C = S.</t>
  </si>
  <si>
    <t>Cost of gold to hedge</t>
  </si>
  <si>
    <t>Payoff at high price</t>
  </si>
  <si>
    <t>Payoff at low price</t>
  </si>
  <si>
    <t>Equity(#21)</t>
  </si>
  <si>
    <t>Equity(#23)</t>
  </si>
  <si>
    <t>Debt(#21)</t>
  </si>
  <si>
    <t>Debt(#23)</t>
  </si>
  <si>
    <t>Renegotiated maturity</t>
  </si>
  <si>
    <t>have the assets to pay off bondholders.</t>
  </si>
  <si>
    <r>
      <t>so N(d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>) and N(d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) go to 1.  </t>
    </r>
  </si>
  <si>
    <t>Amount to lend</t>
  </si>
</sst>
</file>

<file path=xl/styles.xml><?xml version="1.0" encoding="utf-8"?>
<styleSheet xmlns="http://schemas.openxmlformats.org/spreadsheetml/2006/main">
  <numFmts count="15">
    <numFmt numFmtId="5" formatCode="&quot;$&quot;#,##0_);\(&quot;$&quot;#,##0\)"/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%"/>
    <numFmt numFmtId="166" formatCode="_(* #,##0_);_(* \(#,##0\);_(* &quot;-&quot;??_);_(@_)"/>
    <numFmt numFmtId="167" formatCode="0.0000"/>
    <numFmt numFmtId="168" formatCode="0.0000_);\(0.0000\)"/>
    <numFmt numFmtId="169" formatCode="_(* #,##0.0000_);_(* \(#,##0.0000\);_(* &quot;-&quot;????_);_(@_)"/>
    <numFmt numFmtId="170" formatCode="#,##0.0000_);\(#,##0.0000\)"/>
    <numFmt numFmtId="171" formatCode="&quot;$&quot;#,##0.00"/>
    <numFmt numFmtId="172" formatCode="_(* #,##0.0_);_(* \(#,##0.0\);_(* &quot;-&quot;????_);_(@_)"/>
  </numFmts>
  <fonts count="27">
    <font>
      <sz val="10"/>
      <name val="Arial"/>
    </font>
    <font>
      <sz val="1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b/>
      <sz val="12"/>
      <color indexed="57"/>
      <name val="Arial"/>
      <family val="2"/>
    </font>
    <font>
      <sz val="12"/>
      <color indexed="57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sz val="12"/>
      <color indexed="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vertAlign val="superscript"/>
      <sz val="12"/>
      <name val="Arial"/>
      <family val="2"/>
    </font>
    <font>
      <sz val="12"/>
      <color indexed="10"/>
      <name val="Arial"/>
      <family val="2"/>
    </font>
    <font>
      <vertAlign val="subscript"/>
      <sz val="12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2"/>
      <color indexed="48"/>
      <name val="Arial"/>
      <family val="2"/>
    </font>
    <font>
      <i/>
      <sz val="12"/>
      <color indexed="8"/>
      <name val="Arial"/>
      <family val="2"/>
    </font>
    <font>
      <u/>
      <sz val="12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58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0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164" fontId="4" fillId="2" borderId="0" xfId="2" applyNumberFormat="1" applyFont="1" applyFill="1" applyBorder="1"/>
    <xf numFmtId="0" fontId="4" fillId="2" borderId="0" xfId="0" applyFont="1" applyFill="1" applyBorder="1"/>
    <xf numFmtId="9" fontId="4" fillId="2" borderId="0" xfId="4" applyFont="1" applyFill="1" applyBorder="1"/>
    <xf numFmtId="44" fontId="4" fillId="2" borderId="0" xfId="2" applyFont="1" applyFill="1" applyBorder="1"/>
    <xf numFmtId="165" fontId="4" fillId="2" borderId="0" xfId="4" applyNumberFormat="1" applyFont="1" applyFill="1" applyBorder="1"/>
    <xf numFmtId="43" fontId="4" fillId="2" borderId="0" xfId="1" applyFont="1" applyFill="1" applyBorder="1"/>
    <xf numFmtId="166" fontId="4" fillId="2" borderId="0" xfId="1" applyNumberFormat="1" applyFont="1" applyFill="1" applyBorder="1"/>
    <xf numFmtId="44" fontId="4" fillId="2" borderId="0" xfId="2" applyNumberFormat="1" applyFont="1" applyFill="1" applyBorder="1"/>
    <xf numFmtId="0" fontId="3" fillId="2" borderId="0" xfId="0" applyFont="1" applyFill="1" applyBorder="1"/>
    <xf numFmtId="44" fontId="5" fillId="3" borderId="9" xfId="2" applyFont="1" applyFill="1" applyBorder="1"/>
    <xf numFmtId="10" fontId="5" fillId="3" borderId="9" xfId="4" applyNumberFormat="1" applyFont="1" applyFill="1" applyBorder="1"/>
    <xf numFmtId="171" fontId="2" fillId="3" borderId="0" xfId="0" applyNumberFormat="1" applyFont="1" applyFill="1" applyBorder="1"/>
    <xf numFmtId="43" fontId="2" fillId="3" borderId="0" xfId="0" applyNumberFormat="1" applyFont="1" applyFill="1" applyBorder="1"/>
    <xf numFmtId="0" fontId="6" fillId="3" borderId="0" xfId="0" applyFont="1" applyFill="1" applyBorder="1"/>
    <xf numFmtId="171" fontId="6" fillId="3" borderId="0" xfId="0" applyNumberFormat="1" applyFont="1" applyFill="1" applyBorder="1"/>
    <xf numFmtId="42" fontId="4" fillId="2" borderId="0" xfId="2" applyNumberFormat="1" applyFont="1" applyFill="1" applyBorder="1"/>
    <xf numFmtId="168" fontId="5" fillId="3" borderId="9" xfId="0" applyNumberFormat="1" applyFont="1" applyFill="1" applyBorder="1"/>
    <xf numFmtId="44" fontId="5" fillId="3" borderId="9" xfId="0" applyNumberFormat="1" applyFont="1" applyFill="1" applyBorder="1"/>
    <xf numFmtId="7" fontId="6" fillId="3" borderId="0" xfId="0" applyNumberFormat="1" applyFont="1" applyFill="1" applyBorder="1"/>
    <xf numFmtId="43" fontId="6" fillId="3" borderId="0" xfId="0" applyNumberFormat="1" applyFont="1" applyFill="1" applyBorder="1"/>
    <xf numFmtId="44" fontId="6" fillId="3" borderId="0" xfId="2" applyFont="1" applyFill="1" applyBorder="1"/>
    <xf numFmtId="10" fontId="5" fillId="3" borderId="9" xfId="0" applyNumberFormat="1" applyFont="1" applyFill="1" applyBorder="1"/>
    <xf numFmtId="0" fontId="2" fillId="0" borderId="0" xfId="0" applyFont="1" applyFill="1" applyBorder="1"/>
    <xf numFmtId="5" fontId="4" fillId="2" borderId="0" xfId="2" applyNumberFormat="1" applyFont="1" applyFill="1" applyBorder="1"/>
    <xf numFmtId="0" fontId="7" fillId="4" borderId="0" xfId="0" applyFont="1" applyFill="1" applyBorder="1"/>
    <xf numFmtId="0" fontId="0" fillId="4" borderId="0" xfId="0" applyFill="1"/>
    <xf numFmtId="2" fontId="8" fillId="4" borderId="0" xfId="0" applyNumberFormat="1" applyFont="1" applyFill="1" applyBorder="1" applyAlignment="1"/>
    <xf numFmtId="0" fontId="9" fillId="4" borderId="0" xfId="0" applyFont="1" applyFill="1" applyBorder="1"/>
    <xf numFmtId="0" fontId="10" fillId="4" borderId="0" xfId="0" applyFont="1" applyFill="1" applyBorder="1" applyAlignment="1">
      <alignment horizontal="center"/>
    </xf>
    <xf numFmtId="0" fontId="11" fillId="4" borderId="0" xfId="0" applyFont="1" applyFill="1" applyBorder="1"/>
    <xf numFmtId="0" fontId="12" fillId="4" borderId="0" xfId="0" applyFont="1" applyFill="1" applyBorder="1"/>
    <xf numFmtId="0" fontId="13" fillId="4" borderId="0" xfId="0" applyFont="1" applyFill="1" applyBorder="1"/>
    <xf numFmtId="0" fontId="14" fillId="4" borderId="0" xfId="0" applyFont="1" applyFill="1" applyBorder="1"/>
    <xf numFmtId="0" fontId="15" fillId="4" borderId="0" xfId="0" applyFont="1" applyFill="1" applyBorder="1"/>
    <xf numFmtId="0" fontId="5" fillId="4" borderId="0" xfId="0" applyFont="1" applyFill="1" applyBorder="1"/>
    <xf numFmtId="41" fontId="4" fillId="2" borderId="0" xfId="0" applyNumberFormat="1" applyFont="1" applyFill="1" applyBorder="1"/>
    <xf numFmtId="169" fontId="17" fillId="3" borderId="0" xfId="0" applyNumberFormat="1" applyFont="1" applyFill="1" applyBorder="1"/>
    <xf numFmtId="168" fontId="17" fillId="3" borderId="0" xfId="0" applyNumberFormat="1" applyFont="1" applyFill="1" applyBorder="1"/>
    <xf numFmtId="170" fontId="17" fillId="3" borderId="0" xfId="0" applyNumberFormat="1" applyFont="1" applyFill="1" applyBorder="1"/>
    <xf numFmtId="0" fontId="17" fillId="3" borderId="0" xfId="0" applyFont="1" applyFill="1" applyBorder="1"/>
    <xf numFmtId="0" fontId="19" fillId="0" borderId="0" xfId="0" applyFont="1"/>
    <xf numFmtId="168" fontId="17" fillId="3" borderId="0" xfId="0" applyNumberFormat="1" applyFont="1" applyFill="1" applyBorder="1" applyAlignment="1">
      <alignment horizontal="center"/>
    </xf>
    <xf numFmtId="168" fontId="5" fillId="3" borderId="9" xfId="0" applyNumberFormat="1" applyFont="1" applyFill="1" applyBorder="1" applyAlignment="1">
      <alignment horizontal="right"/>
    </xf>
    <xf numFmtId="5" fontId="17" fillId="3" borderId="0" xfId="0" applyNumberFormat="1" applyFont="1" applyFill="1" applyBorder="1"/>
    <xf numFmtId="164" fontId="17" fillId="2" borderId="0" xfId="2" applyNumberFormat="1" applyFont="1" applyFill="1" applyBorder="1"/>
    <xf numFmtId="9" fontId="17" fillId="2" borderId="0" xfId="4" applyFont="1" applyFill="1" applyBorder="1"/>
    <xf numFmtId="166" fontId="17" fillId="2" borderId="0" xfId="1" applyNumberFormat="1" applyFont="1" applyFill="1" applyBorder="1"/>
    <xf numFmtId="44" fontId="17" fillId="2" borderId="0" xfId="4" applyNumberFormat="1" applyFont="1" applyFill="1" applyBorder="1"/>
    <xf numFmtId="44" fontId="17" fillId="3" borderId="0" xfId="0" applyNumberFormat="1" applyFont="1" applyFill="1" applyBorder="1"/>
    <xf numFmtId="164" fontId="17" fillId="3" borderId="0" xfId="0" applyNumberFormat="1" applyFont="1" applyFill="1" applyBorder="1"/>
    <xf numFmtId="44" fontId="17" fillId="3" borderId="0" xfId="2" applyFont="1" applyFill="1" applyBorder="1"/>
    <xf numFmtId="164" fontId="5" fillId="3" borderId="0" xfId="0" applyNumberFormat="1" applyFont="1" applyFill="1" applyBorder="1"/>
    <xf numFmtId="164" fontId="5" fillId="3" borderId="9" xfId="0" applyNumberFormat="1" applyFont="1" applyFill="1" applyBorder="1"/>
    <xf numFmtId="0" fontId="3" fillId="3" borderId="4" xfId="0" applyFont="1" applyFill="1" applyBorder="1"/>
    <xf numFmtId="9" fontId="17" fillId="3" borderId="0" xfId="0" applyNumberFormat="1" applyFont="1" applyFill="1" applyBorder="1"/>
    <xf numFmtId="167" fontId="17" fillId="3" borderId="0" xfId="0" applyNumberFormat="1" applyFont="1" applyFill="1" applyBorder="1"/>
    <xf numFmtId="44" fontId="17" fillId="2" borderId="0" xfId="2" applyFont="1" applyFill="1" applyBorder="1"/>
    <xf numFmtId="0" fontId="3" fillId="3" borderId="6" xfId="0" applyFont="1" applyFill="1" applyBorder="1"/>
    <xf numFmtId="44" fontId="17" fillId="3" borderId="10" xfId="2" applyFont="1" applyFill="1" applyBorder="1"/>
    <xf numFmtId="171" fontId="5" fillId="3" borderId="9" xfId="0" applyNumberFormat="1" applyFont="1" applyFill="1" applyBorder="1"/>
    <xf numFmtId="0" fontId="21" fillId="2" borderId="2" xfId="0" applyFont="1" applyFill="1" applyBorder="1"/>
    <xf numFmtId="0" fontId="3" fillId="2" borderId="4" xfId="0" applyFont="1" applyFill="1" applyBorder="1"/>
    <xf numFmtId="0" fontId="21" fillId="2" borderId="7" xfId="0" applyFont="1" applyFill="1" applyBorder="1"/>
    <xf numFmtId="0" fontId="6" fillId="3" borderId="2" xfId="0" applyFont="1" applyFill="1" applyBorder="1"/>
    <xf numFmtId="0" fontId="6" fillId="3" borderId="7" xfId="0" applyFont="1" applyFill="1" applyBorder="1"/>
    <xf numFmtId="0" fontId="3" fillId="2" borderId="2" xfId="0" applyFont="1" applyFill="1" applyBorder="1"/>
    <xf numFmtId="0" fontId="22" fillId="2" borderId="0" xfId="0" applyFont="1" applyFill="1" applyBorder="1" applyAlignment="1">
      <alignment horizontal="center"/>
    </xf>
    <xf numFmtId="9" fontId="22" fillId="2" borderId="0" xfId="4" applyFont="1" applyFill="1" applyBorder="1" applyAlignment="1">
      <alignment horizontal="center"/>
    </xf>
    <xf numFmtId="44" fontId="21" fillId="2" borderId="0" xfId="2" applyFont="1" applyFill="1" applyBorder="1"/>
    <xf numFmtId="0" fontId="4" fillId="2" borderId="0" xfId="0" applyFont="1" applyFill="1" applyBorder="1" applyAlignment="1">
      <alignment horizontal="center"/>
    </xf>
    <xf numFmtId="166" fontId="4" fillId="2" borderId="0" xfId="1" applyNumberFormat="1" applyFont="1" applyFill="1" applyBorder="1" applyAlignment="1">
      <alignment horizontal="center"/>
    </xf>
    <xf numFmtId="2" fontId="4" fillId="2" borderId="0" xfId="0" applyNumberFormat="1" applyFont="1" applyFill="1" applyBorder="1" applyAlignment="1">
      <alignment horizontal="center"/>
    </xf>
    <xf numFmtId="44" fontId="5" fillId="3" borderId="0" xfId="2" applyFont="1" applyFill="1" applyBorder="1"/>
    <xf numFmtId="7" fontId="5" fillId="3" borderId="0" xfId="0" applyNumberFormat="1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0" xfId="0" applyFont="1" applyFill="1" applyBorder="1"/>
    <xf numFmtId="171" fontId="5" fillId="3" borderId="0" xfId="0" applyNumberFormat="1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166" fontId="21" fillId="2" borderId="0" xfId="1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/>
    </xf>
    <xf numFmtId="0" fontId="0" fillId="2" borderId="0" xfId="0" applyFill="1"/>
    <xf numFmtId="164" fontId="4" fillId="2" borderId="0" xfId="2" applyNumberFormat="1" applyFont="1" applyFill="1" applyBorder="1" applyAlignment="1">
      <alignment horizontal="center"/>
    </xf>
    <xf numFmtId="41" fontId="4" fillId="2" borderId="0" xfId="2" applyNumberFormat="1" applyFont="1" applyFill="1" applyBorder="1" applyAlignment="1">
      <alignment horizontal="center"/>
    </xf>
    <xf numFmtId="164" fontId="17" fillId="3" borderId="10" xfId="2" applyNumberFormat="1" applyFont="1" applyFill="1" applyBorder="1"/>
    <xf numFmtId="164" fontId="5" fillId="3" borderId="9" xfId="2" applyNumberFormat="1" applyFont="1" applyFill="1" applyBorder="1"/>
    <xf numFmtId="44" fontId="17" fillId="3" borderId="11" xfId="0" applyNumberFormat="1" applyFont="1" applyFill="1" applyBorder="1"/>
    <xf numFmtId="164" fontId="6" fillId="3" borderId="0" xfId="0" applyNumberFormat="1" applyFont="1" applyFill="1" applyBorder="1"/>
    <xf numFmtId="9" fontId="4" fillId="2" borderId="0" xfId="4" applyNumberFormat="1" applyFont="1" applyFill="1" applyBorder="1"/>
    <xf numFmtId="42" fontId="4" fillId="2" borderId="0" xfId="0" applyNumberFormat="1" applyFont="1" applyFill="1" applyBorder="1"/>
    <xf numFmtId="10" fontId="4" fillId="2" borderId="0" xfId="4" applyNumberFormat="1" applyFont="1" applyFill="1" applyBorder="1"/>
    <xf numFmtId="0" fontId="2" fillId="3" borderId="0" xfId="0" applyFont="1" applyFill="1" applyBorder="1" applyAlignment="1">
      <alignment horizontal="right"/>
    </xf>
    <xf numFmtId="0" fontId="2" fillId="3" borderId="0" xfId="0" applyFont="1" applyFill="1" applyBorder="1" applyAlignment="1">
      <alignment horizontal="center"/>
    </xf>
    <xf numFmtId="42" fontId="17" fillId="3" borderId="0" xfId="0" applyNumberFormat="1" applyFont="1" applyFill="1" applyBorder="1"/>
    <xf numFmtId="0" fontId="17" fillId="3" borderId="0" xfId="0" applyFont="1" applyFill="1" applyBorder="1" applyAlignment="1">
      <alignment horizontal="center"/>
    </xf>
    <xf numFmtId="10" fontId="17" fillId="3" borderId="0" xfId="4" applyNumberFormat="1" applyFont="1" applyFill="1" applyBorder="1"/>
    <xf numFmtId="10" fontId="17" fillId="3" borderId="0" xfId="0" applyNumberFormat="1" applyFont="1" applyFill="1" applyBorder="1"/>
    <xf numFmtId="43" fontId="17" fillId="3" borderId="0" xfId="0" applyNumberFormat="1" applyFont="1" applyFill="1" applyBorder="1"/>
    <xf numFmtId="0" fontId="3" fillId="3" borderId="0" xfId="0" applyFont="1" applyFill="1" applyBorder="1"/>
    <xf numFmtId="0" fontId="0" fillId="3" borderId="0" xfId="0" applyFill="1"/>
    <xf numFmtId="41" fontId="4" fillId="2" borderId="0" xfId="4" applyNumberFormat="1" applyFont="1" applyFill="1" applyBorder="1"/>
    <xf numFmtId="44" fontId="5" fillId="3" borderId="0" xfId="0" applyNumberFormat="1" applyFont="1" applyFill="1" applyBorder="1"/>
    <xf numFmtId="0" fontId="3" fillId="2" borderId="0" xfId="0" applyFont="1" applyFill="1"/>
    <xf numFmtId="41" fontId="17" fillId="2" borderId="0" xfId="2" applyNumberFormat="1" applyFont="1" applyFill="1" applyBorder="1"/>
    <xf numFmtId="0" fontId="24" fillId="4" borderId="0" xfId="0" applyFont="1" applyFill="1" applyBorder="1"/>
    <xf numFmtId="0" fontId="2" fillId="0" borderId="0" xfId="3" applyFont="1"/>
    <xf numFmtId="0" fontId="19" fillId="0" borderId="0" xfId="3" applyFont="1"/>
    <xf numFmtId="0" fontId="1" fillId="0" borderId="0" xfId="3"/>
    <xf numFmtId="0" fontId="3" fillId="0" borderId="0" xfId="3" applyFont="1"/>
    <xf numFmtId="0" fontId="2" fillId="2" borderId="1" xfId="3" applyFont="1" applyFill="1" applyBorder="1"/>
    <xf numFmtId="0" fontId="2" fillId="2" borderId="2" xfId="3" applyFont="1" applyFill="1" applyBorder="1"/>
    <xf numFmtId="0" fontId="2" fillId="2" borderId="3" xfId="3" applyFont="1" applyFill="1" applyBorder="1"/>
    <xf numFmtId="0" fontId="2" fillId="2" borderId="4" xfId="3" applyFont="1" applyFill="1" applyBorder="1"/>
    <xf numFmtId="0" fontId="2" fillId="2" borderId="0" xfId="3" applyFont="1" applyFill="1" applyBorder="1"/>
    <xf numFmtId="0" fontId="2" fillId="2" borderId="5" xfId="3" applyFont="1" applyFill="1" applyBorder="1"/>
    <xf numFmtId="0" fontId="2" fillId="2" borderId="6" xfId="3" applyFont="1" applyFill="1" applyBorder="1"/>
    <xf numFmtId="0" fontId="2" fillId="2" borderId="7" xfId="3" applyFont="1" applyFill="1" applyBorder="1"/>
    <xf numFmtId="0" fontId="2" fillId="2" borderId="8" xfId="3" applyFont="1" applyFill="1" applyBorder="1"/>
    <xf numFmtId="0" fontId="2" fillId="3" borderId="1" xfId="3" applyFont="1" applyFill="1" applyBorder="1"/>
    <xf numFmtId="0" fontId="2" fillId="3" borderId="2" xfId="3" applyFont="1" applyFill="1" applyBorder="1"/>
    <xf numFmtId="0" fontId="2" fillId="3" borderId="3" xfId="3" applyFont="1" applyFill="1" applyBorder="1"/>
    <xf numFmtId="0" fontId="3" fillId="3" borderId="4" xfId="3" applyFont="1" applyFill="1" applyBorder="1"/>
    <xf numFmtId="0" fontId="2" fillId="3" borderId="0" xfId="3" applyFont="1" applyFill="1" applyBorder="1"/>
    <xf numFmtId="44" fontId="17" fillId="3" borderId="0" xfId="3" applyNumberFormat="1" applyFont="1" applyFill="1" applyBorder="1"/>
    <xf numFmtId="0" fontId="2" fillId="3" borderId="5" xfId="3" applyFont="1" applyFill="1" applyBorder="1"/>
    <xf numFmtId="167" fontId="17" fillId="3" borderId="0" xfId="3" applyNumberFormat="1" applyFont="1" applyFill="1" applyBorder="1"/>
    <xf numFmtId="164" fontId="17" fillId="3" borderId="0" xfId="3" applyNumberFormat="1" applyFont="1" applyFill="1" applyBorder="1"/>
    <xf numFmtId="44" fontId="5" fillId="3" borderId="9" xfId="3" applyNumberFormat="1" applyFont="1" applyFill="1" applyBorder="1"/>
    <xf numFmtId="0" fontId="2" fillId="3" borderId="6" xfId="3" applyFont="1" applyFill="1" applyBorder="1"/>
    <xf numFmtId="0" fontId="2" fillId="3" borderId="7" xfId="3" applyFont="1" applyFill="1" applyBorder="1"/>
    <xf numFmtId="0" fontId="2" fillId="3" borderId="8" xfId="3" applyFont="1" applyFill="1" applyBorder="1"/>
    <xf numFmtId="172" fontId="17" fillId="3" borderId="0" xfId="0" applyNumberFormat="1" applyFont="1" applyFill="1" applyBorder="1"/>
    <xf numFmtId="2" fontId="5" fillId="3" borderId="9" xfId="0" applyNumberFormat="1" applyFont="1" applyFill="1" applyBorder="1"/>
    <xf numFmtId="43" fontId="5" fillId="3" borderId="9" xfId="0" applyNumberFormat="1" applyFont="1" applyFill="1" applyBorder="1"/>
    <xf numFmtId="43" fontId="5" fillId="3" borderId="0" xfId="0" applyNumberFormat="1" applyFont="1" applyFill="1" applyBorder="1"/>
    <xf numFmtId="44" fontId="25" fillId="3" borderId="0" xfId="0" applyNumberFormat="1" applyFont="1" applyFill="1" applyBorder="1"/>
    <xf numFmtId="44" fontId="2" fillId="3" borderId="0" xfId="0" applyNumberFormat="1" applyFont="1" applyFill="1" applyBorder="1"/>
    <xf numFmtId="0" fontId="23" fillId="3" borderId="0" xfId="0" applyFont="1" applyFill="1" applyBorder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Normal 2" xfId="3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F27"/>
  <sheetViews>
    <sheetView tabSelected="1" workbookViewId="0"/>
  </sheetViews>
  <sheetFormatPr defaultRowHeight="12.75"/>
  <cols>
    <col min="1" max="3" width="9.140625" style="46"/>
    <col min="4" max="4" width="42.5703125" style="46" customWidth="1"/>
    <col min="5" max="16384" width="9.140625" style="46"/>
  </cols>
  <sheetData>
    <row r="1" spans="1:6">
      <c r="A1" s="45"/>
      <c r="B1" s="45"/>
      <c r="C1" s="45"/>
      <c r="D1" s="45"/>
      <c r="E1" s="45"/>
      <c r="F1" s="45"/>
    </row>
    <row r="2" spans="1:6">
      <c r="A2" s="45"/>
      <c r="B2" s="45"/>
      <c r="C2" s="45"/>
      <c r="D2" s="45"/>
      <c r="E2" s="45"/>
      <c r="F2" s="45"/>
    </row>
    <row r="3" spans="1:6">
      <c r="A3" s="45"/>
      <c r="B3" s="45"/>
      <c r="C3" s="45"/>
      <c r="D3" s="45"/>
      <c r="E3" s="45"/>
      <c r="F3" s="45"/>
    </row>
    <row r="4" spans="1:6">
      <c r="A4" s="45"/>
      <c r="B4" s="45"/>
      <c r="C4" s="45"/>
      <c r="D4" s="45"/>
      <c r="E4" s="45"/>
      <c r="F4" s="45"/>
    </row>
    <row r="5" spans="1:6">
      <c r="A5" s="45"/>
      <c r="B5" s="45"/>
      <c r="C5" s="45"/>
      <c r="D5" s="45"/>
      <c r="E5" s="45"/>
      <c r="F5" s="45"/>
    </row>
    <row r="6" spans="1:6">
      <c r="A6" s="45"/>
      <c r="B6" s="45"/>
      <c r="C6" s="45"/>
      <c r="D6" s="45"/>
      <c r="E6" s="45"/>
      <c r="F6" s="45"/>
    </row>
    <row r="7" spans="1:6">
      <c r="A7" s="45"/>
      <c r="B7" s="45"/>
      <c r="C7" s="45"/>
      <c r="D7" s="45"/>
      <c r="E7" s="45"/>
      <c r="F7" s="45"/>
    </row>
    <row r="8" spans="1:6">
      <c r="A8" s="45"/>
      <c r="B8" s="45"/>
      <c r="C8" s="45"/>
      <c r="D8" s="45"/>
      <c r="E8" s="45"/>
      <c r="F8" s="45"/>
    </row>
    <row r="9" spans="1:6">
      <c r="A9" s="45"/>
      <c r="B9" s="45"/>
      <c r="C9" s="45"/>
      <c r="D9" s="45"/>
      <c r="E9" s="45"/>
      <c r="F9" s="45"/>
    </row>
    <row r="10" spans="1:6">
      <c r="A10" s="45"/>
      <c r="B10" s="45"/>
      <c r="C10" s="45"/>
      <c r="D10" s="45"/>
      <c r="E10" s="45"/>
      <c r="F10" s="45"/>
    </row>
    <row r="11" spans="1:6">
      <c r="A11" s="45"/>
      <c r="B11" s="45"/>
      <c r="C11" s="45"/>
      <c r="D11" s="45"/>
      <c r="E11" s="45"/>
      <c r="F11" s="45"/>
    </row>
    <row r="12" spans="1:6" ht="59.25">
      <c r="A12" s="45"/>
      <c r="B12" s="45"/>
      <c r="C12" s="45"/>
      <c r="D12" s="47" t="s">
        <v>345</v>
      </c>
      <c r="E12" s="45"/>
      <c r="F12" s="48"/>
    </row>
    <row r="13" spans="1:6">
      <c r="A13" s="45"/>
      <c r="B13" s="45"/>
      <c r="C13" s="45"/>
      <c r="D13" s="45"/>
      <c r="E13" s="45"/>
      <c r="F13" s="45"/>
    </row>
    <row r="14" spans="1:6" ht="23.25">
      <c r="A14" s="45"/>
      <c r="B14" s="45"/>
      <c r="C14" s="45"/>
      <c r="D14" s="49" t="s">
        <v>333</v>
      </c>
      <c r="E14" s="45"/>
      <c r="F14" s="45"/>
    </row>
    <row r="15" spans="1:6">
      <c r="A15" s="45"/>
      <c r="B15" s="45"/>
      <c r="C15" s="45"/>
      <c r="D15" s="45"/>
      <c r="E15" s="45"/>
      <c r="F15" s="45"/>
    </row>
    <row r="16" spans="1:6">
      <c r="A16" s="45"/>
      <c r="B16" s="45"/>
      <c r="C16" s="45"/>
      <c r="D16" s="45"/>
      <c r="E16" s="45"/>
      <c r="F16" s="45"/>
    </row>
    <row r="17" spans="1:6" ht="15">
      <c r="A17" s="45"/>
      <c r="B17" s="45"/>
      <c r="C17" s="45"/>
      <c r="D17" s="50"/>
      <c r="E17" s="45"/>
      <c r="F17" s="45"/>
    </row>
    <row r="18" spans="1:6" ht="15.75">
      <c r="A18" s="45"/>
      <c r="B18" s="45"/>
      <c r="C18" s="45"/>
      <c r="D18" s="51" t="s">
        <v>160</v>
      </c>
      <c r="E18" s="45"/>
      <c r="F18" s="45"/>
    </row>
    <row r="19" spans="1:6" ht="15.75">
      <c r="A19" s="45"/>
      <c r="B19" s="45"/>
      <c r="C19" s="45"/>
      <c r="D19" s="52" t="s">
        <v>161</v>
      </c>
      <c r="E19" s="45"/>
      <c r="F19" s="45"/>
    </row>
    <row r="20" spans="1:6" ht="15.75">
      <c r="A20" s="45"/>
      <c r="B20" s="45"/>
      <c r="C20" s="45"/>
      <c r="D20" s="53" t="s">
        <v>162</v>
      </c>
      <c r="E20" s="45"/>
      <c r="F20" s="45"/>
    </row>
    <row r="21" spans="1:6" ht="15.75">
      <c r="A21" s="45"/>
      <c r="B21" s="45"/>
      <c r="C21" s="45"/>
      <c r="D21" s="54" t="s">
        <v>163</v>
      </c>
      <c r="E21" s="45"/>
      <c r="F21" s="45"/>
    </row>
    <row r="22" spans="1:6" ht="15.75">
      <c r="A22" s="45"/>
      <c r="B22" s="45"/>
      <c r="C22" s="45"/>
      <c r="D22" s="55" t="s">
        <v>164</v>
      </c>
      <c r="E22" s="45"/>
      <c r="F22" s="45"/>
    </row>
    <row r="23" spans="1:6" ht="15">
      <c r="A23" s="45"/>
      <c r="B23" s="45"/>
      <c r="C23" s="45"/>
      <c r="D23" s="50"/>
      <c r="E23" s="45"/>
      <c r="F23" s="45"/>
    </row>
    <row r="24" spans="1:6">
      <c r="A24" s="45"/>
      <c r="B24" s="45"/>
      <c r="C24" s="45"/>
      <c r="D24" s="124" t="s">
        <v>347</v>
      </c>
      <c r="E24" s="45"/>
      <c r="F24" s="45"/>
    </row>
    <row r="25" spans="1:6">
      <c r="A25" s="45"/>
      <c r="B25" s="45"/>
      <c r="C25" s="45"/>
      <c r="D25" s="124" t="s">
        <v>348</v>
      </c>
      <c r="E25" s="45"/>
      <c r="F25" s="45"/>
    </row>
    <row r="26" spans="1:6">
      <c r="D26" s="124" t="s">
        <v>349</v>
      </c>
    </row>
    <row r="27" spans="1:6">
      <c r="D27" s="124" t="s">
        <v>350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K31"/>
  <sheetViews>
    <sheetView workbookViewId="0"/>
  </sheetViews>
  <sheetFormatPr defaultRowHeight="12.75"/>
  <cols>
    <col min="2" max="2" width="3.140625" customWidth="1"/>
    <col min="3" max="3" width="19.5703125" customWidth="1"/>
    <col min="4" max="4" width="18.1406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17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8</v>
      </c>
      <c r="D7" s="21">
        <v>55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10</v>
      </c>
      <c r="D8" s="27">
        <v>2</v>
      </c>
      <c r="E8" s="8"/>
      <c r="F8" s="1"/>
      <c r="G8" s="1"/>
      <c r="H8" s="1"/>
      <c r="I8" s="1"/>
      <c r="J8" s="1"/>
      <c r="K8" s="1"/>
    </row>
    <row r="9" spans="1:11" ht="15">
      <c r="A9" s="1"/>
      <c r="B9" s="6"/>
      <c r="C9" s="7" t="s">
        <v>11</v>
      </c>
      <c r="D9" s="24">
        <v>2.65</v>
      </c>
      <c r="E9" s="8"/>
      <c r="F9" s="1"/>
      <c r="G9" s="1"/>
      <c r="H9" s="1"/>
      <c r="I9" s="1"/>
      <c r="J9" s="1"/>
      <c r="K9" s="1"/>
    </row>
    <row r="10" spans="1:11" ht="15">
      <c r="A10" s="1"/>
      <c r="B10" s="6"/>
      <c r="C10" s="7" t="s">
        <v>6</v>
      </c>
      <c r="D10" s="24">
        <v>5.32</v>
      </c>
      <c r="E10" s="8"/>
      <c r="F10" s="1"/>
      <c r="G10" s="1"/>
      <c r="H10" s="1"/>
      <c r="I10" s="1"/>
      <c r="J10" s="1"/>
      <c r="K10" s="1"/>
    </row>
    <row r="11" spans="1:11" ht="15">
      <c r="A11" s="1"/>
      <c r="B11" s="6"/>
      <c r="C11" s="7" t="s">
        <v>5</v>
      </c>
      <c r="D11" s="28">
        <v>57.3</v>
      </c>
      <c r="E11" s="8"/>
      <c r="F11" s="1"/>
      <c r="G11" s="1"/>
      <c r="H11" s="1"/>
      <c r="I11" s="1"/>
      <c r="J11" s="1"/>
      <c r="K11" s="1"/>
    </row>
    <row r="12" spans="1:11" ht="15.75" thickBot="1">
      <c r="A12" s="1"/>
      <c r="B12" s="9"/>
      <c r="C12" s="10"/>
      <c r="D12" s="10"/>
      <c r="E12" s="11"/>
      <c r="F12" s="1"/>
      <c r="G12" s="1"/>
      <c r="H12" s="1"/>
      <c r="I12" s="1"/>
      <c r="J12" s="1"/>
      <c r="K12" s="1"/>
    </row>
    <row r="13" spans="1:11" ht="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">
      <c r="A14" s="1"/>
      <c r="B14" s="1"/>
      <c r="C14" s="2" t="s">
        <v>2</v>
      </c>
      <c r="D14" s="1"/>
      <c r="E14" s="1"/>
      <c r="F14" s="1"/>
      <c r="G14" s="1"/>
      <c r="H14" s="1"/>
      <c r="I14" s="1"/>
      <c r="J14" s="1"/>
      <c r="K14" s="1"/>
    </row>
    <row r="15" spans="1:11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">
      <c r="A16" s="1"/>
      <c r="B16" s="12"/>
      <c r="C16" s="13"/>
      <c r="D16" s="13"/>
      <c r="E16" s="14"/>
      <c r="F16" s="1"/>
      <c r="G16" s="1"/>
      <c r="H16" s="1"/>
      <c r="I16" s="1"/>
      <c r="J16" s="1"/>
      <c r="K16" s="1"/>
    </row>
    <row r="17" spans="1:11" ht="15.75">
      <c r="A17" s="1"/>
      <c r="B17" s="15"/>
      <c r="C17" s="16" t="s">
        <v>7</v>
      </c>
      <c r="D17" s="31">
        <f>-LN((($D$11+$D$9-$D$10)/$D$7))/($D$8/12)</f>
        <v>4.0500016949068317E-2</v>
      </c>
      <c r="E17" s="17"/>
      <c r="F17" s="1"/>
      <c r="G17" s="1"/>
      <c r="H17" s="1"/>
      <c r="I17" s="1"/>
      <c r="J17" s="1"/>
      <c r="K17" s="1"/>
    </row>
    <row r="18" spans="1:11" ht="15.75" thickBot="1">
      <c r="A18" s="1"/>
      <c r="B18" s="18"/>
      <c r="C18" s="19"/>
      <c r="D18" s="19"/>
      <c r="E18" s="20"/>
      <c r="F18" s="1"/>
      <c r="G18" s="1"/>
      <c r="H18" s="1"/>
      <c r="I18" s="1"/>
      <c r="J18" s="1"/>
      <c r="K18" s="1"/>
    </row>
    <row r="19" spans="1:11" ht="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K53"/>
  <sheetViews>
    <sheetView workbookViewId="0"/>
  </sheetViews>
  <sheetFormatPr defaultRowHeight="12.75"/>
  <cols>
    <col min="2" max="2" width="3.140625" customWidth="1"/>
    <col min="3" max="3" width="19.5703125" customWidth="1"/>
    <col min="4" max="4" width="18.1406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18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.75" customHeight="1">
      <c r="A7" s="1"/>
      <c r="B7" s="6"/>
      <c r="C7" s="7" t="s">
        <v>5</v>
      </c>
      <c r="D7" s="36">
        <v>57</v>
      </c>
      <c r="E7" s="8"/>
      <c r="F7" s="1"/>
      <c r="G7" s="1"/>
      <c r="H7" s="1"/>
      <c r="I7" s="1"/>
      <c r="J7" s="1"/>
      <c r="K7" s="1"/>
    </row>
    <row r="8" spans="1:11" ht="15.75" customHeight="1">
      <c r="A8" s="1"/>
      <c r="B8" s="6"/>
      <c r="C8" s="7" t="s">
        <v>8</v>
      </c>
      <c r="D8" s="21">
        <v>60</v>
      </c>
      <c r="E8" s="8"/>
      <c r="F8" s="1"/>
      <c r="G8" s="1"/>
      <c r="H8" s="1"/>
      <c r="I8" s="1"/>
      <c r="J8" s="1"/>
      <c r="K8" s="1"/>
    </row>
    <row r="9" spans="1:11" ht="15.75" customHeight="1">
      <c r="A9" s="1"/>
      <c r="B9" s="6"/>
      <c r="C9" s="7" t="s">
        <v>7</v>
      </c>
      <c r="D9" s="23">
        <v>0.06</v>
      </c>
      <c r="E9" s="8"/>
      <c r="F9" s="1"/>
      <c r="G9" s="1"/>
      <c r="H9" s="1"/>
      <c r="I9" s="1"/>
      <c r="J9" s="1"/>
      <c r="K9" s="1"/>
    </row>
    <row r="10" spans="1:11" ht="15.75" customHeight="1">
      <c r="A10" s="1"/>
      <c r="B10" s="6"/>
      <c r="C10" s="7" t="s">
        <v>10</v>
      </c>
      <c r="D10" s="27">
        <v>3</v>
      </c>
      <c r="E10" s="8"/>
      <c r="F10" s="1"/>
      <c r="G10" s="1"/>
      <c r="H10" s="1"/>
      <c r="I10" s="1"/>
      <c r="J10" s="1"/>
      <c r="K10" s="1"/>
    </row>
    <row r="11" spans="1:11" ht="15.75" customHeight="1">
      <c r="A11" s="1"/>
      <c r="B11" s="6"/>
      <c r="C11" s="7" t="s">
        <v>16</v>
      </c>
      <c r="D11" s="23">
        <v>0.54</v>
      </c>
      <c r="E11" s="8"/>
      <c r="F11" s="1"/>
      <c r="G11" s="1"/>
      <c r="H11" s="1"/>
      <c r="I11" s="1"/>
      <c r="J11" s="1"/>
      <c r="K11" s="1"/>
    </row>
    <row r="12" spans="1:11" ht="15.75" customHeight="1" thickBot="1">
      <c r="A12" s="1"/>
      <c r="B12" s="9"/>
      <c r="C12" s="10"/>
      <c r="D12" s="10"/>
      <c r="E12" s="11"/>
      <c r="F12" s="1"/>
      <c r="G12" s="1"/>
      <c r="H12" s="1"/>
      <c r="I12" s="1"/>
      <c r="J12" s="1"/>
      <c r="K12" s="1"/>
    </row>
    <row r="13" spans="1:11" ht="15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.75" customHeight="1">
      <c r="A14" s="1"/>
      <c r="B14" s="1"/>
      <c r="C14" s="2" t="s">
        <v>2</v>
      </c>
      <c r="D14" s="1"/>
      <c r="E14" s="1"/>
      <c r="F14" s="1"/>
      <c r="G14" s="1"/>
      <c r="H14" s="1"/>
      <c r="I14" s="1"/>
      <c r="J14" s="1"/>
      <c r="K14" s="1"/>
    </row>
    <row r="15" spans="1:11" ht="15.75" customHeight="1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.75" customHeight="1">
      <c r="A16" s="1"/>
      <c r="B16" s="12"/>
      <c r="C16" s="13"/>
      <c r="D16" s="13"/>
      <c r="E16" s="14"/>
      <c r="F16" s="1"/>
      <c r="G16" s="1"/>
      <c r="H16" s="1"/>
      <c r="I16" s="1"/>
      <c r="J16" s="1"/>
      <c r="K16" s="1"/>
    </row>
    <row r="17" spans="1:11" ht="15.75" customHeight="1">
      <c r="A17" s="1"/>
      <c r="B17" s="15"/>
      <c r="C17" s="16" t="s">
        <v>177</v>
      </c>
      <c r="D17" s="57">
        <f>((((LN($D$7/$D$8))+(($D$9+(POWER($D$11,2)/2))*($D$10/12))))/($D$11*SQRT(($D$10/12))))</f>
        <v>5.8039115722009088E-4</v>
      </c>
      <c r="E17" s="17"/>
      <c r="F17" s="1"/>
      <c r="G17" s="1"/>
      <c r="H17" s="1"/>
      <c r="I17" s="1"/>
      <c r="J17" s="1"/>
      <c r="K17" s="1"/>
    </row>
    <row r="18" spans="1:11" ht="15.75" customHeight="1">
      <c r="A18" s="1"/>
      <c r="B18" s="15"/>
      <c r="C18" s="16" t="s">
        <v>178</v>
      </c>
      <c r="D18" s="57">
        <f>$D$17-$D$11*SQRT($D$10/12)</f>
        <v>-0.26941960884277993</v>
      </c>
      <c r="E18" s="17"/>
      <c r="F18" s="1"/>
      <c r="G18" s="1"/>
      <c r="H18" s="1"/>
      <c r="I18" s="1"/>
      <c r="J18" s="1"/>
      <c r="K18" s="1"/>
    </row>
    <row r="19" spans="1:11" ht="15.75" customHeight="1">
      <c r="A19" s="1"/>
      <c r="B19" s="15"/>
      <c r="C19" s="16" t="s">
        <v>179</v>
      </c>
      <c r="D19" s="57">
        <f>NORMSDIST(D17)</f>
        <v>0.50023154255878688</v>
      </c>
      <c r="E19" s="17"/>
      <c r="F19" s="1"/>
      <c r="G19" s="1"/>
      <c r="H19" s="1"/>
      <c r="I19" s="1"/>
      <c r="J19" s="1"/>
      <c r="K19" s="1"/>
    </row>
    <row r="20" spans="1:11" ht="15.75" customHeight="1">
      <c r="A20" s="1"/>
      <c r="B20" s="15"/>
      <c r="C20" s="16" t="s">
        <v>180</v>
      </c>
      <c r="D20" s="57">
        <f>NORMSDIST(D18)</f>
        <v>0.39380339909010986</v>
      </c>
      <c r="E20" s="17"/>
      <c r="F20" s="1"/>
      <c r="G20" s="1"/>
      <c r="H20" s="1"/>
      <c r="I20" s="1"/>
      <c r="J20" s="1"/>
      <c r="K20" s="1"/>
    </row>
    <row r="21" spans="1:11" ht="15.75" customHeight="1">
      <c r="A21" s="1"/>
      <c r="B21" s="15"/>
      <c r="C21" s="16"/>
      <c r="D21" s="34"/>
      <c r="E21" s="17"/>
      <c r="F21" s="1"/>
      <c r="G21" s="1"/>
      <c r="H21" s="1"/>
      <c r="I21" s="1"/>
      <c r="J21" s="1"/>
      <c r="K21" s="1"/>
    </row>
    <row r="22" spans="1:11" ht="15.75" customHeight="1">
      <c r="A22" s="1"/>
      <c r="B22" s="15"/>
      <c r="C22" s="16" t="s">
        <v>56</v>
      </c>
      <c r="D22" s="30">
        <f>($D$7*$D$19)-(($D$8*EXP(-$D$9*($D$10/12))*$D$20))</f>
        <v>5.2367721078546268</v>
      </c>
      <c r="E22" s="17"/>
      <c r="F22" s="1"/>
      <c r="G22" s="1"/>
      <c r="H22" s="1"/>
      <c r="I22" s="1"/>
      <c r="J22" s="1"/>
      <c r="K22" s="1"/>
    </row>
    <row r="23" spans="1:11" ht="15.75" customHeight="1">
      <c r="A23" s="1"/>
      <c r="B23" s="15"/>
      <c r="C23" s="16" t="s">
        <v>55</v>
      </c>
      <c r="D23" s="30">
        <f>($D$8*EXP(-$D$9*($D$10/12)))+$D$22-$D$7</f>
        <v>7.3434884840383887</v>
      </c>
      <c r="E23" s="17"/>
      <c r="F23" s="1"/>
      <c r="G23" s="1"/>
      <c r="H23" s="1"/>
      <c r="I23" s="1"/>
      <c r="J23" s="1"/>
      <c r="K23" s="1"/>
    </row>
    <row r="24" spans="1:11" ht="15.75" customHeight="1" thickBot="1">
      <c r="A24" s="1"/>
      <c r="B24" s="18"/>
      <c r="C24" s="19"/>
      <c r="D24" s="19"/>
      <c r="E24" s="20"/>
      <c r="F24" s="1"/>
      <c r="G24" s="1"/>
      <c r="H24" s="1"/>
      <c r="I24" s="1"/>
      <c r="J24" s="1"/>
      <c r="K24" s="1"/>
    </row>
    <row r="25" spans="1:11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customHeight="1"/>
    <row r="39" spans="1:11" ht="15.75" customHeight="1"/>
    <row r="40" spans="1:11" ht="15.75" customHeight="1"/>
    <row r="41" spans="1:11" ht="15.75" customHeight="1"/>
    <row r="42" spans="1:11" ht="15.75" customHeight="1"/>
    <row r="43" spans="1:11" ht="15.75" customHeight="1"/>
    <row r="44" spans="1:11" ht="15.75" customHeight="1"/>
    <row r="45" spans="1:11" ht="15.75" customHeight="1"/>
    <row r="46" spans="1:11" ht="15.75" customHeight="1"/>
    <row r="47" spans="1:11" ht="15.75" customHeight="1"/>
    <row r="48" spans="1:11" ht="15.75" customHeight="1"/>
    <row r="49" ht="15.75" customHeight="1"/>
    <row r="50" ht="15.75" customHeight="1"/>
    <row r="51" ht="15.75" customHeight="1"/>
    <row r="52" ht="15.75" customHeight="1"/>
    <row r="53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K37"/>
  <sheetViews>
    <sheetView workbookViewId="0"/>
  </sheetViews>
  <sheetFormatPr defaultRowHeight="12.75"/>
  <cols>
    <col min="2" max="2" width="3.140625" customWidth="1"/>
    <col min="3" max="3" width="19.5703125" customWidth="1"/>
    <col min="4" max="4" width="18.1406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19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5</v>
      </c>
      <c r="D7" s="36">
        <v>93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8</v>
      </c>
      <c r="D8" s="21">
        <v>90</v>
      </c>
      <c r="E8" s="8"/>
      <c r="F8" s="1"/>
      <c r="G8" s="1"/>
      <c r="H8" s="1"/>
      <c r="I8" s="1"/>
      <c r="J8" s="1"/>
      <c r="K8" s="1"/>
    </row>
    <row r="9" spans="1:11" ht="15">
      <c r="A9" s="1"/>
      <c r="B9" s="6"/>
      <c r="C9" s="7" t="s">
        <v>7</v>
      </c>
      <c r="D9" s="23">
        <v>0.04</v>
      </c>
      <c r="E9" s="8"/>
      <c r="F9" s="1"/>
      <c r="G9" s="1"/>
      <c r="H9" s="1"/>
      <c r="I9" s="1"/>
      <c r="J9" s="1"/>
      <c r="K9" s="1"/>
    </row>
    <row r="10" spans="1:11" ht="15">
      <c r="A10" s="1"/>
      <c r="B10" s="6"/>
      <c r="C10" s="7" t="s">
        <v>10</v>
      </c>
      <c r="D10" s="27">
        <v>5</v>
      </c>
      <c r="E10" s="8"/>
      <c r="F10" s="1"/>
      <c r="G10" s="1"/>
      <c r="H10" s="1"/>
      <c r="I10" s="1"/>
      <c r="J10" s="1"/>
      <c r="K10" s="1"/>
    </row>
    <row r="11" spans="1:11" ht="15">
      <c r="A11" s="1"/>
      <c r="B11" s="6"/>
      <c r="C11" s="7" t="s">
        <v>16</v>
      </c>
      <c r="D11" s="23">
        <v>0.62</v>
      </c>
      <c r="E11" s="8"/>
      <c r="F11" s="1"/>
      <c r="G11" s="1"/>
      <c r="H11" s="1"/>
      <c r="I11" s="1"/>
      <c r="J11" s="1"/>
      <c r="K11" s="1"/>
    </row>
    <row r="12" spans="1:11" ht="15.75" thickBot="1">
      <c r="A12" s="1"/>
      <c r="B12" s="9"/>
      <c r="C12" s="10"/>
      <c r="D12" s="10"/>
      <c r="E12" s="11"/>
      <c r="F12" s="1"/>
      <c r="G12" s="1"/>
      <c r="H12" s="1"/>
      <c r="I12" s="1"/>
      <c r="J12" s="1"/>
      <c r="K12" s="1"/>
    </row>
    <row r="13" spans="1:11" ht="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">
      <c r="A14" s="1"/>
      <c r="B14" s="1"/>
      <c r="C14" s="2" t="s">
        <v>2</v>
      </c>
      <c r="D14" s="1"/>
      <c r="E14" s="1"/>
      <c r="F14" s="1"/>
      <c r="G14" s="1"/>
      <c r="H14" s="1"/>
      <c r="I14" s="1"/>
      <c r="J14" s="1"/>
      <c r="K14" s="1"/>
    </row>
    <row r="15" spans="1:11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">
      <c r="A16" s="1"/>
      <c r="B16" s="12"/>
      <c r="C16" s="13"/>
      <c r="D16" s="13"/>
      <c r="E16" s="14"/>
      <c r="F16" s="1"/>
      <c r="G16" s="1"/>
      <c r="H16" s="1"/>
      <c r="I16" s="1"/>
      <c r="J16" s="1"/>
      <c r="K16" s="1"/>
    </row>
    <row r="17" spans="1:11" ht="19.5">
      <c r="A17" s="1"/>
      <c r="B17" s="15"/>
      <c r="C17" s="16" t="s">
        <v>177</v>
      </c>
      <c r="D17" s="57">
        <f>((((LN($D$7/$D$8))+(($D$9+(POWER($D$11,2)/2))*($D$10/12))))/($D$11*SQRT(($D$10/12))))</f>
        <v>0.32368101707361518</v>
      </c>
      <c r="E17" s="17"/>
      <c r="F17" s="1"/>
      <c r="G17" s="1"/>
      <c r="H17" s="1"/>
      <c r="I17" s="1"/>
      <c r="J17" s="1"/>
      <c r="K17" s="1"/>
    </row>
    <row r="18" spans="1:11" ht="19.5">
      <c r="A18" s="1"/>
      <c r="B18" s="15"/>
      <c r="C18" s="16" t="s">
        <v>178</v>
      </c>
      <c r="D18" s="57">
        <f>$D$17-$D$11*SQRT($D$10/12)</f>
        <v>-7.6527262034484567E-2</v>
      </c>
      <c r="E18" s="17"/>
      <c r="F18" s="1"/>
      <c r="G18" s="1"/>
      <c r="H18" s="1"/>
      <c r="I18" s="1"/>
      <c r="J18" s="1"/>
      <c r="K18" s="1"/>
    </row>
    <row r="19" spans="1:11" ht="19.5">
      <c r="A19" s="1"/>
      <c r="B19" s="15"/>
      <c r="C19" s="16" t="s">
        <v>179</v>
      </c>
      <c r="D19" s="57">
        <f>NORMSDIST(D17)</f>
        <v>0.6269102280046992</v>
      </c>
      <c r="E19" s="17"/>
      <c r="F19" s="1"/>
      <c r="G19" s="1"/>
      <c r="H19" s="1"/>
      <c r="I19" s="1"/>
      <c r="J19" s="1"/>
      <c r="K19" s="1"/>
    </row>
    <row r="20" spans="1:11" ht="19.5">
      <c r="A20" s="1"/>
      <c r="B20" s="15"/>
      <c r="C20" s="16" t="s">
        <v>180</v>
      </c>
      <c r="D20" s="57">
        <f>NORMSDIST(D18)</f>
        <v>0.46949981279946784</v>
      </c>
      <c r="E20" s="17"/>
      <c r="F20" s="1"/>
      <c r="G20" s="1"/>
      <c r="H20" s="1"/>
      <c r="I20" s="1"/>
      <c r="J20" s="1"/>
      <c r="K20" s="1"/>
    </row>
    <row r="21" spans="1:11" ht="15">
      <c r="A21" s="1"/>
      <c r="B21" s="15"/>
      <c r="C21" s="16"/>
      <c r="D21" s="34"/>
      <c r="E21" s="17"/>
      <c r="F21" s="1"/>
      <c r="G21" s="1"/>
      <c r="H21" s="1"/>
      <c r="I21" s="1"/>
      <c r="J21" s="1"/>
      <c r="K21" s="1"/>
    </row>
    <row r="22" spans="1:11" ht="15.75">
      <c r="A22" s="1"/>
      <c r="B22" s="15"/>
      <c r="C22" s="16" t="s">
        <v>56</v>
      </c>
      <c r="D22" s="30">
        <f>($D$7*$D$19)-(($D$8*EXP(-$D$9*($D$10/12))*$D$20))</f>
        <v>16.746081492778735</v>
      </c>
      <c r="E22" s="17"/>
      <c r="F22" s="1"/>
      <c r="G22" s="1"/>
      <c r="H22" s="1"/>
      <c r="I22" s="1"/>
      <c r="J22" s="1"/>
      <c r="K22" s="1"/>
    </row>
    <row r="23" spans="1:11" ht="15.75">
      <c r="A23" s="1"/>
      <c r="B23" s="15"/>
      <c r="C23" s="16" t="s">
        <v>55</v>
      </c>
      <c r="D23" s="30">
        <f>($D$8*EXP(-$D$9*($D$10/12)))+$D$22-$D$7</f>
        <v>12.258512336724323</v>
      </c>
      <c r="E23" s="17"/>
      <c r="F23" s="1"/>
      <c r="G23" s="1"/>
      <c r="H23" s="1"/>
      <c r="I23" s="1"/>
      <c r="J23" s="1"/>
      <c r="K23" s="1"/>
    </row>
    <row r="24" spans="1:11" ht="15.75" thickBot="1">
      <c r="A24" s="1"/>
      <c r="B24" s="18"/>
      <c r="C24" s="19"/>
      <c r="D24" s="19"/>
      <c r="E24" s="20"/>
      <c r="F24" s="1"/>
      <c r="G24" s="1"/>
      <c r="H24" s="1"/>
      <c r="I24" s="1"/>
      <c r="J24" s="1"/>
      <c r="K24" s="1"/>
    </row>
    <row r="25" spans="1:11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K38"/>
  <sheetViews>
    <sheetView workbookViewId="0"/>
  </sheetViews>
  <sheetFormatPr defaultRowHeight="12.75"/>
  <cols>
    <col min="2" max="2" width="3.140625" customWidth="1"/>
    <col min="3" max="3" width="19.5703125" customWidth="1"/>
    <col min="4" max="4" width="18.1406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23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5</v>
      </c>
      <c r="D7" s="36">
        <v>67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8</v>
      </c>
      <c r="D8" s="21">
        <v>70</v>
      </c>
      <c r="E8" s="8"/>
      <c r="F8" s="1"/>
      <c r="G8" s="1"/>
      <c r="H8" s="1"/>
      <c r="I8" s="1"/>
      <c r="J8" s="1"/>
      <c r="K8" s="1"/>
    </row>
    <row r="9" spans="1:11" ht="15">
      <c r="A9" s="1"/>
      <c r="B9" s="6"/>
      <c r="C9" s="7" t="s">
        <v>7</v>
      </c>
      <c r="D9" s="23">
        <v>0.05</v>
      </c>
      <c r="E9" s="8"/>
      <c r="F9" s="1"/>
      <c r="G9" s="1"/>
      <c r="H9" s="1"/>
      <c r="I9" s="1"/>
      <c r="J9" s="1"/>
      <c r="K9" s="1"/>
    </row>
    <row r="10" spans="1:11" ht="15">
      <c r="A10" s="1"/>
      <c r="B10" s="6"/>
      <c r="C10" s="7" t="s">
        <v>10</v>
      </c>
      <c r="D10" s="27">
        <v>9</v>
      </c>
      <c r="E10" s="8"/>
      <c r="F10" s="1"/>
      <c r="G10" s="1"/>
      <c r="H10" s="1"/>
      <c r="I10" s="1"/>
      <c r="J10" s="1"/>
      <c r="K10" s="1"/>
    </row>
    <row r="11" spans="1:11" ht="15">
      <c r="A11" s="1"/>
      <c r="B11" s="6"/>
      <c r="C11" s="7" t="s">
        <v>16</v>
      </c>
      <c r="D11" s="23">
        <v>0.49</v>
      </c>
      <c r="E11" s="8"/>
      <c r="F11" s="1"/>
      <c r="G11" s="1"/>
      <c r="H11" s="1"/>
      <c r="I11" s="1"/>
      <c r="J11" s="1"/>
      <c r="K11" s="1"/>
    </row>
    <row r="12" spans="1:11" ht="15.75" thickBot="1">
      <c r="A12" s="1"/>
      <c r="B12" s="9"/>
      <c r="C12" s="10"/>
      <c r="D12" s="10"/>
      <c r="E12" s="11"/>
      <c r="F12" s="1"/>
      <c r="G12" s="1"/>
      <c r="H12" s="1"/>
      <c r="I12" s="1"/>
      <c r="J12" s="1"/>
      <c r="K12" s="1"/>
    </row>
    <row r="13" spans="1:11" ht="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">
      <c r="A14" s="1"/>
      <c r="B14" s="1"/>
      <c r="C14" s="2" t="s">
        <v>2</v>
      </c>
      <c r="D14" s="1"/>
      <c r="E14" s="1"/>
      <c r="F14" s="1"/>
      <c r="G14" s="1"/>
      <c r="H14" s="1"/>
      <c r="I14" s="1"/>
      <c r="J14" s="1"/>
      <c r="K14" s="1"/>
    </row>
    <row r="15" spans="1:11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">
      <c r="A16" s="1"/>
      <c r="B16" s="12"/>
      <c r="C16" s="13"/>
      <c r="D16" s="13"/>
      <c r="E16" s="14"/>
      <c r="F16" s="1"/>
      <c r="G16" s="1"/>
      <c r="H16" s="1"/>
      <c r="I16" s="1"/>
      <c r="J16" s="1"/>
      <c r="K16" s="1"/>
    </row>
    <row r="17" spans="1:11" ht="19.5">
      <c r="A17" s="1"/>
      <c r="B17" s="15"/>
      <c r="C17" s="16" t="s">
        <v>177</v>
      </c>
      <c r="D17" s="58">
        <f>((((LN($D$7/$D$8))+(($D$9+(POWER($D$11,2)/2))*($D$10/12))))/($D$11*SQRT(($D$10/12))))</f>
        <v>0.19732389377035572</v>
      </c>
      <c r="E17" s="17"/>
      <c r="F17" s="1"/>
      <c r="G17" s="1"/>
      <c r="H17" s="1"/>
      <c r="I17" s="1"/>
      <c r="J17" s="1"/>
      <c r="K17" s="1"/>
    </row>
    <row r="18" spans="1:11" ht="19.5">
      <c r="A18" s="1"/>
      <c r="B18" s="15"/>
      <c r="C18" s="16" t="s">
        <v>179</v>
      </c>
      <c r="D18" s="37">
        <f>NORMSDIST(D17)</f>
        <v>0.57821295880232115</v>
      </c>
      <c r="E18" s="17"/>
      <c r="F18" s="1"/>
      <c r="G18" s="1"/>
      <c r="H18" s="1"/>
      <c r="I18" s="1"/>
      <c r="J18" s="1"/>
      <c r="K18" s="1"/>
    </row>
    <row r="19" spans="1:11" ht="15">
      <c r="A19" s="1"/>
      <c r="B19" s="15"/>
      <c r="C19" s="16" t="s">
        <v>221</v>
      </c>
      <c r="D19" s="16"/>
      <c r="E19" s="17"/>
      <c r="F19" s="1"/>
      <c r="G19" s="1"/>
      <c r="H19" s="1"/>
      <c r="I19" s="1"/>
      <c r="J19" s="1"/>
      <c r="K19" s="1"/>
    </row>
    <row r="20" spans="1:11" ht="15">
      <c r="A20" s="1"/>
      <c r="B20" s="15"/>
      <c r="C20" s="62">
        <f>D18</f>
        <v>0.57821295880232115</v>
      </c>
      <c r="D20" s="16" t="s">
        <v>181</v>
      </c>
      <c r="E20" s="17"/>
      <c r="F20" s="1"/>
      <c r="G20" s="1"/>
      <c r="H20" s="1"/>
      <c r="I20" s="1"/>
      <c r="J20" s="1"/>
      <c r="K20" s="1"/>
    </row>
    <row r="21" spans="1:11" ht="15.75">
      <c r="A21" s="1"/>
      <c r="B21" s="15"/>
      <c r="C21" s="16" t="s">
        <v>182</v>
      </c>
      <c r="D21" s="63">
        <f>C20-1</f>
        <v>-0.42178704119767885</v>
      </c>
      <c r="E21" s="17"/>
      <c r="F21" s="1"/>
      <c r="G21" s="1"/>
      <c r="H21" s="1"/>
      <c r="I21" s="1"/>
      <c r="J21" s="1"/>
      <c r="K21" s="1"/>
    </row>
    <row r="22" spans="1:11" ht="15">
      <c r="A22" s="1"/>
      <c r="B22" s="15"/>
      <c r="C22" s="16" t="s">
        <v>57</v>
      </c>
      <c r="D22" s="16"/>
      <c r="E22" s="17"/>
      <c r="F22" s="1"/>
      <c r="G22" s="1"/>
      <c r="H22" s="1"/>
      <c r="I22" s="1"/>
      <c r="J22" s="1"/>
      <c r="K22" s="1"/>
    </row>
    <row r="23" spans="1:11" ht="15">
      <c r="A23" s="1"/>
      <c r="B23" s="15"/>
      <c r="C23" s="16" t="s">
        <v>58</v>
      </c>
      <c r="D23" s="16"/>
      <c r="E23" s="17"/>
      <c r="F23" s="1"/>
      <c r="G23" s="1"/>
      <c r="H23" s="1"/>
      <c r="I23" s="1"/>
      <c r="J23" s="1"/>
      <c r="K23" s="1"/>
    </row>
    <row r="24" spans="1:11" ht="15">
      <c r="A24" s="1"/>
      <c r="B24" s="15"/>
      <c r="C24" s="16" t="s">
        <v>59</v>
      </c>
      <c r="D24" s="16"/>
      <c r="E24" s="17"/>
      <c r="F24" s="1"/>
      <c r="G24" s="1"/>
      <c r="H24" s="1"/>
      <c r="I24" s="1"/>
      <c r="J24" s="1"/>
      <c r="K24" s="1"/>
    </row>
    <row r="25" spans="1:11" ht="15.75" thickBot="1">
      <c r="A25" s="1"/>
      <c r="B25" s="18"/>
      <c r="C25" s="19"/>
      <c r="D25" s="19"/>
      <c r="E25" s="20"/>
      <c r="F25" s="1"/>
      <c r="G25" s="1"/>
      <c r="H25" s="1"/>
      <c r="I25" s="1"/>
      <c r="J25" s="1"/>
      <c r="K25" s="1"/>
    </row>
    <row r="26" spans="1:11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A1:K39"/>
  <sheetViews>
    <sheetView workbookViewId="0"/>
  </sheetViews>
  <sheetFormatPr defaultRowHeight="12.75"/>
  <cols>
    <col min="2" max="2" width="3.140625" customWidth="1"/>
    <col min="3" max="3" width="20.42578125" customWidth="1"/>
    <col min="4" max="4" width="18.1406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25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20</v>
      </c>
      <c r="D7" s="44">
        <v>1100000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21</v>
      </c>
      <c r="D8" s="23">
        <v>0.12</v>
      </c>
      <c r="E8" s="8"/>
      <c r="F8" s="1"/>
      <c r="G8" s="1"/>
      <c r="H8" s="1"/>
      <c r="I8" s="1"/>
      <c r="J8" s="1"/>
      <c r="K8" s="1"/>
    </row>
    <row r="9" spans="1:11" ht="15">
      <c r="A9" s="1"/>
      <c r="B9" s="6"/>
      <c r="C9" s="7" t="s">
        <v>16</v>
      </c>
      <c r="D9" s="23">
        <v>0.25</v>
      </c>
      <c r="E9" s="8"/>
      <c r="F9" s="1"/>
      <c r="G9" s="1"/>
      <c r="H9" s="1"/>
      <c r="I9" s="1"/>
      <c r="J9" s="1"/>
      <c r="K9" s="1"/>
    </row>
    <row r="10" spans="1:11" ht="15">
      <c r="A10" s="1"/>
      <c r="B10" s="6"/>
      <c r="C10" s="7" t="s">
        <v>22</v>
      </c>
      <c r="D10" s="44">
        <v>1250000</v>
      </c>
      <c r="E10" s="8"/>
      <c r="F10" s="1"/>
      <c r="G10" s="1"/>
      <c r="H10" s="1"/>
      <c r="I10" s="1"/>
      <c r="J10" s="1"/>
      <c r="K10" s="1"/>
    </row>
    <row r="11" spans="1:11" ht="15">
      <c r="A11" s="1"/>
      <c r="B11" s="6"/>
      <c r="C11" s="7" t="s">
        <v>10</v>
      </c>
      <c r="D11" s="27">
        <v>12</v>
      </c>
      <c r="E11" s="8"/>
      <c r="F11" s="1"/>
      <c r="G11" s="1"/>
      <c r="H11" s="1"/>
      <c r="I11" s="1"/>
      <c r="J11" s="1"/>
      <c r="K11" s="1"/>
    </row>
    <row r="12" spans="1:11" ht="15">
      <c r="A12" s="1"/>
      <c r="B12" s="6"/>
      <c r="C12" s="7" t="s">
        <v>7</v>
      </c>
      <c r="D12" s="23">
        <v>0.05</v>
      </c>
      <c r="E12" s="8"/>
      <c r="F12" s="1"/>
      <c r="G12" s="1"/>
      <c r="H12" s="1"/>
      <c r="I12" s="1"/>
      <c r="J12" s="1"/>
      <c r="K12" s="1"/>
    </row>
    <row r="13" spans="1:11" ht="15.75" thickBot="1">
      <c r="A13" s="1"/>
      <c r="B13" s="9"/>
      <c r="C13" s="10"/>
      <c r="D13" s="10"/>
      <c r="E13" s="11"/>
      <c r="F13" s="1"/>
      <c r="G13" s="1"/>
      <c r="H13" s="1"/>
      <c r="I13" s="1"/>
      <c r="J13" s="1"/>
      <c r="K13" s="1"/>
    </row>
    <row r="14" spans="1:11" ht="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5">
      <c r="A15" s="1"/>
      <c r="B15" s="1"/>
      <c r="C15" s="2" t="s">
        <v>2</v>
      </c>
      <c r="D15" s="1"/>
      <c r="E15" s="1"/>
      <c r="F15" s="1"/>
      <c r="G15" s="1"/>
      <c r="H15" s="1"/>
      <c r="I15" s="1"/>
      <c r="J15" s="1"/>
      <c r="K15" s="1"/>
    </row>
    <row r="16" spans="1:11" ht="15.75" thickBo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5">
      <c r="A17" s="1"/>
      <c r="B17" s="12"/>
      <c r="C17" s="13"/>
      <c r="D17" s="13"/>
      <c r="E17" s="14"/>
      <c r="F17" s="1"/>
      <c r="G17" s="1"/>
      <c r="H17" s="1"/>
      <c r="I17" s="1"/>
      <c r="J17" s="1"/>
      <c r="K17" s="1"/>
    </row>
    <row r="18" spans="1:11" ht="15">
      <c r="A18" s="1"/>
      <c r="B18" s="15"/>
      <c r="C18" s="16" t="s">
        <v>184</v>
      </c>
      <c r="D18" s="64">
        <f>D7</f>
        <v>1100000</v>
      </c>
      <c r="E18" s="17"/>
      <c r="F18" s="1"/>
      <c r="G18" s="1"/>
      <c r="H18" s="1"/>
      <c r="I18" s="1"/>
      <c r="J18" s="1"/>
      <c r="K18" s="1"/>
    </row>
    <row r="19" spans="1:11" ht="15">
      <c r="A19" s="1"/>
      <c r="B19" s="15"/>
      <c r="C19" s="16" t="s">
        <v>183</v>
      </c>
      <c r="D19" s="16"/>
      <c r="E19" s="17"/>
      <c r="F19" s="1"/>
      <c r="G19" s="1"/>
      <c r="H19" s="1"/>
      <c r="I19" s="1"/>
      <c r="J19" s="1"/>
      <c r="K19" s="1"/>
    </row>
    <row r="20" spans="1:11" ht="15">
      <c r="A20" s="1"/>
      <c r="B20" s="15"/>
      <c r="C20" s="64">
        <f>D10</f>
        <v>1250000</v>
      </c>
      <c r="D20" s="16"/>
      <c r="E20" s="17"/>
      <c r="F20" s="1"/>
      <c r="G20" s="1"/>
      <c r="H20" s="1"/>
      <c r="I20" s="1"/>
      <c r="J20" s="1"/>
      <c r="K20" s="1"/>
    </row>
    <row r="21" spans="1:11" ht="19.5">
      <c r="A21" s="1"/>
      <c r="B21" s="15"/>
      <c r="C21" s="16" t="s">
        <v>177</v>
      </c>
      <c r="D21" s="58">
        <f>((((LN($D$7/$D$10))+(($D$12+(POWER($D$9,2)/2))*($D$11/12))))/($D$9*SQRT(($D$11/12))))</f>
        <v>-0.18633348603953953</v>
      </c>
      <c r="E21" s="17"/>
      <c r="F21" s="1"/>
      <c r="G21" s="1"/>
      <c r="H21" s="1"/>
      <c r="I21" s="1"/>
      <c r="J21" s="1"/>
      <c r="K21" s="1"/>
    </row>
    <row r="22" spans="1:11" ht="19.5">
      <c r="A22" s="1"/>
      <c r="B22" s="15"/>
      <c r="C22" s="16" t="s">
        <v>178</v>
      </c>
      <c r="D22" s="58">
        <f>D21-(D9*SQRT(D11/12))</f>
        <v>-0.43633348603953953</v>
      </c>
      <c r="E22" s="17"/>
      <c r="F22" s="1"/>
      <c r="G22" s="1"/>
      <c r="H22" s="1"/>
      <c r="I22" s="1"/>
      <c r="J22" s="1"/>
      <c r="K22" s="1"/>
    </row>
    <row r="23" spans="1:11" ht="19.5">
      <c r="A23" s="1"/>
      <c r="B23" s="15"/>
      <c r="C23" s="16" t="s">
        <v>179</v>
      </c>
      <c r="D23" s="58">
        <f>NORMSDIST(D21)</f>
        <v>0.42609162460579164</v>
      </c>
      <c r="E23" s="17"/>
      <c r="F23" s="1"/>
      <c r="G23" s="1"/>
      <c r="H23" s="1"/>
      <c r="I23" s="1"/>
      <c r="J23" s="1"/>
      <c r="K23" s="1"/>
    </row>
    <row r="24" spans="1:11" ht="19.5">
      <c r="A24" s="1"/>
      <c r="B24" s="15"/>
      <c r="C24" s="16" t="s">
        <v>180</v>
      </c>
      <c r="D24" s="58">
        <f>NORMSDIST(D22)</f>
        <v>0.33129739488546273</v>
      </c>
      <c r="E24" s="17"/>
      <c r="F24" s="1"/>
      <c r="G24" s="1"/>
      <c r="H24" s="1"/>
      <c r="I24" s="1"/>
      <c r="J24" s="1"/>
      <c r="K24" s="1"/>
    </row>
    <row r="25" spans="1:11" ht="15.75">
      <c r="A25" s="1"/>
      <c r="B25" s="15"/>
      <c r="C25" s="16" t="s">
        <v>56</v>
      </c>
      <c r="D25" s="30">
        <f>($D$7*$D$23)-(($D$10*EXP(-$D$12*($D$11/12))*$D$24))</f>
        <v>74775.999222015205</v>
      </c>
      <c r="E25" s="17"/>
      <c r="F25" s="1"/>
      <c r="G25" s="1"/>
      <c r="H25" s="1"/>
      <c r="I25" s="1"/>
      <c r="J25" s="1"/>
      <c r="K25" s="1"/>
    </row>
    <row r="26" spans="1:11" ht="15.75" thickBot="1">
      <c r="A26" s="1"/>
      <c r="B26" s="18"/>
      <c r="C26" s="19"/>
      <c r="D26" s="19"/>
      <c r="E26" s="20"/>
      <c r="F26" s="1"/>
      <c r="G26" s="1"/>
      <c r="H26" s="1"/>
      <c r="I26" s="1"/>
      <c r="J26" s="1"/>
      <c r="K26" s="1"/>
    </row>
    <row r="27" spans="1:11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K36"/>
  <sheetViews>
    <sheetView workbookViewId="0"/>
  </sheetViews>
  <sheetFormatPr defaultRowHeight="12.75"/>
  <cols>
    <col min="2" max="2" width="3.140625" customWidth="1"/>
    <col min="3" max="3" width="22.5703125" customWidth="1"/>
    <col min="4" max="4" width="18.1406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27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20</v>
      </c>
      <c r="D7" s="65">
        <f ca="1">'#13'!D7</f>
        <v>1100000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21</v>
      </c>
      <c r="D8" s="66">
        <f ca="1">'#13'!D8</f>
        <v>0.12</v>
      </c>
      <c r="E8" s="8"/>
      <c r="F8" s="1"/>
      <c r="G8" s="1"/>
      <c r="H8" s="1"/>
      <c r="I8" s="1"/>
      <c r="J8" s="1"/>
      <c r="K8" s="1"/>
    </row>
    <row r="9" spans="1:11" ht="15">
      <c r="A9" s="1"/>
      <c r="B9" s="6"/>
      <c r="C9" s="7" t="s">
        <v>16</v>
      </c>
      <c r="D9" s="66">
        <f ca="1">'#13'!D9</f>
        <v>0.25</v>
      </c>
      <c r="E9" s="8"/>
      <c r="F9" s="1"/>
      <c r="G9" s="1"/>
      <c r="H9" s="1"/>
      <c r="I9" s="1"/>
      <c r="J9" s="1"/>
      <c r="K9" s="1"/>
    </row>
    <row r="10" spans="1:11" ht="15">
      <c r="A10" s="1"/>
      <c r="B10" s="6"/>
      <c r="C10" s="7" t="s">
        <v>24</v>
      </c>
      <c r="D10" s="65">
        <f ca="1">'#13'!D10</f>
        <v>1250000</v>
      </c>
      <c r="E10" s="8"/>
      <c r="F10" s="1"/>
      <c r="G10" s="1"/>
      <c r="H10" s="1"/>
      <c r="I10" s="1"/>
      <c r="J10" s="1"/>
      <c r="K10" s="1"/>
    </row>
    <row r="11" spans="1:11" ht="15">
      <c r="A11" s="1"/>
      <c r="B11" s="6"/>
      <c r="C11" s="7" t="s">
        <v>10</v>
      </c>
      <c r="D11" s="67">
        <f ca="1">'#13'!D11</f>
        <v>12</v>
      </c>
      <c r="E11" s="8"/>
      <c r="F11" s="1"/>
      <c r="G11" s="1"/>
      <c r="H11" s="1"/>
      <c r="I11" s="1"/>
      <c r="J11" s="1"/>
      <c r="K11" s="1"/>
    </row>
    <row r="12" spans="1:11" ht="15">
      <c r="A12" s="1"/>
      <c r="B12" s="6"/>
      <c r="C12" s="7" t="s">
        <v>7</v>
      </c>
      <c r="D12" s="66">
        <f ca="1">'#13'!D12</f>
        <v>0.05</v>
      </c>
      <c r="E12" s="8"/>
      <c r="F12" s="1"/>
      <c r="G12" s="1"/>
      <c r="H12" s="1"/>
      <c r="I12" s="1"/>
      <c r="J12" s="1"/>
      <c r="K12" s="1"/>
    </row>
    <row r="13" spans="1:11" ht="15">
      <c r="A13" s="1"/>
      <c r="B13" s="6"/>
      <c r="C13" s="7" t="s">
        <v>56</v>
      </c>
      <c r="D13" s="68">
        <f ca="1">'#13'!D25</f>
        <v>74775.999222015205</v>
      </c>
      <c r="E13" s="8"/>
      <c r="F13" s="1"/>
      <c r="G13" s="1"/>
      <c r="H13" s="1"/>
      <c r="I13" s="1"/>
      <c r="J13" s="1"/>
      <c r="K13" s="1"/>
    </row>
    <row r="14" spans="1:11" ht="15.75" thickBot="1">
      <c r="A14" s="1"/>
      <c r="B14" s="9"/>
      <c r="C14" s="10"/>
      <c r="D14" s="10"/>
      <c r="E14" s="11"/>
      <c r="F14" s="1"/>
      <c r="G14" s="1"/>
      <c r="H14" s="1"/>
      <c r="I14" s="1"/>
      <c r="J14" s="1"/>
      <c r="K14" s="1"/>
    </row>
    <row r="15" spans="1:11" ht="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">
      <c r="A16" s="1"/>
      <c r="B16" s="1"/>
      <c r="C16" s="2" t="s">
        <v>2</v>
      </c>
      <c r="D16" s="1"/>
      <c r="E16" s="1"/>
      <c r="F16" s="1"/>
      <c r="G16" s="1"/>
      <c r="H16" s="1"/>
      <c r="I16" s="1"/>
      <c r="J16" s="1"/>
      <c r="K16" s="1"/>
    </row>
    <row r="17" spans="1:11" ht="15.75" thickBo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5">
      <c r="A18" s="1"/>
      <c r="B18" s="12"/>
      <c r="C18" s="13"/>
      <c r="D18" s="13"/>
      <c r="E18" s="14"/>
      <c r="F18" s="1"/>
      <c r="G18" s="1"/>
      <c r="H18" s="1"/>
      <c r="I18" s="1"/>
      <c r="J18" s="1"/>
      <c r="K18" s="1"/>
    </row>
    <row r="19" spans="1:11" ht="15.75">
      <c r="A19" s="1"/>
      <c r="B19" s="15"/>
      <c r="C19" s="16" t="s">
        <v>55</v>
      </c>
      <c r="D19" s="30">
        <f>($D$10*EXP(-$D$12*($D$11/12)))+$D$13-$D$7</f>
        <v>163812.77984790783</v>
      </c>
      <c r="E19" s="17"/>
      <c r="F19" s="1"/>
      <c r="G19" s="1"/>
      <c r="H19" s="1"/>
      <c r="I19" s="1"/>
      <c r="J19" s="1"/>
      <c r="K19" s="1"/>
    </row>
    <row r="20" spans="1:11" ht="15">
      <c r="A20" s="1"/>
      <c r="B20" s="15"/>
      <c r="C20" s="16" t="s">
        <v>60</v>
      </c>
      <c r="D20" s="69">
        <f>D19</f>
        <v>163812.77984790783</v>
      </c>
      <c r="E20" s="17"/>
      <c r="F20" s="1"/>
      <c r="G20" s="1"/>
      <c r="H20" s="1"/>
      <c r="I20" s="1"/>
      <c r="J20" s="1"/>
      <c r="K20" s="1"/>
    </row>
    <row r="21" spans="1:11" ht="15">
      <c r="A21" s="1"/>
      <c r="B21" s="15"/>
      <c r="C21" s="16" t="s">
        <v>185</v>
      </c>
      <c r="D21" s="16"/>
      <c r="E21" s="17"/>
      <c r="F21" s="1"/>
      <c r="G21" s="1"/>
      <c r="H21" s="1"/>
      <c r="I21" s="1"/>
      <c r="J21" s="1"/>
      <c r="K21" s="1"/>
    </row>
    <row r="22" spans="1:11" ht="15">
      <c r="A22" s="1"/>
      <c r="B22" s="15"/>
      <c r="C22" s="16" t="s">
        <v>186</v>
      </c>
      <c r="D22" s="70">
        <f>D10</f>
        <v>1250000</v>
      </c>
      <c r="E22" s="17"/>
      <c r="F22" s="1"/>
      <c r="G22" s="1"/>
      <c r="H22" s="1"/>
      <c r="I22" s="1"/>
      <c r="J22" s="1"/>
      <c r="K22" s="1"/>
    </row>
    <row r="23" spans="1:11" ht="15.75" thickBot="1">
      <c r="A23" s="1"/>
      <c r="B23" s="18"/>
      <c r="C23" s="19"/>
      <c r="D23" s="19"/>
      <c r="E23" s="20"/>
      <c r="F23" s="1"/>
      <c r="G23" s="1"/>
      <c r="H23" s="1"/>
      <c r="I23" s="1"/>
      <c r="J23" s="1"/>
      <c r="K23" s="1"/>
    </row>
    <row r="24" spans="1:11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/>
  <dimension ref="A1:K64"/>
  <sheetViews>
    <sheetView workbookViewId="0"/>
  </sheetViews>
  <sheetFormatPr defaultRowHeight="12.75"/>
  <cols>
    <col min="2" max="2" width="3.140625" customWidth="1"/>
    <col min="3" max="3" width="20.42578125" customWidth="1"/>
    <col min="4" max="4" width="18.1406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28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.75" customHeight="1">
      <c r="A7" s="1"/>
      <c r="B7" s="6"/>
      <c r="C7" s="7" t="s">
        <v>26</v>
      </c>
      <c r="D7" s="21">
        <v>83</v>
      </c>
      <c r="E7" s="8"/>
      <c r="F7" s="1"/>
      <c r="G7" s="1"/>
      <c r="H7" s="1"/>
      <c r="I7" s="1"/>
      <c r="J7" s="1"/>
      <c r="K7" s="1"/>
    </row>
    <row r="8" spans="1:11" ht="15.75" customHeight="1">
      <c r="A8" s="1"/>
      <c r="B8" s="6"/>
      <c r="C8" s="7" t="s">
        <v>8</v>
      </c>
      <c r="D8" s="21">
        <v>80</v>
      </c>
      <c r="E8" s="8"/>
      <c r="F8" s="1"/>
      <c r="G8" s="1"/>
      <c r="H8" s="1"/>
      <c r="I8" s="1"/>
      <c r="J8" s="1"/>
      <c r="K8" s="1"/>
    </row>
    <row r="9" spans="1:11" ht="15.75" customHeight="1">
      <c r="A9" s="1"/>
      <c r="B9" s="6"/>
      <c r="C9" s="7" t="s">
        <v>7</v>
      </c>
      <c r="D9" s="23">
        <v>0.06</v>
      </c>
      <c r="E9" s="8"/>
      <c r="F9" s="1"/>
      <c r="G9" s="1"/>
      <c r="H9" s="1"/>
      <c r="I9" s="1"/>
      <c r="J9" s="1"/>
      <c r="K9" s="1"/>
    </row>
    <row r="10" spans="1:11" ht="15.75" customHeight="1">
      <c r="A10" s="1"/>
      <c r="B10" s="6"/>
      <c r="C10" s="7" t="s">
        <v>10</v>
      </c>
      <c r="D10" s="27">
        <v>6</v>
      </c>
      <c r="E10" s="8"/>
      <c r="F10" s="1"/>
      <c r="G10" s="1"/>
      <c r="H10" s="1"/>
      <c r="I10" s="1"/>
      <c r="J10" s="1"/>
      <c r="K10" s="1"/>
    </row>
    <row r="11" spans="1:11" ht="15.75" customHeight="1">
      <c r="A11" s="1"/>
      <c r="B11" s="6"/>
      <c r="C11" s="7" t="s">
        <v>16</v>
      </c>
      <c r="D11" s="23">
        <v>0.53</v>
      </c>
      <c r="E11" s="8"/>
      <c r="F11" s="1"/>
      <c r="G11" s="1"/>
      <c r="H11" s="1"/>
      <c r="I11" s="1"/>
      <c r="J11" s="1"/>
      <c r="K11" s="1"/>
    </row>
    <row r="12" spans="1:11" ht="15.75" customHeight="1" thickBot="1">
      <c r="A12" s="1"/>
      <c r="B12" s="9"/>
      <c r="C12" s="10"/>
      <c r="D12" s="10"/>
      <c r="E12" s="11"/>
      <c r="F12" s="1"/>
      <c r="G12" s="1"/>
      <c r="H12" s="1"/>
      <c r="I12" s="1"/>
      <c r="J12" s="1"/>
      <c r="K12" s="1"/>
    </row>
    <row r="13" spans="1:11" ht="15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.75" customHeight="1">
      <c r="A14" s="1"/>
      <c r="B14" s="1"/>
      <c r="C14" s="2" t="s">
        <v>2</v>
      </c>
      <c r="D14" s="1"/>
      <c r="E14" s="1"/>
      <c r="F14" s="1"/>
      <c r="G14" s="1"/>
      <c r="H14" s="1"/>
      <c r="I14" s="1"/>
      <c r="J14" s="1"/>
      <c r="K14" s="1"/>
    </row>
    <row r="15" spans="1:11" ht="15.75" customHeight="1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.75" customHeight="1">
      <c r="A16" s="1"/>
      <c r="B16" s="12"/>
      <c r="C16" s="13"/>
      <c r="D16" s="13"/>
      <c r="E16" s="14"/>
      <c r="F16" s="1"/>
      <c r="G16" s="1"/>
      <c r="H16" s="1"/>
      <c r="I16" s="1"/>
      <c r="J16" s="1"/>
      <c r="K16" s="1"/>
    </row>
    <row r="17" spans="1:11" ht="15.75" customHeight="1">
      <c r="A17" s="1"/>
      <c r="B17" s="74" t="s">
        <v>187</v>
      </c>
      <c r="C17" s="16" t="s">
        <v>177</v>
      </c>
      <c r="D17" s="58">
        <f>((((LN($D$7/$D$8))+(($D$9+(POWER($D$11,2)/2))*($D$10/12))))/($D$11*SQRT(($D$10/12))))</f>
        <v>0.36566485729024067</v>
      </c>
      <c r="E17" s="17"/>
      <c r="F17" s="1"/>
      <c r="G17" s="1"/>
      <c r="H17" s="1"/>
      <c r="I17" s="1"/>
      <c r="J17" s="1"/>
      <c r="K17" s="1"/>
    </row>
    <row r="18" spans="1:11" ht="15.75" customHeight="1">
      <c r="A18" s="1"/>
      <c r="B18" s="74"/>
      <c r="C18" s="16" t="s">
        <v>178</v>
      </c>
      <c r="D18" s="59">
        <f>$D$17-$D$11*SQRT($D$10/12)</f>
        <v>-9.1017367386295733E-3</v>
      </c>
      <c r="E18" s="17"/>
      <c r="F18" s="1"/>
      <c r="G18" s="1"/>
      <c r="H18" s="1"/>
      <c r="I18" s="1"/>
      <c r="J18" s="1"/>
      <c r="K18" s="1"/>
    </row>
    <row r="19" spans="1:11" ht="15.75" customHeight="1">
      <c r="A19" s="1"/>
      <c r="B19" s="74"/>
      <c r="C19" s="16" t="s">
        <v>179</v>
      </c>
      <c r="D19" s="76">
        <f>NORMSDIST(D17)</f>
        <v>0.64269241376941244</v>
      </c>
      <c r="E19" s="17"/>
      <c r="F19" s="1"/>
      <c r="G19" s="1"/>
      <c r="H19" s="1"/>
      <c r="I19" s="1"/>
      <c r="J19" s="1"/>
      <c r="K19" s="1"/>
    </row>
    <row r="20" spans="1:11" ht="15.75" customHeight="1">
      <c r="A20" s="1"/>
      <c r="B20" s="74"/>
      <c r="C20" s="16" t="s">
        <v>180</v>
      </c>
      <c r="D20" s="76">
        <f>NORMSDIST(D18)</f>
        <v>0.49636898252317008</v>
      </c>
      <c r="E20" s="17"/>
      <c r="F20" s="1"/>
      <c r="G20" s="1"/>
      <c r="H20" s="1"/>
      <c r="I20" s="1"/>
      <c r="J20" s="1"/>
      <c r="K20" s="1"/>
    </row>
    <row r="21" spans="1:11" ht="15.75" customHeight="1">
      <c r="A21" s="1"/>
      <c r="B21" s="74"/>
      <c r="C21" s="16"/>
      <c r="D21" s="34"/>
      <c r="E21" s="17"/>
      <c r="F21" s="1"/>
      <c r="G21" s="1"/>
      <c r="H21" s="1"/>
      <c r="I21" s="1"/>
      <c r="J21" s="1"/>
      <c r="K21" s="1"/>
    </row>
    <row r="22" spans="1:11" ht="15.75" customHeight="1">
      <c r="A22" s="1"/>
      <c r="B22" s="74"/>
      <c r="C22" s="16" t="s">
        <v>56</v>
      </c>
      <c r="D22" s="71">
        <f>($D$7*$D$19)-(($D$8*EXP(-$D$9*($D$10/12))*$D$20))</f>
        <v>14.807545376330999</v>
      </c>
      <c r="E22" s="17"/>
      <c r="F22" s="1"/>
      <c r="G22" s="1"/>
      <c r="H22" s="1"/>
      <c r="I22" s="1"/>
      <c r="J22" s="1"/>
      <c r="K22" s="1"/>
    </row>
    <row r="23" spans="1:11" ht="15.75" customHeight="1">
      <c r="A23" s="1"/>
      <c r="B23" s="74"/>
      <c r="C23" s="16" t="s">
        <v>55</v>
      </c>
      <c r="D23" s="71">
        <f>($D$8*EXP(-$D$9*($D$10/12)))+$D$22-$D$7</f>
        <v>9.4431880602116394</v>
      </c>
      <c r="E23" s="17"/>
      <c r="F23" s="1"/>
      <c r="G23" s="1"/>
      <c r="H23" s="1"/>
      <c r="I23" s="1"/>
      <c r="J23" s="1"/>
      <c r="K23" s="1"/>
    </row>
    <row r="24" spans="1:11" ht="15.75" customHeight="1">
      <c r="A24" s="1"/>
      <c r="B24" s="74"/>
      <c r="C24" s="16"/>
      <c r="D24" s="34"/>
      <c r="E24" s="17"/>
      <c r="F24" s="1"/>
      <c r="G24" s="1"/>
      <c r="H24" s="1"/>
      <c r="I24" s="1"/>
      <c r="J24" s="1"/>
      <c r="K24" s="1"/>
    </row>
    <row r="25" spans="1:11" ht="15.75" customHeight="1">
      <c r="A25" s="1"/>
      <c r="B25" s="74"/>
      <c r="C25" s="16" t="s">
        <v>61</v>
      </c>
      <c r="D25" s="73">
        <f>MAX(D7-D8,0)</f>
        <v>3</v>
      </c>
      <c r="E25" s="17"/>
      <c r="F25" s="1"/>
      <c r="G25" s="1"/>
      <c r="H25" s="1"/>
      <c r="I25" s="1"/>
      <c r="J25" s="1"/>
      <c r="K25" s="1"/>
    </row>
    <row r="26" spans="1:11" ht="15.75" customHeight="1">
      <c r="A26" s="1"/>
      <c r="B26" s="74"/>
      <c r="C26" s="16" t="s">
        <v>62</v>
      </c>
      <c r="D26" s="73">
        <f>MAX(D8-D7,0)</f>
        <v>0</v>
      </c>
      <c r="E26" s="17"/>
      <c r="F26" s="1"/>
      <c r="G26" s="1"/>
      <c r="H26" s="1"/>
      <c r="I26" s="1"/>
      <c r="J26" s="1"/>
      <c r="K26" s="1"/>
    </row>
    <row r="27" spans="1:11" ht="15.75" customHeight="1">
      <c r="A27" s="1"/>
      <c r="B27" s="74"/>
      <c r="C27" s="16"/>
      <c r="D27" s="34"/>
      <c r="E27" s="17"/>
      <c r="F27" s="1"/>
      <c r="G27" s="1"/>
      <c r="H27" s="1"/>
      <c r="I27" s="1"/>
      <c r="J27" s="1"/>
      <c r="K27" s="1"/>
    </row>
    <row r="28" spans="1:11" ht="15.75" customHeight="1">
      <c r="A28" s="1"/>
      <c r="B28" s="74" t="s">
        <v>188</v>
      </c>
      <c r="C28" s="16" t="s">
        <v>63</v>
      </c>
      <c r="D28" s="30">
        <f>D22-D25</f>
        <v>11.807545376330999</v>
      </c>
      <c r="E28" s="17"/>
      <c r="F28" s="1"/>
      <c r="G28" s="1"/>
      <c r="H28" s="1"/>
      <c r="I28" s="1"/>
      <c r="J28" s="1"/>
      <c r="K28" s="1"/>
    </row>
    <row r="29" spans="1:11" ht="15.75" customHeight="1">
      <c r="A29" s="1"/>
      <c r="B29" s="74"/>
      <c r="C29" s="16" t="s">
        <v>64</v>
      </c>
      <c r="D29" s="30">
        <f>D23-D26</f>
        <v>9.4431880602116394</v>
      </c>
      <c r="E29" s="17"/>
      <c r="F29" s="1"/>
      <c r="G29" s="1"/>
      <c r="H29" s="1"/>
      <c r="I29" s="1"/>
      <c r="J29" s="1"/>
      <c r="K29" s="1"/>
    </row>
    <row r="30" spans="1:11" ht="15.75" customHeight="1">
      <c r="A30" s="1"/>
      <c r="B30" s="74"/>
      <c r="C30" s="16"/>
      <c r="D30" s="16"/>
      <c r="E30" s="17"/>
      <c r="F30" s="1"/>
      <c r="G30" s="1"/>
      <c r="H30" s="1"/>
      <c r="I30" s="1"/>
      <c r="J30" s="1"/>
      <c r="K30" s="1"/>
    </row>
    <row r="31" spans="1:11" ht="15.75" customHeight="1">
      <c r="A31" s="1"/>
      <c r="B31" s="74" t="s">
        <v>189</v>
      </c>
      <c r="C31" s="16" t="s">
        <v>65</v>
      </c>
      <c r="D31" s="16"/>
      <c r="E31" s="17"/>
      <c r="F31" s="1"/>
      <c r="G31" s="1"/>
      <c r="H31" s="1"/>
      <c r="I31" s="1"/>
      <c r="J31" s="1"/>
      <c r="K31" s="1"/>
    </row>
    <row r="32" spans="1:11" ht="15.75" customHeight="1">
      <c r="A32" s="1"/>
      <c r="B32" s="74"/>
      <c r="C32" s="16" t="s">
        <v>66</v>
      </c>
      <c r="D32" s="16"/>
      <c r="E32" s="17"/>
      <c r="F32" s="1"/>
      <c r="G32" s="1"/>
      <c r="H32" s="1"/>
      <c r="I32" s="1"/>
      <c r="J32" s="1"/>
      <c r="K32" s="1"/>
    </row>
    <row r="33" spans="1:11" ht="15.75" customHeight="1">
      <c r="A33" s="1"/>
      <c r="B33" s="15"/>
      <c r="C33" s="16" t="s">
        <v>67</v>
      </c>
      <c r="D33" s="16"/>
      <c r="E33" s="17"/>
      <c r="F33" s="1"/>
      <c r="G33" s="1"/>
      <c r="H33" s="1"/>
      <c r="I33" s="1"/>
      <c r="J33" s="1"/>
      <c r="K33" s="1"/>
    </row>
    <row r="34" spans="1:11" ht="15.75" customHeight="1">
      <c r="A34" s="1"/>
      <c r="B34" s="15"/>
      <c r="C34" s="16" t="s">
        <v>68</v>
      </c>
      <c r="D34" s="16"/>
      <c r="E34" s="17"/>
      <c r="F34" s="1"/>
      <c r="G34" s="1"/>
      <c r="H34" s="1"/>
      <c r="I34" s="1"/>
      <c r="J34" s="1"/>
      <c r="K34" s="1"/>
    </row>
    <row r="35" spans="1:11" ht="15.75" customHeight="1" thickBot="1">
      <c r="A35" s="1"/>
      <c r="B35" s="18"/>
      <c r="C35" s="19"/>
      <c r="D35" s="19"/>
      <c r="E35" s="20"/>
      <c r="F35" s="1"/>
      <c r="G35" s="1"/>
      <c r="H35" s="1"/>
      <c r="I35" s="1"/>
      <c r="J35" s="1"/>
      <c r="K35" s="1"/>
    </row>
    <row r="36" spans="1:11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K56"/>
  <sheetViews>
    <sheetView workbookViewId="0"/>
  </sheetViews>
  <sheetFormatPr defaultRowHeight="12.75"/>
  <cols>
    <col min="1" max="1" width="9.140625" style="127"/>
    <col min="2" max="2" width="3.140625" style="127" customWidth="1"/>
    <col min="3" max="3" width="32.5703125" style="127" bestFit="1" customWidth="1"/>
    <col min="4" max="4" width="18.140625" style="127" customWidth="1"/>
    <col min="5" max="5" width="3.140625" style="127" customWidth="1"/>
    <col min="6" max="16384" width="9.140625" style="127"/>
  </cols>
  <sheetData>
    <row r="1" spans="1:11" ht="18">
      <c r="A1" s="125"/>
      <c r="B1" s="125"/>
      <c r="C1" s="126" t="s">
        <v>345</v>
      </c>
      <c r="D1" s="125"/>
      <c r="E1" s="125"/>
      <c r="F1" s="125"/>
      <c r="G1" s="125"/>
      <c r="H1" s="125"/>
      <c r="I1" s="125"/>
      <c r="J1" s="125"/>
      <c r="K1" s="125"/>
    </row>
    <row r="2" spans="1:11" ht="15.75" customHeight="1">
      <c r="A2" s="125"/>
      <c r="B2" s="125"/>
      <c r="C2" s="125" t="s">
        <v>29</v>
      </c>
      <c r="D2" s="125"/>
      <c r="E2" s="125"/>
      <c r="F2" s="125"/>
      <c r="G2" s="125"/>
      <c r="H2" s="125"/>
      <c r="I2" s="125"/>
      <c r="J2" s="125"/>
      <c r="K2" s="125"/>
    </row>
    <row r="3" spans="1:11" ht="15.75" customHeight="1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</row>
    <row r="4" spans="1:11" ht="15.75" customHeight="1">
      <c r="A4" s="125"/>
      <c r="B4" s="125"/>
      <c r="C4" s="128" t="s">
        <v>1</v>
      </c>
      <c r="D4" s="125"/>
      <c r="E4" s="125"/>
      <c r="F4" s="125"/>
      <c r="G4" s="125"/>
      <c r="H4" s="125"/>
      <c r="I4" s="125"/>
      <c r="J4" s="125"/>
      <c r="K4" s="125"/>
    </row>
    <row r="5" spans="1:11" ht="15.75" customHeight="1" thickBot="1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</row>
    <row r="6" spans="1:11" ht="15.75" customHeight="1">
      <c r="A6" s="125"/>
      <c r="B6" s="129"/>
      <c r="C6" s="130"/>
      <c r="D6" s="130"/>
      <c r="E6" s="131"/>
      <c r="F6" s="125"/>
      <c r="G6" s="125"/>
      <c r="H6" s="125"/>
      <c r="I6" s="125"/>
      <c r="J6" s="125"/>
      <c r="K6" s="125"/>
    </row>
    <row r="7" spans="1:11" ht="15.75" customHeight="1">
      <c r="A7" s="125"/>
      <c r="B7" s="132"/>
      <c r="C7" s="133" t="s">
        <v>26</v>
      </c>
      <c r="D7" s="21">
        <v>73</v>
      </c>
      <c r="E7" s="134"/>
      <c r="F7" s="125"/>
      <c r="G7" s="125"/>
      <c r="H7" s="125"/>
      <c r="I7" s="125"/>
      <c r="J7" s="125"/>
      <c r="K7" s="125"/>
    </row>
    <row r="8" spans="1:11" ht="15.75" customHeight="1">
      <c r="A8" s="125"/>
      <c r="B8" s="132"/>
      <c r="C8" s="133" t="s">
        <v>336</v>
      </c>
      <c r="D8" s="23">
        <v>0.15</v>
      </c>
      <c r="E8" s="134"/>
      <c r="F8" s="125"/>
      <c r="G8" s="125"/>
      <c r="H8" s="125"/>
      <c r="I8" s="125"/>
      <c r="J8" s="125"/>
      <c r="K8" s="125"/>
    </row>
    <row r="9" spans="1:11" ht="15.75" customHeight="1">
      <c r="A9" s="125"/>
      <c r="B9" s="132"/>
      <c r="C9" s="133" t="s">
        <v>8</v>
      </c>
      <c r="D9" s="21">
        <v>70</v>
      </c>
      <c r="E9" s="134"/>
      <c r="F9" s="125"/>
      <c r="G9" s="125"/>
      <c r="H9" s="125"/>
      <c r="I9" s="125"/>
      <c r="J9" s="125"/>
      <c r="K9" s="125"/>
    </row>
    <row r="10" spans="1:11" ht="15.75" customHeight="1">
      <c r="A10" s="125"/>
      <c r="B10" s="132"/>
      <c r="C10" s="133" t="s">
        <v>337</v>
      </c>
      <c r="D10" s="27">
        <v>1</v>
      </c>
      <c r="E10" s="134"/>
      <c r="F10" s="125"/>
      <c r="G10" s="125"/>
      <c r="H10" s="125"/>
      <c r="I10" s="125"/>
      <c r="J10" s="125"/>
      <c r="K10" s="125"/>
    </row>
    <row r="11" spans="1:11" ht="15.75" customHeight="1">
      <c r="A11" s="125"/>
      <c r="B11" s="132"/>
      <c r="C11" s="133" t="s">
        <v>7</v>
      </c>
      <c r="D11" s="23">
        <v>0.08</v>
      </c>
      <c r="E11" s="134"/>
      <c r="F11" s="125"/>
      <c r="G11" s="125"/>
      <c r="H11" s="125"/>
      <c r="I11" s="125"/>
      <c r="J11" s="125"/>
      <c r="K11" s="125"/>
    </row>
    <row r="12" spans="1:11" ht="15.75" customHeight="1" thickBot="1">
      <c r="A12" s="125"/>
      <c r="B12" s="135"/>
      <c r="C12" s="136"/>
      <c r="D12" s="136"/>
      <c r="E12" s="137"/>
      <c r="F12" s="125"/>
      <c r="G12" s="125"/>
      <c r="H12" s="125"/>
      <c r="I12" s="125"/>
      <c r="J12" s="125"/>
      <c r="K12" s="125"/>
    </row>
    <row r="13" spans="1:11" ht="15.75" customHeight="1">
      <c r="A13" s="125"/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 ht="15.75" customHeight="1">
      <c r="A14" s="125"/>
      <c r="B14" s="125"/>
      <c r="C14" s="128" t="s">
        <v>2</v>
      </c>
      <c r="D14" s="125"/>
      <c r="E14" s="125"/>
      <c r="F14" s="125"/>
      <c r="G14" s="125"/>
      <c r="H14" s="125"/>
      <c r="I14" s="125"/>
      <c r="J14" s="125"/>
      <c r="K14" s="125"/>
    </row>
    <row r="15" spans="1:11" ht="15.75" customHeight="1" thickBot="1">
      <c r="A15" s="125"/>
      <c r="B15" s="125"/>
      <c r="C15" s="125"/>
      <c r="D15" s="125"/>
      <c r="E15" s="125"/>
      <c r="F15" s="125"/>
      <c r="G15" s="125"/>
      <c r="H15" s="125"/>
      <c r="I15" s="125"/>
      <c r="J15" s="125"/>
      <c r="K15" s="125"/>
    </row>
    <row r="16" spans="1:11" ht="15.75" customHeight="1">
      <c r="A16" s="125"/>
      <c r="B16" s="138"/>
      <c r="C16" s="139"/>
      <c r="D16" s="139"/>
      <c r="E16" s="140"/>
      <c r="F16" s="125"/>
      <c r="G16" s="125"/>
      <c r="H16" s="125"/>
      <c r="I16" s="125"/>
      <c r="J16" s="125"/>
      <c r="K16" s="125"/>
    </row>
    <row r="17" spans="1:11" ht="15.75" customHeight="1">
      <c r="A17" s="125"/>
      <c r="B17" s="141"/>
      <c r="C17" s="142" t="s">
        <v>338</v>
      </c>
      <c r="D17" s="143">
        <f>D7*(1+D8)</f>
        <v>83.949999999999989</v>
      </c>
      <c r="E17" s="144"/>
      <c r="F17" s="125"/>
      <c r="G17" s="125"/>
      <c r="H17" s="125"/>
      <c r="I17" s="125"/>
      <c r="J17" s="125"/>
      <c r="K17" s="125"/>
    </row>
    <row r="18" spans="1:11" ht="15.75" customHeight="1">
      <c r="A18" s="125"/>
      <c r="B18" s="141"/>
      <c r="C18" s="142" t="s">
        <v>339</v>
      </c>
      <c r="D18" s="143">
        <f>D7*(1-D8)</f>
        <v>62.05</v>
      </c>
      <c r="E18" s="144"/>
      <c r="F18" s="125"/>
      <c r="G18" s="125"/>
      <c r="H18" s="125"/>
      <c r="I18" s="125"/>
      <c r="J18" s="125"/>
      <c r="K18" s="125"/>
    </row>
    <row r="19" spans="1:11" ht="15.75" customHeight="1">
      <c r="A19" s="125"/>
      <c r="B19" s="141"/>
      <c r="C19" s="142"/>
      <c r="D19" s="145"/>
      <c r="E19" s="144"/>
      <c r="F19" s="125"/>
      <c r="G19" s="125"/>
      <c r="H19" s="125"/>
      <c r="I19" s="125"/>
      <c r="J19" s="125"/>
      <c r="K19" s="125"/>
    </row>
    <row r="20" spans="1:11" ht="15.75" customHeight="1">
      <c r="A20" s="125"/>
      <c r="B20" s="141"/>
      <c r="C20" s="142" t="s">
        <v>340</v>
      </c>
      <c r="D20" s="143">
        <f>MAX(D17-D9,0)</f>
        <v>13.949999999999989</v>
      </c>
      <c r="E20" s="144"/>
      <c r="F20" s="125"/>
      <c r="G20" s="125"/>
      <c r="H20" s="125"/>
      <c r="I20" s="125"/>
      <c r="J20" s="125"/>
      <c r="K20" s="125"/>
    </row>
    <row r="21" spans="1:11" ht="15.75" customHeight="1">
      <c r="A21" s="125"/>
      <c r="B21" s="141"/>
      <c r="C21" s="142" t="s">
        <v>341</v>
      </c>
      <c r="D21" s="143">
        <f>MAX(D18-D9,0)</f>
        <v>0</v>
      </c>
      <c r="E21" s="144"/>
      <c r="F21" s="125"/>
      <c r="G21" s="125"/>
      <c r="H21" s="125"/>
      <c r="I21" s="125"/>
      <c r="J21" s="125"/>
      <c r="K21" s="125"/>
    </row>
    <row r="22" spans="1:11" ht="15.75" customHeight="1">
      <c r="A22" s="125"/>
      <c r="B22" s="141"/>
      <c r="C22" s="142"/>
      <c r="D22" s="71"/>
      <c r="E22" s="144"/>
      <c r="F22" s="125"/>
      <c r="G22" s="125"/>
      <c r="H22" s="125"/>
      <c r="I22" s="125"/>
      <c r="J22" s="125"/>
      <c r="K22" s="125"/>
    </row>
    <row r="23" spans="1:11" ht="15.75" customHeight="1">
      <c r="A23" s="125"/>
      <c r="B23" s="141"/>
      <c r="C23" s="142" t="s">
        <v>342</v>
      </c>
      <c r="D23" s="115">
        <f>(D11+D8)/(D8*2)</f>
        <v>0.76666666666666661</v>
      </c>
      <c r="E23" s="144"/>
      <c r="F23" s="125"/>
      <c r="G23" s="125"/>
      <c r="H23" s="125"/>
      <c r="I23" s="125"/>
      <c r="J23" s="125"/>
      <c r="K23" s="125"/>
    </row>
    <row r="24" spans="1:11" ht="15.75" customHeight="1">
      <c r="A24" s="125"/>
      <c r="B24" s="141"/>
      <c r="C24" s="142" t="s">
        <v>343</v>
      </c>
      <c r="D24" s="115">
        <f>1-D23</f>
        <v>0.23333333333333339</v>
      </c>
      <c r="E24" s="144"/>
      <c r="F24" s="125"/>
      <c r="G24" s="125"/>
      <c r="H24" s="125"/>
      <c r="I24" s="125"/>
      <c r="J24" s="125"/>
      <c r="K24" s="125"/>
    </row>
    <row r="25" spans="1:11" ht="15.75" customHeight="1">
      <c r="A25" s="125"/>
      <c r="B25" s="141"/>
      <c r="C25" s="142"/>
      <c r="D25" s="146"/>
      <c r="E25" s="144"/>
      <c r="F25" s="125"/>
      <c r="G25" s="125"/>
      <c r="H25" s="125"/>
      <c r="I25" s="125"/>
      <c r="J25" s="125"/>
      <c r="K25" s="125"/>
    </row>
    <row r="26" spans="1:11" ht="15.75" customHeight="1">
      <c r="A26" s="125"/>
      <c r="B26" s="141"/>
      <c r="C26" s="142" t="s">
        <v>344</v>
      </c>
      <c r="D26" s="147">
        <f>((D20*D23)+(D21*D24))/((1+D11)^D10)</f>
        <v>9.9027777777777679</v>
      </c>
      <c r="E26" s="144"/>
      <c r="F26" s="125"/>
      <c r="G26" s="125"/>
      <c r="H26" s="125"/>
      <c r="I26" s="125"/>
      <c r="J26" s="125"/>
      <c r="K26" s="125"/>
    </row>
    <row r="27" spans="1:11" ht="15.75" customHeight="1" thickBot="1">
      <c r="A27" s="125"/>
      <c r="B27" s="148"/>
      <c r="C27" s="149"/>
      <c r="D27" s="149"/>
      <c r="E27" s="150"/>
      <c r="F27" s="125"/>
      <c r="G27" s="125"/>
      <c r="H27" s="125"/>
      <c r="I27" s="125"/>
      <c r="J27" s="125"/>
      <c r="K27" s="125"/>
    </row>
    <row r="28" spans="1:11" ht="15.75" customHeight="1">
      <c r="A28" s="125"/>
      <c r="B28" s="125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1:11" ht="15.75" customHeight="1">
      <c r="A29" s="125"/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  <row r="30" spans="1:11" ht="15.75" customHeight="1">
      <c r="A30" s="125"/>
      <c r="B30" s="125"/>
      <c r="C30" s="125"/>
      <c r="D30" s="125"/>
      <c r="E30" s="125"/>
      <c r="F30" s="125"/>
      <c r="G30" s="125"/>
      <c r="H30" s="125"/>
      <c r="I30" s="125"/>
      <c r="J30" s="125"/>
      <c r="K30" s="125"/>
    </row>
    <row r="31" spans="1:11" ht="15.75" customHeight="1">
      <c r="A31" s="125"/>
      <c r="B31" s="125"/>
      <c r="C31" s="125"/>
      <c r="D31" s="125"/>
      <c r="E31" s="125"/>
      <c r="F31" s="125"/>
      <c r="G31" s="125"/>
      <c r="H31" s="125"/>
      <c r="I31" s="125"/>
      <c r="J31" s="125"/>
      <c r="K31" s="125"/>
    </row>
    <row r="32" spans="1:11" ht="15.75" customHeight="1">
      <c r="A32" s="125"/>
      <c r="B32" s="125"/>
      <c r="C32" s="125"/>
      <c r="D32" s="125"/>
      <c r="E32" s="125"/>
      <c r="F32" s="125"/>
      <c r="G32" s="125"/>
      <c r="H32" s="125"/>
      <c r="I32" s="125"/>
      <c r="J32" s="125"/>
      <c r="K32" s="125"/>
    </row>
    <row r="33" spans="1:11" ht="15.75" customHeight="1">
      <c r="A33" s="125"/>
      <c r="B33" s="125"/>
      <c r="C33" s="125"/>
      <c r="D33" s="125"/>
      <c r="E33" s="125"/>
      <c r="F33" s="125"/>
      <c r="G33" s="125"/>
      <c r="H33" s="125"/>
      <c r="I33" s="125"/>
      <c r="J33" s="125"/>
      <c r="K33" s="125"/>
    </row>
    <row r="34" spans="1:11" ht="15.75" customHeight="1">
      <c r="A34" s="125"/>
      <c r="B34" s="125"/>
      <c r="C34" s="125"/>
      <c r="D34" s="125"/>
      <c r="E34" s="125"/>
      <c r="F34" s="125"/>
      <c r="G34" s="125"/>
      <c r="H34" s="125"/>
      <c r="I34" s="125"/>
      <c r="J34" s="125"/>
      <c r="K34" s="125"/>
    </row>
    <row r="35" spans="1:11" ht="15.75" customHeight="1">
      <c r="A35" s="125"/>
      <c r="B35" s="125"/>
      <c r="C35" s="125"/>
      <c r="D35" s="125"/>
      <c r="E35" s="125"/>
      <c r="F35" s="125"/>
      <c r="G35" s="125"/>
      <c r="H35" s="125"/>
      <c r="I35" s="125"/>
      <c r="J35" s="125"/>
      <c r="K35" s="125"/>
    </row>
    <row r="36" spans="1:11" ht="15.75" customHeight="1">
      <c r="A36" s="125"/>
      <c r="B36" s="125"/>
      <c r="C36" s="125"/>
      <c r="D36" s="125"/>
      <c r="E36" s="125"/>
      <c r="F36" s="125"/>
      <c r="G36" s="125"/>
      <c r="H36" s="125"/>
      <c r="I36" s="125"/>
      <c r="J36" s="125"/>
      <c r="K36" s="125"/>
    </row>
    <row r="37" spans="1:11" ht="15.75" customHeight="1">
      <c r="A37" s="125"/>
      <c r="B37" s="125"/>
      <c r="C37" s="125"/>
      <c r="D37" s="125"/>
      <c r="E37" s="125"/>
      <c r="F37" s="125"/>
      <c r="G37" s="125"/>
      <c r="H37" s="125"/>
      <c r="I37" s="125"/>
      <c r="J37" s="125"/>
      <c r="K37" s="125"/>
    </row>
    <row r="38" spans="1:11" ht="15.75" customHeight="1">
      <c r="A38" s="125"/>
      <c r="B38" s="125"/>
      <c r="C38" s="125"/>
      <c r="D38" s="125"/>
      <c r="E38" s="125"/>
      <c r="F38" s="125"/>
      <c r="G38" s="125"/>
      <c r="H38" s="125"/>
      <c r="I38" s="125"/>
      <c r="J38" s="125"/>
      <c r="K38" s="125"/>
    </row>
    <row r="39" spans="1:11" ht="15.75" customHeight="1">
      <c r="A39" s="125"/>
      <c r="B39" s="125"/>
      <c r="C39" s="125"/>
      <c r="D39" s="125"/>
      <c r="E39" s="125"/>
      <c r="F39" s="125"/>
      <c r="G39" s="125"/>
      <c r="H39" s="125"/>
      <c r="I39" s="125"/>
      <c r="J39" s="125"/>
      <c r="K39" s="125"/>
    </row>
    <row r="40" spans="1:11" ht="15.75" customHeight="1">
      <c r="A40" s="125"/>
      <c r="B40" s="125"/>
      <c r="C40" s="125"/>
      <c r="D40" s="125"/>
      <c r="E40" s="125"/>
      <c r="F40" s="125"/>
      <c r="G40" s="125"/>
      <c r="H40" s="125"/>
      <c r="I40" s="125"/>
      <c r="J40" s="125"/>
      <c r="K40" s="125"/>
    </row>
    <row r="41" spans="1:11" ht="15.75" customHeight="1"/>
    <row r="42" spans="1:11" ht="15.75" customHeight="1"/>
    <row r="43" spans="1:11" ht="15.75" customHeight="1"/>
    <row r="44" spans="1:11" ht="15.75" customHeight="1"/>
    <row r="45" spans="1:11" ht="15.75" customHeight="1"/>
    <row r="46" spans="1:11" ht="15.75" customHeight="1"/>
    <row r="47" spans="1:11" ht="15.75" customHeight="1"/>
    <row r="48" spans="1:11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</sheetData>
  <phoneticPr fontId="26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K56"/>
  <sheetViews>
    <sheetView workbookViewId="0"/>
  </sheetViews>
  <sheetFormatPr defaultRowHeight="12.75"/>
  <cols>
    <col min="1" max="1" width="9.140625" style="127"/>
    <col min="2" max="2" width="3.140625" style="127" customWidth="1"/>
    <col min="3" max="3" width="32.5703125" style="127" bestFit="1" customWidth="1"/>
    <col min="4" max="4" width="18.140625" style="127" customWidth="1"/>
    <col min="5" max="5" width="3.140625" style="127" customWidth="1"/>
    <col min="6" max="16384" width="9.140625" style="127"/>
  </cols>
  <sheetData>
    <row r="1" spans="1:11" ht="18">
      <c r="A1" s="125"/>
      <c r="B1" s="125"/>
      <c r="C1" s="126" t="s">
        <v>345</v>
      </c>
      <c r="D1" s="125"/>
      <c r="E1" s="125"/>
      <c r="F1" s="125"/>
      <c r="G1" s="125"/>
      <c r="H1" s="125"/>
      <c r="I1" s="125"/>
      <c r="J1" s="125"/>
      <c r="K1" s="125"/>
    </row>
    <row r="2" spans="1:11" ht="15.75" customHeight="1">
      <c r="A2" s="125"/>
      <c r="B2" s="125"/>
      <c r="C2" s="125" t="s">
        <v>30</v>
      </c>
      <c r="D2" s="125"/>
      <c r="E2" s="125"/>
      <c r="F2" s="125"/>
      <c r="G2" s="125"/>
      <c r="H2" s="125"/>
      <c r="I2" s="125"/>
      <c r="J2" s="125"/>
      <c r="K2" s="125"/>
    </row>
    <row r="3" spans="1:11" ht="15.75" customHeight="1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</row>
    <row r="4" spans="1:11" ht="15.75" customHeight="1">
      <c r="A4" s="125"/>
      <c r="B4" s="125"/>
      <c r="C4" s="128" t="s">
        <v>1</v>
      </c>
      <c r="D4" s="125"/>
      <c r="E4" s="125"/>
      <c r="F4" s="125"/>
      <c r="G4" s="125"/>
      <c r="H4" s="125"/>
      <c r="I4" s="125"/>
      <c r="J4" s="125"/>
      <c r="K4" s="125"/>
    </row>
    <row r="5" spans="1:11" ht="15.75" customHeight="1" thickBot="1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</row>
    <row r="6" spans="1:11" ht="15.75" customHeight="1">
      <c r="A6" s="125"/>
      <c r="B6" s="129"/>
      <c r="C6" s="130"/>
      <c r="D6" s="130"/>
      <c r="E6" s="131"/>
      <c r="F6" s="125"/>
      <c r="G6" s="125"/>
      <c r="H6" s="125"/>
      <c r="I6" s="125"/>
      <c r="J6" s="125"/>
      <c r="K6" s="125"/>
    </row>
    <row r="7" spans="1:11" ht="15.75" customHeight="1">
      <c r="A7" s="125"/>
      <c r="B7" s="132"/>
      <c r="C7" s="133" t="s">
        <v>26</v>
      </c>
      <c r="D7" s="65">
        <f ca="1">'#16'!D7</f>
        <v>73</v>
      </c>
      <c r="E7" s="134"/>
      <c r="F7" s="125"/>
      <c r="G7" s="125"/>
      <c r="H7" s="125"/>
      <c r="I7" s="125"/>
      <c r="J7" s="125"/>
      <c r="K7" s="125"/>
    </row>
    <row r="8" spans="1:11" ht="15.75" customHeight="1">
      <c r="A8" s="125"/>
      <c r="B8" s="132"/>
      <c r="C8" s="133" t="s">
        <v>8</v>
      </c>
      <c r="D8" s="65">
        <f ca="1">'#16'!D9</f>
        <v>70</v>
      </c>
      <c r="E8" s="134"/>
      <c r="F8" s="125"/>
      <c r="G8" s="125"/>
      <c r="H8" s="125"/>
      <c r="I8" s="125"/>
      <c r="J8" s="125"/>
      <c r="K8" s="125"/>
    </row>
    <row r="9" spans="1:11" ht="15.75" customHeight="1">
      <c r="A9" s="125"/>
      <c r="B9" s="132"/>
      <c r="C9" s="133" t="s">
        <v>336</v>
      </c>
      <c r="D9" s="66">
        <f ca="1">'#16'!D8</f>
        <v>0.15</v>
      </c>
      <c r="E9" s="134"/>
      <c r="F9" s="125"/>
      <c r="G9" s="125"/>
      <c r="H9" s="125"/>
      <c r="I9" s="125"/>
      <c r="J9" s="125"/>
      <c r="K9" s="125"/>
    </row>
    <row r="10" spans="1:11" ht="15.75" customHeight="1">
      <c r="A10" s="125"/>
      <c r="B10" s="132"/>
      <c r="C10" s="133" t="s">
        <v>337</v>
      </c>
      <c r="D10" s="123">
        <f ca="1">'#16'!D10</f>
        <v>1</v>
      </c>
      <c r="E10" s="134"/>
      <c r="F10" s="125"/>
      <c r="G10" s="125"/>
      <c r="H10" s="125"/>
      <c r="I10" s="125"/>
      <c r="J10" s="125"/>
      <c r="K10" s="125"/>
    </row>
    <row r="11" spans="1:11" ht="15.75" customHeight="1">
      <c r="A11" s="125"/>
      <c r="B11" s="132"/>
      <c r="C11" s="133" t="s">
        <v>7</v>
      </c>
      <c r="D11" s="23">
        <v>0.05</v>
      </c>
      <c r="E11" s="134"/>
      <c r="F11" s="125"/>
      <c r="G11" s="125"/>
      <c r="H11" s="125"/>
      <c r="I11" s="125"/>
      <c r="J11" s="125"/>
      <c r="K11" s="125"/>
    </row>
    <row r="12" spans="1:11" ht="15.75" customHeight="1" thickBot="1">
      <c r="A12" s="125"/>
      <c r="B12" s="135"/>
      <c r="C12" s="136"/>
      <c r="D12" s="136"/>
      <c r="E12" s="137"/>
      <c r="F12" s="125"/>
      <c r="G12" s="125"/>
      <c r="H12" s="125"/>
      <c r="I12" s="125"/>
      <c r="J12" s="125"/>
      <c r="K12" s="125"/>
    </row>
    <row r="13" spans="1:11" ht="15.75" customHeight="1">
      <c r="A13" s="125"/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 ht="15.75" customHeight="1">
      <c r="A14" s="125"/>
      <c r="B14" s="125"/>
      <c r="C14" s="128" t="s">
        <v>2</v>
      </c>
      <c r="D14" s="125"/>
      <c r="E14" s="125"/>
      <c r="F14" s="125"/>
      <c r="G14" s="125"/>
      <c r="H14" s="125"/>
      <c r="I14" s="125"/>
      <c r="J14" s="125"/>
      <c r="K14" s="125"/>
    </row>
    <row r="15" spans="1:11" ht="15.75" customHeight="1" thickBot="1">
      <c r="A15" s="125"/>
      <c r="B15" s="125"/>
      <c r="C15" s="125"/>
      <c r="D15" s="125"/>
      <c r="E15" s="125"/>
      <c r="F15" s="125"/>
      <c r="G15" s="125"/>
      <c r="H15" s="125"/>
      <c r="I15" s="125"/>
      <c r="J15" s="125"/>
      <c r="K15" s="125"/>
    </row>
    <row r="16" spans="1:11" ht="15.75" customHeight="1">
      <c r="A16" s="125"/>
      <c r="B16" s="138"/>
      <c r="C16" s="139"/>
      <c r="D16" s="139"/>
      <c r="E16" s="140"/>
      <c r="F16" s="125"/>
      <c r="G16" s="125"/>
      <c r="H16" s="125"/>
      <c r="I16" s="125"/>
      <c r="J16" s="125"/>
      <c r="K16" s="125"/>
    </row>
    <row r="17" spans="1:11" ht="15.75" customHeight="1">
      <c r="A17" s="125"/>
      <c r="B17" s="141"/>
      <c r="C17" s="142" t="s">
        <v>338</v>
      </c>
      <c r="D17" s="143">
        <f>D7*(1+D9)</f>
        <v>83.949999999999989</v>
      </c>
      <c r="E17" s="144"/>
      <c r="F17" s="125"/>
      <c r="G17" s="125"/>
      <c r="H17" s="125"/>
      <c r="I17" s="125"/>
      <c r="J17" s="125"/>
      <c r="K17" s="125"/>
    </row>
    <row r="18" spans="1:11" ht="15.75" customHeight="1">
      <c r="A18" s="125"/>
      <c r="B18" s="141"/>
      <c r="C18" s="142" t="s">
        <v>339</v>
      </c>
      <c r="D18" s="143">
        <f>D7*(1-D9)</f>
        <v>62.05</v>
      </c>
      <c r="E18" s="144"/>
      <c r="F18" s="125"/>
      <c r="G18" s="125"/>
      <c r="H18" s="125"/>
      <c r="I18" s="125"/>
      <c r="J18" s="125"/>
      <c r="K18" s="125"/>
    </row>
    <row r="19" spans="1:11" ht="15.75" customHeight="1">
      <c r="A19" s="125"/>
      <c r="B19" s="141"/>
      <c r="C19" s="142"/>
      <c r="D19" s="145"/>
      <c r="E19" s="144"/>
      <c r="F19" s="125"/>
      <c r="G19" s="125"/>
      <c r="H19" s="125"/>
      <c r="I19" s="125"/>
      <c r="J19" s="125"/>
      <c r="K19" s="125"/>
    </row>
    <row r="20" spans="1:11" ht="15.75" customHeight="1">
      <c r="A20" s="125"/>
      <c r="B20" s="141"/>
      <c r="C20" s="142" t="s">
        <v>340</v>
      </c>
      <c r="D20" s="143">
        <f>MAX(D17-D8,0)</f>
        <v>13.949999999999989</v>
      </c>
      <c r="E20" s="144"/>
      <c r="F20" s="125"/>
      <c r="G20" s="125"/>
      <c r="H20" s="125"/>
      <c r="I20" s="125"/>
      <c r="J20" s="125"/>
      <c r="K20" s="125"/>
    </row>
    <row r="21" spans="1:11" ht="15.75" customHeight="1">
      <c r="A21" s="125"/>
      <c r="B21" s="141"/>
      <c r="C21" s="142" t="s">
        <v>341</v>
      </c>
      <c r="D21" s="143">
        <f>MAX(D18-D8,0)</f>
        <v>0</v>
      </c>
      <c r="E21" s="144"/>
      <c r="F21" s="125"/>
      <c r="G21" s="125"/>
      <c r="H21" s="125"/>
      <c r="I21" s="125"/>
      <c r="J21" s="125"/>
      <c r="K21" s="125"/>
    </row>
    <row r="22" spans="1:11" ht="15.75" customHeight="1">
      <c r="A22" s="125"/>
      <c r="B22" s="141"/>
      <c r="C22" s="142"/>
      <c r="D22" s="71"/>
      <c r="E22" s="144"/>
      <c r="F22" s="125"/>
      <c r="G22" s="125"/>
      <c r="H22" s="125"/>
      <c r="I22" s="125"/>
      <c r="J22" s="125"/>
      <c r="K22" s="125"/>
    </row>
    <row r="23" spans="1:11" ht="15.75" customHeight="1">
      <c r="A23" s="125"/>
      <c r="B23" s="141"/>
      <c r="C23" s="142" t="s">
        <v>342</v>
      </c>
      <c r="D23" s="115">
        <f>(D11+D9)/(D9*2)</f>
        <v>0.66666666666666674</v>
      </c>
      <c r="E23" s="144"/>
      <c r="F23" s="125"/>
      <c r="G23" s="125"/>
      <c r="H23" s="125"/>
      <c r="I23" s="125"/>
      <c r="J23" s="125"/>
      <c r="K23" s="125"/>
    </row>
    <row r="24" spans="1:11" ht="15.75" customHeight="1">
      <c r="A24" s="125"/>
      <c r="B24" s="141"/>
      <c r="C24" s="142" t="s">
        <v>343</v>
      </c>
      <c r="D24" s="115">
        <f>1-D23</f>
        <v>0.33333333333333326</v>
      </c>
      <c r="E24" s="144"/>
      <c r="F24" s="125"/>
      <c r="G24" s="125"/>
      <c r="H24" s="125"/>
      <c r="I24" s="125"/>
      <c r="J24" s="125"/>
      <c r="K24" s="125"/>
    </row>
    <row r="25" spans="1:11" ht="15.75" customHeight="1">
      <c r="A25" s="125"/>
      <c r="B25" s="141"/>
      <c r="C25" s="142"/>
      <c r="D25" s="146"/>
      <c r="E25" s="144"/>
      <c r="F25" s="125"/>
      <c r="G25" s="125"/>
      <c r="H25" s="125"/>
      <c r="I25" s="125"/>
      <c r="J25" s="125"/>
      <c r="K25" s="125"/>
    </row>
    <row r="26" spans="1:11" ht="15.75" customHeight="1">
      <c r="A26" s="125"/>
      <c r="B26" s="141"/>
      <c r="C26" s="142" t="s">
        <v>344</v>
      </c>
      <c r="D26" s="147">
        <f>((D20*D23)+(D21*D24))/((1+D11)^D10)</f>
        <v>8.8571428571428505</v>
      </c>
      <c r="E26" s="144"/>
      <c r="F26" s="125"/>
      <c r="G26" s="125"/>
      <c r="H26" s="125"/>
      <c r="I26" s="125"/>
      <c r="J26" s="125"/>
      <c r="K26" s="125"/>
    </row>
    <row r="27" spans="1:11" ht="15.75" customHeight="1" thickBot="1">
      <c r="A27" s="125"/>
      <c r="B27" s="148"/>
      <c r="C27" s="149"/>
      <c r="D27" s="149"/>
      <c r="E27" s="150"/>
      <c r="F27" s="125"/>
      <c r="G27" s="125"/>
      <c r="H27" s="125"/>
      <c r="I27" s="125"/>
      <c r="J27" s="125"/>
      <c r="K27" s="125"/>
    </row>
    <row r="28" spans="1:11" ht="15.75" customHeight="1">
      <c r="A28" s="125"/>
      <c r="B28" s="125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1:11" ht="15.75" customHeight="1">
      <c r="A29" s="125"/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  <row r="30" spans="1:11" ht="15.75" customHeight="1">
      <c r="A30" s="125"/>
      <c r="B30" s="125"/>
      <c r="C30" s="125"/>
      <c r="D30" s="125"/>
      <c r="E30" s="125"/>
      <c r="F30" s="125"/>
      <c r="G30" s="125"/>
      <c r="H30" s="125"/>
      <c r="I30" s="125"/>
      <c r="J30" s="125"/>
      <c r="K30" s="125"/>
    </row>
    <row r="31" spans="1:11" ht="15.75" customHeight="1">
      <c r="A31" s="125"/>
      <c r="B31" s="125"/>
      <c r="C31" s="125"/>
      <c r="D31" s="125"/>
      <c r="E31" s="125"/>
      <c r="F31" s="125"/>
      <c r="G31" s="125"/>
      <c r="H31" s="125"/>
      <c r="I31" s="125"/>
      <c r="J31" s="125"/>
      <c r="K31" s="125"/>
    </row>
    <row r="32" spans="1:11" ht="15.75" customHeight="1">
      <c r="A32" s="125"/>
      <c r="B32" s="125"/>
      <c r="C32" s="125"/>
      <c r="D32" s="125"/>
      <c r="E32" s="125"/>
      <c r="F32" s="125"/>
      <c r="G32" s="125"/>
      <c r="H32" s="125"/>
      <c r="I32" s="125"/>
      <c r="J32" s="125"/>
      <c r="K32" s="125"/>
    </row>
    <row r="33" spans="1:11" ht="15.75" customHeight="1">
      <c r="A33" s="125"/>
      <c r="B33" s="125"/>
      <c r="C33" s="125"/>
      <c r="D33" s="125"/>
      <c r="E33" s="125"/>
      <c r="F33" s="125"/>
      <c r="G33" s="125"/>
      <c r="H33" s="125"/>
      <c r="I33" s="125"/>
      <c r="J33" s="125"/>
      <c r="K33" s="125"/>
    </row>
    <row r="34" spans="1:11" ht="15.75" customHeight="1">
      <c r="A34" s="125"/>
      <c r="B34" s="125"/>
      <c r="C34" s="125"/>
      <c r="D34" s="125"/>
      <c r="E34" s="125"/>
      <c r="F34" s="125"/>
      <c r="G34" s="125"/>
      <c r="H34" s="125"/>
      <c r="I34" s="125"/>
      <c r="J34" s="125"/>
      <c r="K34" s="125"/>
    </row>
    <row r="35" spans="1:11" ht="15.75" customHeight="1">
      <c r="A35" s="125"/>
      <c r="B35" s="125"/>
      <c r="C35" s="125"/>
      <c r="D35" s="125"/>
      <c r="E35" s="125"/>
      <c r="F35" s="125"/>
      <c r="G35" s="125"/>
      <c r="H35" s="125"/>
      <c r="I35" s="125"/>
      <c r="J35" s="125"/>
      <c r="K35" s="125"/>
    </row>
    <row r="36" spans="1:11" ht="15.75" customHeight="1">
      <c r="A36" s="125"/>
      <c r="B36" s="125"/>
      <c r="C36" s="125"/>
      <c r="D36" s="125"/>
      <c r="E36" s="125"/>
      <c r="F36" s="125"/>
      <c r="G36" s="125"/>
      <c r="H36" s="125"/>
      <c r="I36" s="125"/>
      <c r="J36" s="125"/>
      <c r="K36" s="125"/>
    </row>
    <row r="37" spans="1:11" ht="15.75" customHeight="1">
      <c r="A37" s="125"/>
      <c r="B37" s="125"/>
      <c r="C37" s="125"/>
      <c r="D37" s="125"/>
      <c r="E37" s="125"/>
      <c r="F37" s="125"/>
      <c r="G37" s="125"/>
      <c r="H37" s="125"/>
      <c r="I37" s="125"/>
      <c r="J37" s="125"/>
      <c r="K37" s="125"/>
    </row>
    <row r="38" spans="1:11" ht="15.75" customHeight="1">
      <c r="A38" s="125"/>
      <c r="B38" s="125"/>
      <c r="C38" s="125"/>
      <c r="D38" s="125"/>
      <c r="E38" s="125"/>
      <c r="F38" s="125"/>
      <c r="G38" s="125"/>
      <c r="H38" s="125"/>
      <c r="I38" s="125"/>
      <c r="J38" s="125"/>
      <c r="K38" s="125"/>
    </row>
    <row r="39" spans="1:11" ht="15.75" customHeight="1">
      <c r="A39" s="125"/>
      <c r="B39" s="125"/>
      <c r="C39" s="125"/>
      <c r="D39" s="125"/>
      <c r="E39" s="125"/>
      <c r="F39" s="125"/>
      <c r="G39" s="125"/>
      <c r="H39" s="125"/>
      <c r="I39" s="125"/>
      <c r="J39" s="125"/>
      <c r="K39" s="125"/>
    </row>
    <row r="40" spans="1:11" ht="15.75" customHeight="1">
      <c r="A40" s="125"/>
      <c r="B40" s="125"/>
      <c r="C40" s="125"/>
      <c r="D40" s="125"/>
      <c r="E40" s="125"/>
      <c r="F40" s="125"/>
      <c r="G40" s="125"/>
      <c r="H40" s="125"/>
      <c r="I40" s="125"/>
      <c r="J40" s="125"/>
      <c r="K40" s="125"/>
    </row>
    <row r="41" spans="1:11" ht="15.75" customHeight="1"/>
    <row r="42" spans="1:11" ht="15.75" customHeight="1"/>
    <row r="43" spans="1:11" ht="15.75" customHeight="1"/>
    <row r="44" spans="1:11" ht="15.75" customHeight="1"/>
    <row r="45" spans="1:11" ht="15.75" customHeight="1"/>
    <row r="46" spans="1:11" ht="15.75" customHeight="1"/>
    <row r="47" spans="1:11" ht="15.75" customHeight="1"/>
    <row r="48" spans="1:11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</sheetData>
  <phoneticPr fontId="26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7"/>
  <dimension ref="A1:K43"/>
  <sheetViews>
    <sheetView workbookViewId="0"/>
  </sheetViews>
  <sheetFormatPr defaultRowHeight="12.75"/>
  <cols>
    <col min="2" max="2" width="3.140625" customWidth="1"/>
    <col min="3" max="3" width="20.42578125" customWidth="1"/>
    <col min="4" max="4" width="18.1406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31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10</v>
      </c>
      <c r="D7" s="27">
        <v>6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26</v>
      </c>
      <c r="D8" s="21">
        <v>75</v>
      </c>
      <c r="E8" s="8"/>
      <c r="F8" s="1"/>
      <c r="G8" s="1"/>
      <c r="H8" s="1"/>
      <c r="I8" s="1"/>
      <c r="J8" s="1"/>
      <c r="K8" s="1"/>
    </row>
    <row r="9" spans="1:11" ht="15">
      <c r="A9" s="1"/>
      <c r="B9" s="6"/>
      <c r="C9" s="7" t="s">
        <v>16</v>
      </c>
      <c r="D9" s="23">
        <v>0.3</v>
      </c>
      <c r="E9" s="8"/>
      <c r="F9" s="1"/>
      <c r="G9" s="1"/>
      <c r="H9" s="1"/>
      <c r="I9" s="1"/>
      <c r="J9" s="1"/>
      <c r="K9" s="1"/>
    </row>
    <row r="10" spans="1:11" ht="15">
      <c r="A10" s="1"/>
      <c r="B10" s="6"/>
      <c r="C10" s="7" t="s">
        <v>7</v>
      </c>
      <c r="D10" s="23">
        <v>0.04</v>
      </c>
      <c r="E10" s="8"/>
      <c r="F10" s="1"/>
      <c r="G10" s="1"/>
      <c r="H10" s="1"/>
      <c r="I10" s="1"/>
      <c r="J10" s="1"/>
      <c r="K10" s="1"/>
    </row>
    <row r="11" spans="1:11" ht="15">
      <c r="A11" s="1"/>
      <c r="B11" s="6"/>
      <c r="C11" s="7" t="s">
        <v>8</v>
      </c>
      <c r="D11" s="21">
        <v>0</v>
      </c>
      <c r="E11" s="8"/>
      <c r="F11" s="1"/>
      <c r="G11" s="1"/>
      <c r="H11" s="1"/>
      <c r="I11" s="1"/>
      <c r="J11" s="1"/>
      <c r="K11" s="1"/>
    </row>
    <row r="12" spans="1:11" ht="15.75" thickBot="1">
      <c r="A12" s="1"/>
      <c r="B12" s="9"/>
      <c r="C12" s="10"/>
      <c r="D12" s="10"/>
      <c r="E12" s="11"/>
      <c r="F12" s="1"/>
      <c r="G12" s="1"/>
      <c r="H12" s="1"/>
      <c r="I12" s="1"/>
      <c r="J12" s="1"/>
      <c r="K12" s="1"/>
    </row>
    <row r="13" spans="1:11" ht="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">
      <c r="A14" s="1"/>
      <c r="B14" s="1"/>
      <c r="C14" s="2" t="s">
        <v>2</v>
      </c>
      <c r="D14" s="1"/>
      <c r="E14" s="1"/>
      <c r="F14" s="1"/>
      <c r="G14" s="1"/>
      <c r="H14" s="1"/>
      <c r="I14" s="1"/>
      <c r="J14" s="1"/>
      <c r="K14" s="1"/>
    </row>
    <row r="15" spans="1:11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">
      <c r="A16" s="1"/>
      <c r="B16" s="12"/>
      <c r="C16" s="13"/>
      <c r="D16" s="13"/>
      <c r="E16" s="14"/>
      <c r="F16" s="1"/>
      <c r="G16" s="1"/>
      <c r="H16" s="1"/>
      <c r="I16" s="1"/>
      <c r="J16" s="1"/>
      <c r="K16" s="1"/>
    </row>
    <row r="17" spans="1:11" ht="19.5">
      <c r="A17" s="1"/>
      <c r="B17" s="74"/>
      <c r="C17" s="16" t="s">
        <v>177</v>
      </c>
      <c r="D17" s="58" t="e">
        <f>((((LN($D$8/$D$11))+(($D$10+(POWER($D$9,2)/2))*($D$7/12))))/($D$9*SQRT(($D$7/12))))</f>
        <v>#DIV/0!</v>
      </c>
      <c r="E17" s="17"/>
      <c r="F17" s="1"/>
      <c r="G17" s="1"/>
      <c r="H17" s="1"/>
      <c r="I17" s="1"/>
      <c r="J17" s="1"/>
      <c r="K17" s="1"/>
    </row>
    <row r="18" spans="1:11" ht="19.5">
      <c r="A18" s="1"/>
      <c r="B18" s="74"/>
      <c r="C18" s="16" t="s">
        <v>178</v>
      </c>
      <c r="D18" s="59" t="e">
        <f>$D$17-$D$9*SQRT($D$7/12)</f>
        <v>#DIV/0!</v>
      </c>
      <c r="E18" s="17"/>
      <c r="F18" s="1"/>
      <c r="G18" s="1"/>
      <c r="H18" s="1"/>
      <c r="I18" s="1"/>
      <c r="J18" s="1"/>
      <c r="K18" s="1"/>
    </row>
    <row r="19" spans="1:11" ht="19.5">
      <c r="A19" s="1"/>
      <c r="B19" s="74"/>
      <c r="C19" s="16" t="s">
        <v>179</v>
      </c>
      <c r="D19" s="60" t="e">
        <f>NORMSDIST(D17)</f>
        <v>#DIV/0!</v>
      </c>
      <c r="E19" s="17"/>
      <c r="F19" s="1"/>
      <c r="G19" s="1"/>
      <c r="H19" s="1"/>
      <c r="I19" s="1"/>
      <c r="J19" s="1"/>
      <c r="K19" s="1"/>
    </row>
    <row r="20" spans="1:11" ht="19.5">
      <c r="A20" s="1"/>
      <c r="B20" s="74"/>
      <c r="C20" s="16" t="s">
        <v>180</v>
      </c>
      <c r="D20" s="60" t="e">
        <f>NORMSDIST(D18)</f>
        <v>#DIV/0!</v>
      </c>
      <c r="E20" s="17"/>
      <c r="F20" s="1"/>
      <c r="G20" s="1"/>
      <c r="H20" s="1"/>
      <c r="I20" s="1"/>
      <c r="J20" s="1"/>
      <c r="K20" s="1"/>
    </row>
    <row r="21" spans="1:11" ht="15">
      <c r="A21" s="1"/>
      <c r="B21" s="74"/>
      <c r="C21" s="16"/>
      <c r="D21" s="34"/>
      <c r="E21" s="17"/>
      <c r="F21" s="1"/>
      <c r="G21" s="1"/>
      <c r="H21" s="1"/>
      <c r="I21" s="1"/>
      <c r="J21" s="1"/>
      <c r="K21" s="1"/>
    </row>
    <row r="22" spans="1:11" ht="15">
      <c r="A22" s="1"/>
      <c r="B22" s="74"/>
      <c r="C22" s="16" t="s">
        <v>190</v>
      </c>
      <c r="D22" s="71" t="e">
        <f>($D$8*$D$19)-(($D$11*EXP(-$D$10*($D$7/12))*$D$20))</f>
        <v>#DIV/0!</v>
      </c>
      <c r="E22" s="17"/>
      <c r="F22" s="1"/>
      <c r="G22" s="1"/>
      <c r="H22" s="1"/>
      <c r="I22" s="1"/>
      <c r="J22" s="1"/>
      <c r="K22" s="1"/>
    </row>
    <row r="23" spans="1:11" ht="15">
      <c r="A23" s="1"/>
      <c r="B23" s="74"/>
      <c r="C23" s="16"/>
      <c r="D23" s="34"/>
      <c r="E23" s="17"/>
      <c r="F23" s="1"/>
      <c r="G23" s="1"/>
      <c r="H23" s="1"/>
      <c r="I23" s="1"/>
      <c r="J23" s="1"/>
      <c r="K23" s="1"/>
    </row>
    <row r="24" spans="1:11" ht="15">
      <c r="A24" s="1"/>
      <c r="B24" s="74"/>
      <c r="C24" s="16" t="s">
        <v>61</v>
      </c>
      <c r="D24" s="69">
        <f>MAX(D8-D11,0)</f>
        <v>75</v>
      </c>
      <c r="E24" s="17"/>
      <c r="F24" s="1"/>
      <c r="G24" s="1"/>
      <c r="H24" s="1"/>
      <c r="I24" s="1"/>
      <c r="J24" s="1"/>
      <c r="K24" s="1"/>
    </row>
    <row r="25" spans="1:11" ht="15.75">
      <c r="A25" s="1"/>
      <c r="B25" s="74"/>
      <c r="C25" s="16"/>
      <c r="D25" s="72"/>
      <c r="E25" s="17"/>
      <c r="F25" s="1"/>
      <c r="G25" s="1"/>
      <c r="H25" s="1"/>
      <c r="I25" s="1"/>
      <c r="J25" s="1"/>
      <c r="K25" s="1"/>
    </row>
    <row r="26" spans="1:11" ht="15.75">
      <c r="A26" s="1"/>
      <c r="B26" s="74"/>
      <c r="C26" s="16" t="s">
        <v>176</v>
      </c>
      <c r="D26" s="38">
        <f>D24</f>
        <v>75</v>
      </c>
      <c r="E26" s="17"/>
      <c r="F26" s="1"/>
      <c r="G26" s="1"/>
      <c r="H26" s="1"/>
      <c r="I26" s="1"/>
      <c r="J26" s="1"/>
      <c r="K26" s="1"/>
    </row>
    <row r="27" spans="1:11" ht="15">
      <c r="A27" s="1"/>
      <c r="B27" s="74"/>
      <c r="C27" s="16"/>
      <c r="D27" s="34"/>
      <c r="E27" s="17"/>
      <c r="F27" s="1"/>
      <c r="G27" s="1"/>
      <c r="H27" s="1"/>
      <c r="I27" s="1"/>
      <c r="J27" s="1"/>
      <c r="K27" s="1"/>
    </row>
    <row r="28" spans="1:11" ht="15">
      <c r="A28" s="1"/>
      <c r="B28" s="74"/>
      <c r="C28" s="16" t="s">
        <v>191</v>
      </c>
      <c r="D28" s="16"/>
      <c r="E28" s="17"/>
      <c r="F28" s="1"/>
      <c r="G28" s="1"/>
      <c r="H28" s="1"/>
      <c r="I28" s="1"/>
      <c r="J28" s="1"/>
      <c r="K28" s="1"/>
    </row>
    <row r="29" spans="1:11" ht="15">
      <c r="A29" s="1"/>
      <c r="B29" s="74"/>
      <c r="C29" s="16" t="s">
        <v>192</v>
      </c>
      <c r="D29" s="16"/>
      <c r="E29" s="17"/>
      <c r="F29" s="1"/>
      <c r="G29" s="1"/>
      <c r="H29" s="1"/>
      <c r="I29" s="1"/>
      <c r="J29" s="1"/>
      <c r="K29" s="1"/>
    </row>
    <row r="30" spans="1:11" ht="15.75" thickBot="1">
      <c r="A30" s="1"/>
      <c r="B30" s="18"/>
      <c r="C30" s="19"/>
      <c r="D30" s="19"/>
      <c r="E30" s="20"/>
      <c r="F30" s="1"/>
      <c r="G30" s="1"/>
      <c r="H30" s="1"/>
      <c r="I30" s="1"/>
      <c r="J30" s="1"/>
      <c r="K30" s="1"/>
    </row>
    <row r="31" spans="1:11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  <ignoredErrors>
    <ignoredError sqref="D17:D20 D22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J160"/>
  <sheetViews>
    <sheetView workbookViewId="0"/>
  </sheetViews>
  <sheetFormatPr defaultRowHeight="12.75"/>
  <cols>
    <col min="2" max="2" width="3.140625" customWidth="1"/>
    <col min="3" max="3" width="24.28515625" bestFit="1" customWidth="1"/>
    <col min="4" max="4" width="18.140625" customWidth="1"/>
    <col min="5" max="5" width="3.140625" customWidth="1"/>
  </cols>
  <sheetData>
    <row r="1" spans="1:10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</row>
    <row r="2" spans="1:10" ht="15.75" customHeight="1">
      <c r="A2" s="1"/>
      <c r="B2" s="1"/>
      <c r="C2" s="1" t="s">
        <v>0</v>
      </c>
      <c r="D2" s="1"/>
      <c r="E2" s="1"/>
      <c r="F2" s="1"/>
      <c r="G2" s="1"/>
      <c r="H2" s="1"/>
      <c r="I2" s="1"/>
      <c r="J2" s="1"/>
    </row>
    <row r="3" spans="1:10" ht="15.7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3"/>
      <c r="C6" s="4"/>
      <c r="D6" s="81"/>
      <c r="E6" s="5"/>
      <c r="F6" s="1"/>
      <c r="G6" s="1"/>
      <c r="H6" s="1"/>
      <c r="I6" s="1"/>
      <c r="J6" s="1"/>
    </row>
    <row r="7" spans="1:10" ht="15.75" customHeight="1">
      <c r="A7" s="1"/>
      <c r="B7" s="6"/>
      <c r="C7" s="7" t="s">
        <v>229</v>
      </c>
      <c r="D7" s="25">
        <v>4.8000000000000001E-2</v>
      </c>
      <c r="E7" s="8"/>
      <c r="F7" s="1"/>
      <c r="G7" s="1"/>
      <c r="H7" s="1"/>
      <c r="I7" s="1"/>
      <c r="J7" s="1"/>
    </row>
    <row r="8" spans="1:10" ht="15.75" customHeight="1">
      <c r="A8" s="1"/>
      <c r="B8" s="6"/>
      <c r="C8" s="7" t="s">
        <v>230</v>
      </c>
      <c r="D8" s="21">
        <v>63</v>
      </c>
      <c r="E8" s="8"/>
      <c r="F8" s="1"/>
      <c r="G8" s="1"/>
      <c r="H8" s="1"/>
      <c r="I8" s="1"/>
      <c r="J8" s="1"/>
    </row>
    <row r="9" spans="1:10" ht="15.75" customHeight="1">
      <c r="A9" s="1"/>
      <c r="B9" s="6"/>
      <c r="C9" s="7" t="s">
        <v>231</v>
      </c>
      <c r="D9" s="21">
        <v>61</v>
      </c>
      <c r="E9" s="8"/>
      <c r="F9" s="1"/>
      <c r="G9" s="1"/>
      <c r="H9" s="1"/>
      <c r="I9" s="1"/>
      <c r="J9" s="1"/>
    </row>
    <row r="10" spans="1:10" ht="15.75" customHeight="1">
      <c r="A10" s="1"/>
      <c r="B10" s="82" t="s">
        <v>187</v>
      </c>
      <c r="C10" s="7" t="s">
        <v>232</v>
      </c>
      <c r="D10" s="21">
        <v>60</v>
      </c>
      <c r="E10" s="8"/>
      <c r="F10" s="1"/>
      <c r="G10" s="1"/>
      <c r="H10" s="1"/>
      <c r="I10" s="1"/>
      <c r="J10" s="1"/>
    </row>
    <row r="11" spans="1:10" ht="15.75" customHeight="1">
      <c r="A11" s="1"/>
      <c r="B11" s="82" t="s">
        <v>188</v>
      </c>
      <c r="C11" s="7" t="s">
        <v>232</v>
      </c>
      <c r="D11" s="21">
        <v>50</v>
      </c>
      <c r="E11" s="8"/>
      <c r="F11" s="1"/>
      <c r="G11" s="1"/>
      <c r="H11" s="1"/>
      <c r="I11" s="1"/>
      <c r="J11" s="1"/>
    </row>
    <row r="12" spans="1:10" ht="15.75" customHeight="1">
      <c r="A12" s="1"/>
      <c r="B12" s="82" t="s">
        <v>189</v>
      </c>
      <c r="C12" s="7" t="s">
        <v>233</v>
      </c>
      <c r="D12" s="21">
        <v>60</v>
      </c>
      <c r="E12" s="8"/>
      <c r="F12" s="1"/>
      <c r="G12" s="1"/>
      <c r="H12" s="1"/>
      <c r="I12" s="1"/>
      <c r="J12" s="1"/>
    </row>
    <row r="13" spans="1:10" ht="15.75" customHeight="1" thickBot="1">
      <c r="A13" s="1"/>
      <c r="B13" s="9"/>
      <c r="C13" s="10"/>
      <c r="D13" s="83"/>
      <c r="E13" s="11"/>
      <c r="F13" s="1"/>
      <c r="G13" s="1"/>
      <c r="H13" s="1"/>
      <c r="I13" s="1"/>
      <c r="J13" s="1"/>
    </row>
    <row r="14" spans="1:10" ht="15.75" customHeight="1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ht="15.75" customHeight="1">
      <c r="A15" s="1"/>
      <c r="B15" s="1"/>
      <c r="C15" s="2" t="s">
        <v>2</v>
      </c>
      <c r="D15" s="1"/>
      <c r="E15" s="1"/>
      <c r="F15" s="1"/>
      <c r="G15" s="1"/>
      <c r="H15" s="1"/>
      <c r="I15" s="1"/>
      <c r="J15" s="1"/>
    </row>
    <row r="16" spans="1:10" ht="15.75" customHeight="1" thickBot="1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5.75" customHeight="1">
      <c r="A17" s="1"/>
      <c r="B17" s="12"/>
      <c r="C17" s="13"/>
      <c r="D17" s="84"/>
      <c r="E17" s="14"/>
      <c r="F17" s="1"/>
      <c r="G17" s="1"/>
      <c r="H17" s="1"/>
      <c r="I17" s="1"/>
      <c r="J17" s="1"/>
    </row>
    <row r="18" spans="1:10" ht="15.75" customHeight="1">
      <c r="A18" s="1"/>
      <c r="B18" s="74" t="s">
        <v>187</v>
      </c>
      <c r="C18" s="16" t="s">
        <v>234</v>
      </c>
      <c r="D18" s="30">
        <f>D8-(D10/(1+D7))</f>
        <v>5.7480916030534388</v>
      </c>
      <c r="E18" s="17"/>
      <c r="F18" s="1"/>
      <c r="G18" s="1"/>
      <c r="H18" s="1"/>
      <c r="I18" s="1"/>
      <c r="J18" s="1"/>
    </row>
    <row r="19" spans="1:10" ht="15.75" customHeight="1">
      <c r="A19" s="1"/>
      <c r="B19" s="74"/>
      <c r="C19" s="16" t="s">
        <v>235</v>
      </c>
      <c r="D19" s="38">
        <f>D8-D10</f>
        <v>3</v>
      </c>
      <c r="E19" s="17"/>
      <c r="F19" s="1"/>
      <c r="G19" s="1"/>
      <c r="H19" s="1"/>
      <c r="I19" s="1"/>
      <c r="J19" s="1"/>
    </row>
    <row r="20" spans="1:10" ht="15.75" customHeight="1">
      <c r="A20" s="1"/>
      <c r="B20" s="74"/>
      <c r="C20" s="16"/>
      <c r="D20" s="34"/>
      <c r="E20" s="17"/>
      <c r="F20" s="1"/>
      <c r="G20" s="1"/>
      <c r="H20" s="1"/>
      <c r="I20" s="1"/>
      <c r="J20" s="1"/>
    </row>
    <row r="21" spans="1:10" ht="15.75" customHeight="1">
      <c r="A21" s="1"/>
      <c r="B21" s="74" t="s">
        <v>188</v>
      </c>
      <c r="C21" s="16" t="s">
        <v>234</v>
      </c>
      <c r="D21" s="30">
        <f>D8-(D11/(1+D7))</f>
        <v>15.290076335877863</v>
      </c>
      <c r="E21" s="17"/>
      <c r="F21" s="1"/>
      <c r="G21" s="1"/>
      <c r="H21" s="1"/>
      <c r="I21" s="1"/>
      <c r="J21" s="1"/>
    </row>
    <row r="22" spans="1:10" ht="15.75" customHeight="1">
      <c r="A22" s="1"/>
      <c r="B22" s="74"/>
      <c r="C22" s="16" t="s">
        <v>235</v>
      </c>
      <c r="D22" s="38">
        <f>D8-D11</f>
        <v>13</v>
      </c>
      <c r="E22" s="17"/>
      <c r="F22" s="1"/>
      <c r="G22" s="1"/>
      <c r="H22" s="1"/>
      <c r="I22" s="1"/>
      <c r="J22" s="1"/>
    </row>
    <row r="23" spans="1:10" ht="15.75" customHeight="1">
      <c r="A23" s="1"/>
      <c r="B23" s="74"/>
      <c r="C23" s="16"/>
      <c r="D23" s="34"/>
      <c r="E23" s="17"/>
      <c r="F23" s="1"/>
      <c r="G23" s="1"/>
      <c r="H23" s="1"/>
      <c r="I23" s="1"/>
      <c r="J23" s="1"/>
    </row>
    <row r="24" spans="1:10" ht="15.75" customHeight="1">
      <c r="A24" s="1"/>
      <c r="B24" s="74" t="s">
        <v>189</v>
      </c>
      <c r="C24" s="16" t="s">
        <v>236</v>
      </c>
      <c r="D24" s="30">
        <f>0</f>
        <v>0</v>
      </c>
      <c r="E24" s="17"/>
      <c r="F24" s="1"/>
      <c r="G24" s="1"/>
      <c r="H24" s="1"/>
      <c r="I24" s="1"/>
      <c r="J24" s="1"/>
    </row>
    <row r="25" spans="1:10" ht="15.75" customHeight="1">
      <c r="A25" s="1"/>
      <c r="B25" s="74"/>
      <c r="C25" s="16" t="s">
        <v>237</v>
      </c>
      <c r="D25" s="34"/>
      <c r="E25" s="17"/>
      <c r="F25" s="1"/>
      <c r="G25" s="1"/>
      <c r="H25" s="1"/>
      <c r="I25" s="1"/>
      <c r="J25" s="1"/>
    </row>
    <row r="26" spans="1:10" ht="15.75" customHeight="1">
      <c r="A26" s="1"/>
      <c r="B26" s="74"/>
      <c r="C26" s="16" t="s">
        <v>238</v>
      </c>
      <c r="D26" s="34"/>
      <c r="E26" s="17"/>
      <c r="F26" s="1"/>
      <c r="G26" s="1"/>
      <c r="H26" s="1"/>
      <c r="I26" s="1"/>
      <c r="J26" s="1"/>
    </row>
    <row r="27" spans="1:10" ht="15.75" customHeight="1" thickBot="1">
      <c r="A27" s="1"/>
      <c r="B27" s="18"/>
      <c r="C27" s="19"/>
      <c r="D27" s="85"/>
      <c r="E27" s="20"/>
      <c r="F27" s="1"/>
      <c r="G27" s="1"/>
      <c r="H27" s="1"/>
      <c r="I27" s="1"/>
      <c r="J27" s="1"/>
    </row>
    <row r="28" spans="1:10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ht="1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ht="1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ht="1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ht="1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ht="1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ht="1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ht="1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ht="1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ht="1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ht="1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ht="1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ht="1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ht="15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ht="15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ht="15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ht="15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ht="15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ht="15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ht="15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ht="15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ht="15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ht="15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ht="15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ht="15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ht="15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ht="15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ht="15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ht="15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ht="15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ht="15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ht="15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ht="15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ht="15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ht="15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ht="15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ht="15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ht="15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ht="15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ht="15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ht="15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ht="15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ht="15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ht="15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ht="15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ht="15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ht="15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ht="15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ht="15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ht="15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ht="15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ht="15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ht="15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ht="15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ht="15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ht="15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ht="15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ht="15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ht="15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ht="15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ht="15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ht="15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ht="15">
      <c r="A160" s="1"/>
      <c r="B160" s="1"/>
      <c r="C160" s="1"/>
      <c r="D160" s="1"/>
      <c r="E160" s="1"/>
      <c r="F160" s="1"/>
      <c r="G160" s="1"/>
      <c r="H160" s="1"/>
      <c r="I160" s="1"/>
      <c r="J160" s="1"/>
    </row>
  </sheetData>
  <phoneticPr fontId="2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18"/>
  <dimension ref="A1:K34"/>
  <sheetViews>
    <sheetView workbookViewId="0"/>
  </sheetViews>
  <sheetFormatPr defaultRowHeight="12.75"/>
  <cols>
    <col min="2" max="2" width="3.140625" customWidth="1"/>
    <col min="3" max="3" width="20.42578125" customWidth="1"/>
    <col min="4" max="4" width="18.1406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34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8</v>
      </c>
      <c r="D7" s="21">
        <v>80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10</v>
      </c>
      <c r="D8" s="27">
        <v>6</v>
      </c>
      <c r="E8" s="8"/>
      <c r="F8" s="1"/>
      <c r="G8" s="1"/>
      <c r="H8" s="1"/>
      <c r="I8" s="1"/>
      <c r="J8" s="1"/>
      <c r="K8" s="1"/>
    </row>
    <row r="9" spans="1:11" ht="15">
      <c r="A9" s="1"/>
      <c r="B9" s="6"/>
      <c r="C9" s="7" t="s">
        <v>26</v>
      </c>
      <c r="D9" s="21">
        <v>84</v>
      </c>
      <c r="E9" s="8"/>
      <c r="F9" s="1"/>
      <c r="G9" s="1"/>
      <c r="H9" s="1"/>
      <c r="I9" s="1"/>
      <c r="J9" s="1"/>
      <c r="K9" s="1"/>
    </row>
    <row r="10" spans="1:11" ht="15">
      <c r="A10" s="1"/>
      <c r="B10" s="6"/>
      <c r="C10" s="7" t="s">
        <v>7</v>
      </c>
      <c r="D10" s="23">
        <v>0.05</v>
      </c>
      <c r="E10" s="8"/>
      <c r="F10" s="1"/>
      <c r="G10" s="1"/>
      <c r="H10" s="1"/>
      <c r="I10" s="1"/>
      <c r="J10" s="1"/>
      <c r="K10" s="1"/>
    </row>
    <row r="11" spans="1:11" ht="15">
      <c r="A11" s="1"/>
      <c r="B11" s="6"/>
      <c r="C11" s="7" t="s">
        <v>16</v>
      </c>
      <c r="D11" s="23">
        <v>0</v>
      </c>
      <c r="E11" s="8"/>
      <c r="F11" s="1"/>
      <c r="G11" s="1"/>
      <c r="H11" s="1"/>
      <c r="I11" s="1"/>
      <c r="J11" s="1"/>
      <c r="K11" s="1"/>
    </row>
    <row r="12" spans="1:11" ht="15.75" thickBot="1">
      <c r="A12" s="1"/>
      <c r="B12" s="9"/>
      <c r="C12" s="10"/>
      <c r="D12" s="10"/>
      <c r="E12" s="11"/>
      <c r="F12" s="1"/>
      <c r="G12" s="1"/>
      <c r="H12" s="1"/>
      <c r="I12" s="1"/>
      <c r="J12" s="1"/>
      <c r="K12" s="1"/>
    </row>
    <row r="13" spans="1:11" ht="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">
      <c r="A14" s="1"/>
      <c r="B14" s="1"/>
      <c r="C14" s="2" t="s">
        <v>2</v>
      </c>
      <c r="D14" s="1"/>
      <c r="E14" s="1"/>
      <c r="F14" s="1"/>
      <c r="G14" s="1"/>
      <c r="H14" s="1"/>
      <c r="I14" s="1"/>
      <c r="J14" s="1"/>
      <c r="K14" s="1"/>
    </row>
    <row r="15" spans="1:11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">
      <c r="A16" s="1"/>
      <c r="B16" s="12"/>
      <c r="C16" s="13"/>
      <c r="D16" s="13"/>
      <c r="E16" s="14"/>
      <c r="F16" s="1"/>
      <c r="G16" s="1"/>
      <c r="H16" s="1"/>
      <c r="I16" s="1"/>
      <c r="J16" s="1"/>
      <c r="K16" s="1"/>
    </row>
    <row r="17" spans="1:11" ht="15">
      <c r="A17" s="1"/>
      <c r="B17" s="15"/>
      <c r="C17" s="16" t="s">
        <v>16</v>
      </c>
      <c r="D17" s="75">
        <f>D11</f>
        <v>0</v>
      </c>
      <c r="E17" s="17"/>
      <c r="F17" s="1"/>
      <c r="G17" s="1"/>
      <c r="H17" s="1"/>
      <c r="I17" s="1"/>
      <c r="J17" s="1"/>
      <c r="K17" s="1"/>
    </row>
    <row r="18" spans="1:11" ht="19.5">
      <c r="A18" s="1"/>
      <c r="B18" s="15"/>
      <c r="C18" s="16" t="s">
        <v>193</v>
      </c>
      <c r="D18" s="16"/>
      <c r="E18" s="17"/>
      <c r="F18" s="1"/>
      <c r="G18" s="1"/>
      <c r="H18" s="1"/>
      <c r="I18" s="1"/>
      <c r="J18" s="1"/>
      <c r="K18" s="1"/>
    </row>
    <row r="19" spans="1:11" ht="19.5">
      <c r="A19" s="1"/>
      <c r="B19" s="15"/>
      <c r="C19" s="16" t="s">
        <v>361</v>
      </c>
      <c r="D19" s="16"/>
      <c r="E19" s="17"/>
      <c r="F19" s="1"/>
      <c r="G19" s="1"/>
      <c r="H19" s="1"/>
      <c r="I19" s="1"/>
      <c r="J19" s="1"/>
      <c r="K19" s="1"/>
    </row>
    <row r="20" spans="1:11" ht="15.75">
      <c r="A20" s="1"/>
      <c r="B20" s="15"/>
      <c r="C20" s="16" t="s">
        <v>176</v>
      </c>
      <c r="D20" s="30">
        <f>D9-(D7*EXP(-D10*(D8/12)))</f>
        <v>5.9752070377333837</v>
      </c>
      <c r="E20" s="17"/>
      <c r="F20" s="1"/>
      <c r="G20" s="1"/>
      <c r="H20" s="1"/>
      <c r="I20" s="1"/>
      <c r="J20" s="1"/>
      <c r="K20" s="1"/>
    </row>
    <row r="21" spans="1:11" ht="15.75" thickBot="1">
      <c r="A21" s="1"/>
      <c r="B21" s="18"/>
      <c r="C21" s="19"/>
      <c r="D21" s="19"/>
      <c r="E21" s="20"/>
      <c r="F21" s="1"/>
      <c r="G21" s="1"/>
      <c r="H21" s="1"/>
      <c r="I21" s="1"/>
      <c r="J21" s="1"/>
      <c r="K21" s="1"/>
    </row>
    <row r="22" spans="1:11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K41"/>
  <sheetViews>
    <sheetView workbookViewId="0"/>
  </sheetViews>
  <sheetFormatPr defaultRowHeight="12.75"/>
  <cols>
    <col min="2" max="2" width="3.140625" customWidth="1"/>
    <col min="3" max="3" width="19.5703125" customWidth="1"/>
    <col min="4" max="4" width="26.57031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38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5</v>
      </c>
      <c r="D7" s="36">
        <v>35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10</v>
      </c>
      <c r="D8" s="27">
        <v>12</v>
      </c>
      <c r="E8" s="8"/>
      <c r="F8" s="1"/>
      <c r="G8" s="1"/>
      <c r="H8" s="1"/>
      <c r="I8" s="1"/>
      <c r="J8" s="1"/>
      <c r="K8" s="1"/>
    </row>
    <row r="9" spans="1:11" ht="15">
      <c r="A9" s="1"/>
      <c r="B9" s="6"/>
      <c r="C9" s="7" t="s">
        <v>8</v>
      </c>
      <c r="D9" s="21">
        <v>50</v>
      </c>
      <c r="E9" s="8"/>
      <c r="F9" s="1"/>
      <c r="G9" s="1"/>
      <c r="H9" s="1"/>
      <c r="I9" s="1"/>
      <c r="J9" s="1"/>
      <c r="K9" s="1"/>
    </row>
    <row r="10" spans="1:11" ht="15">
      <c r="A10" s="1"/>
      <c r="B10" s="6"/>
      <c r="C10" s="7" t="s">
        <v>7</v>
      </c>
      <c r="D10" s="23">
        <v>7.0000000000000007E-2</v>
      </c>
      <c r="E10" s="8"/>
      <c r="F10" s="1"/>
      <c r="G10" s="1"/>
      <c r="H10" s="1"/>
      <c r="I10" s="1"/>
      <c r="J10" s="1"/>
      <c r="K10" s="1"/>
    </row>
    <row r="11" spans="1:11" ht="15">
      <c r="A11" s="1"/>
      <c r="B11" s="6"/>
      <c r="C11" s="7" t="s">
        <v>16</v>
      </c>
      <c r="D11" s="23">
        <v>9999999999999.9902</v>
      </c>
      <c r="E11" s="8"/>
      <c r="F11" s="1"/>
      <c r="G11" s="1"/>
      <c r="H11" s="1"/>
      <c r="I11" s="1"/>
      <c r="J11" s="1"/>
      <c r="K11" s="1"/>
    </row>
    <row r="12" spans="1:11" ht="15.75" thickBot="1">
      <c r="A12" s="1"/>
      <c r="B12" s="9"/>
      <c r="C12" s="10"/>
      <c r="D12" s="10"/>
      <c r="E12" s="11"/>
      <c r="F12" s="1"/>
      <c r="G12" s="1"/>
      <c r="H12" s="1"/>
      <c r="I12" s="1"/>
      <c r="J12" s="1"/>
      <c r="K12" s="1"/>
    </row>
    <row r="13" spans="1:11" ht="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">
      <c r="A14" s="1"/>
      <c r="B14" s="1"/>
      <c r="C14" s="2" t="s">
        <v>2</v>
      </c>
      <c r="D14" s="1"/>
      <c r="E14" s="1"/>
      <c r="F14" s="1"/>
      <c r="G14" s="1"/>
      <c r="H14" s="1"/>
      <c r="I14" s="1"/>
      <c r="J14" s="1"/>
      <c r="K14" s="1"/>
    </row>
    <row r="15" spans="1:11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">
      <c r="A16" s="1"/>
      <c r="B16" s="12"/>
      <c r="C16" s="13"/>
      <c r="D16" s="13"/>
      <c r="E16" s="14"/>
      <c r="F16" s="1"/>
      <c r="G16" s="1"/>
      <c r="H16" s="1"/>
      <c r="I16" s="1"/>
      <c r="J16" s="1"/>
      <c r="K16" s="1"/>
    </row>
    <row r="17" spans="1:11" ht="19.5">
      <c r="A17" s="1"/>
      <c r="B17" s="15"/>
      <c r="C17" s="16" t="s">
        <v>177</v>
      </c>
      <c r="D17" s="151">
        <f>((((LN($D$7/$D$9))+(($D$10+(POWER($D$11,2)/2))*($D$8/12))))/($D$11*SQRT(($D$8/12))))</f>
        <v>4999999999999.9951</v>
      </c>
      <c r="E17" s="17"/>
      <c r="F17" s="1"/>
      <c r="G17" s="1"/>
      <c r="H17" s="1"/>
      <c r="I17" s="1"/>
      <c r="J17" s="1"/>
      <c r="K17" s="1"/>
    </row>
    <row r="18" spans="1:11" ht="19.5">
      <c r="A18" s="1"/>
      <c r="B18" s="15"/>
      <c r="C18" s="16" t="s">
        <v>178</v>
      </c>
      <c r="D18" s="151">
        <f>$D$17-$D$11*SQRT($D$8/12)</f>
        <v>-4999999999999.9951</v>
      </c>
      <c r="E18" s="17"/>
      <c r="F18" s="1"/>
      <c r="G18" s="1"/>
      <c r="H18" s="1"/>
      <c r="I18" s="1"/>
      <c r="J18" s="1"/>
      <c r="K18" s="1"/>
    </row>
    <row r="19" spans="1:11" ht="19.5">
      <c r="A19" s="1"/>
      <c r="B19" s="15"/>
      <c r="C19" s="16" t="s">
        <v>179</v>
      </c>
      <c r="D19" s="57">
        <f>NORMSDIST(D17)</f>
        <v>1</v>
      </c>
      <c r="E19" s="17"/>
      <c r="F19" s="1"/>
      <c r="G19" s="1"/>
      <c r="H19" s="1"/>
      <c r="I19" s="1"/>
      <c r="J19" s="1"/>
      <c r="K19" s="1"/>
    </row>
    <row r="20" spans="1:11" ht="19.5">
      <c r="A20" s="1"/>
      <c r="B20" s="15"/>
      <c r="C20" s="16" t="s">
        <v>180</v>
      </c>
      <c r="D20" s="57">
        <f>NORMSDIST(D18)</f>
        <v>0</v>
      </c>
      <c r="E20" s="17"/>
      <c r="F20" s="1"/>
      <c r="G20" s="1"/>
      <c r="H20" s="1"/>
      <c r="I20" s="1"/>
      <c r="J20" s="1"/>
      <c r="K20" s="1"/>
    </row>
    <row r="21" spans="1:11" ht="15">
      <c r="A21" s="1"/>
      <c r="B21" s="15"/>
      <c r="C21" s="16"/>
      <c r="D21" s="34"/>
      <c r="E21" s="17"/>
      <c r="F21" s="1"/>
      <c r="G21" s="1"/>
      <c r="H21" s="1"/>
      <c r="I21" s="1"/>
      <c r="J21" s="1"/>
      <c r="K21" s="1"/>
    </row>
    <row r="22" spans="1:11" ht="15.75">
      <c r="A22" s="1"/>
      <c r="B22" s="15"/>
      <c r="C22" s="16" t="s">
        <v>56</v>
      </c>
      <c r="D22" s="30">
        <f>($D$7*$D$19)-(($D$9*EXP(-$D$10*($D$8/12))*$D$20))</f>
        <v>35</v>
      </c>
      <c r="E22" s="17"/>
      <c r="F22" s="1"/>
      <c r="G22" s="1"/>
      <c r="H22" s="1"/>
      <c r="I22" s="1"/>
      <c r="J22" s="1"/>
      <c r="K22" s="1"/>
    </row>
    <row r="23" spans="1:11" ht="15.75">
      <c r="A23" s="1"/>
      <c r="B23" s="15"/>
      <c r="C23" s="16"/>
      <c r="D23" s="93"/>
      <c r="E23" s="17"/>
      <c r="F23" s="1"/>
      <c r="G23" s="1"/>
      <c r="H23" s="1"/>
      <c r="I23" s="1"/>
      <c r="J23" s="1"/>
      <c r="K23" s="1"/>
    </row>
    <row r="24" spans="1:11" ht="19.5">
      <c r="A24" s="1"/>
      <c r="B24" s="15"/>
      <c r="C24" s="16" t="s">
        <v>194</v>
      </c>
      <c r="D24" s="93"/>
      <c r="E24" s="17"/>
      <c r="F24" s="1"/>
      <c r="G24" s="1"/>
      <c r="H24" s="1"/>
      <c r="I24" s="1"/>
      <c r="J24" s="1"/>
      <c r="K24" s="1"/>
    </row>
    <row r="25" spans="1:11" ht="19.5">
      <c r="A25" s="1"/>
      <c r="B25" s="15"/>
      <c r="C25" s="16" t="s">
        <v>195</v>
      </c>
      <c r="D25" s="93"/>
      <c r="E25" s="17"/>
      <c r="F25" s="1"/>
      <c r="G25" s="1"/>
      <c r="H25" s="1"/>
      <c r="I25" s="1"/>
      <c r="J25" s="1"/>
      <c r="K25" s="1"/>
    </row>
    <row r="26" spans="1:11" ht="19.5">
      <c r="A26" s="1"/>
      <c r="B26" s="15"/>
      <c r="C26" s="16" t="s">
        <v>196</v>
      </c>
      <c r="D26" s="93"/>
      <c r="E26" s="17"/>
      <c r="F26" s="1"/>
      <c r="G26" s="1"/>
      <c r="H26" s="1"/>
      <c r="I26" s="1"/>
      <c r="J26" s="1"/>
      <c r="K26" s="1"/>
    </row>
    <row r="27" spans="1:11" ht="15.75">
      <c r="A27" s="1"/>
      <c r="B27" s="15"/>
      <c r="C27" s="16" t="s">
        <v>351</v>
      </c>
      <c r="D27" s="93"/>
      <c r="E27" s="17"/>
      <c r="F27" s="1"/>
      <c r="G27" s="1"/>
      <c r="H27" s="1"/>
      <c r="I27" s="1"/>
      <c r="J27" s="1"/>
      <c r="K27" s="1"/>
    </row>
    <row r="28" spans="1:11" ht="15.75" thickBot="1">
      <c r="A28" s="1"/>
      <c r="B28" s="18"/>
      <c r="C28" s="19"/>
      <c r="D28" s="19"/>
      <c r="E28" s="20"/>
      <c r="F28" s="1"/>
      <c r="G28" s="1"/>
      <c r="H28" s="1"/>
      <c r="I28" s="1"/>
      <c r="J28" s="1"/>
      <c r="K28" s="1"/>
    </row>
    <row r="29" spans="1:11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</sheetData>
  <phoneticPr fontId="26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20"/>
  <dimension ref="A1:K36"/>
  <sheetViews>
    <sheetView workbookViewId="0"/>
  </sheetViews>
  <sheetFormatPr defaultRowHeight="12.75"/>
  <cols>
    <col min="2" max="2" width="3.140625" customWidth="1"/>
    <col min="3" max="3" width="20.42578125" customWidth="1"/>
    <col min="4" max="4" width="18.1406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39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200</v>
      </c>
      <c r="D7" s="21">
        <v>25000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69</v>
      </c>
      <c r="D8" s="27">
        <v>12</v>
      </c>
      <c r="E8" s="8"/>
      <c r="F8" s="1"/>
      <c r="G8" s="1"/>
      <c r="H8" s="1"/>
      <c r="I8" s="1"/>
      <c r="J8" s="1"/>
      <c r="K8" s="1"/>
    </row>
    <row r="9" spans="1:11" ht="15">
      <c r="A9" s="1"/>
      <c r="B9" s="6"/>
      <c r="C9" s="7" t="s">
        <v>33</v>
      </c>
      <c r="D9" s="21">
        <v>26300</v>
      </c>
      <c r="E9" s="8"/>
      <c r="F9" s="1"/>
      <c r="G9" s="1"/>
      <c r="H9" s="1"/>
      <c r="I9" s="1"/>
      <c r="J9" s="1"/>
      <c r="K9" s="1"/>
    </row>
    <row r="10" spans="1:11" ht="15">
      <c r="A10" s="1"/>
      <c r="B10" s="6"/>
      <c r="C10" s="7" t="s">
        <v>16</v>
      </c>
      <c r="D10" s="23">
        <v>0.38</v>
      </c>
      <c r="E10" s="8"/>
      <c r="F10" s="1"/>
      <c r="G10" s="1"/>
      <c r="H10" s="1"/>
      <c r="I10" s="1"/>
      <c r="J10" s="1"/>
      <c r="K10" s="1"/>
    </row>
    <row r="11" spans="1:11" ht="15">
      <c r="A11" s="1"/>
      <c r="B11" s="6"/>
      <c r="C11" s="7" t="s">
        <v>7</v>
      </c>
      <c r="D11" s="23">
        <v>0.05</v>
      </c>
      <c r="E11" s="8"/>
      <c r="F11" s="1"/>
      <c r="G11" s="1"/>
      <c r="H11" s="1"/>
      <c r="I11" s="1"/>
      <c r="J11" s="1"/>
      <c r="K11" s="1"/>
    </row>
    <row r="12" spans="1:11" ht="15.75" thickBot="1">
      <c r="A12" s="1"/>
      <c r="B12" s="9"/>
      <c r="C12" s="10"/>
      <c r="D12" s="10"/>
      <c r="E12" s="11"/>
      <c r="F12" s="1"/>
      <c r="G12" s="1"/>
      <c r="H12" s="1"/>
      <c r="I12" s="1"/>
      <c r="J12" s="1"/>
      <c r="K12" s="1"/>
    </row>
    <row r="13" spans="1:11" ht="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">
      <c r="A14" s="1"/>
      <c r="B14" s="1"/>
      <c r="C14" s="2" t="s">
        <v>2</v>
      </c>
      <c r="D14" s="1"/>
      <c r="E14" s="1"/>
      <c r="F14" s="1"/>
      <c r="G14" s="1"/>
      <c r="H14" s="1"/>
      <c r="I14" s="1"/>
      <c r="J14" s="1"/>
      <c r="K14" s="1"/>
    </row>
    <row r="15" spans="1:11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">
      <c r="A16" s="1"/>
      <c r="B16" s="12"/>
      <c r="C16" s="13"/>
      <c r="D16" s="13"/>
      <c r="E16" s="14"/>
      <c r="F16" s="1"/>
      <c r="G16" s="1"/>
      <c r="H16" s="1"/>
      <c r="I16" s="1"/>
      <c r="J16" s="1"/>
      <c r="K16" s="1"/>
    </row>
    <row r="17" spans="1:11" ht="19.5">
      <c r="A17" s="1"/>
      <c r="B17" s="15"/>
      <c r="C17" s="16" t="s">
        <v>177</v>
      </c>
      <c r="D17" s="57">
        <f>((((LN($D$9/$D$7))+(($D$11+(POWER($D$10,2)/2))*($D$8/12))))/($D$10*SQRT(($D$8/12))))</f>
        <v>0.4549818797776794</v>
      </c>
      <c r="E17" s="17"/>
      <c r="F17" s="1"/>
      <c r="G17" s="1"/>
      <c r="H17" s="1"/>
      <c r="I17" s="1"/>
      <c r="J17" s="1"/>
      <c r="K17" s="1"/>
    </row>
    <row r="18" spans="1:11" ht="19.5">
      <c r="A18" s="1"/>
      <c r="B18" s="15"/>
      <c r="C18" s="16" t="s">
        <v>178</v>
      </c>
      <c r="D18" s="57">
        <f>$D$17-$D$10*SQRT($D$8/12)</f>
        <v>7.4981879777679394E-2</v>
      </c>
      <c r="E18" s="17"/>
      <c r="F18" s="1"/>
      <c r="G18" s="1"/>
      <c r="H18" s="1"/>
      <c r="I18" s="1"/>
      <c r="J18" s="1"/>
      <c r="K18" s="1"/>
    </row>
    <row r="19" spans="1:11" ht="19.5">
      <c r="A19" s="1"/>
      <c r="B19" s="15"/>
      <c r="C19" s="16" t="s">
        <v>179</v>
      </c>
      <c r="D19" s="57">
        <f>NORMSDIST(D17)</f>
        <v>0.67543886249029073</v>
      </c>
      <c r="E19" s="17"/>
      <c r="F19" s="1"/>
      <c r="G19" s="1"/>
      <c r="H19" s="1"/>
      <c r="I19" s="1"/>
      <c r="J19" s="1"/>
      <c r="K19" s="1"/>
    </row>
    <row r="20" spans="1:11" ht="19.5">
      <c r="A20" s="1"/>
      <c r="B20" s="15"/>
      <c r="C20" s="16" t="s">
        <v>180</v>
      </c>
      <c r="D20" s="57">
        <f>NORMSDIST(D18)</f>
        <v>0.52988543542796407</v>
      </c>
      <c r="E20" s="17"/>
      <c r="F20" s="1"/>
      <c r="G20" s="1"/>
      <c r="H20" s="1"/>
      <c r="I20" s="1"/>
      <c r="J20" s="1"/>
      <c r="K20" s="1"/>
    </row>
    <row r="21" spans="1:11" ht="15.75">
      <c r="A21" s="1"/>
      <c r="B21" s="15"/>
      <c r="C21" s="16" t="s">
        <v>197</v>
      </c>
      <c r="D21" s="30">
        <f>(($D$9*$D$19))-((D7*EXP(-D11*(D8/12))))*($D$20)</f>
        <v>5162.9766386583306</v>
      </c>
      <c r="E21" s="17"/>
      <c r="F21" s="1"/>
      <c r="G21" s="1"/>
      <c r="H21" s="1"/>
      <c r="I21" s="1"/>
      <c r="J21" s="1"/>
      <c r="K21" s="1"/>
    </row>
    <row r="22" spans="1:11" ht="15.75">
      <c r="A22" s="1"/>
      <c r="B22" s="15"/>
      <c r="C22" s="16" t="s">
        <v>198</v>
      </c>
      <c r="D22" s="30">
        <f>D9-D21</f>
        <v>21137.023361341671</v>
      </c>
      <c r="E22" s="17"/>
      <c r="F22" s="1"/>
      <c r="G22" s="1"/>
      <c r="H22" s="1"/>
      <c r="I22" s="1"/>
      <c r="J22" s="1"/>
      <c r="K22" s="1"/>
    </row>
    <row r="23" spans="1:11" ht="15.75" thickBot="1">
      <c r="A23" s="1"/>
      <c r="B23" s="18"/>
      <c r="C23" s="19"/>
      <c r="D23" s="19"/>
      <c r="E23" s="20"/>
      <c r="F23" s="1"/>
      <c r="G23" s="1"/>
      <c r="H23" s="1"/>
      <c r="I23" s="1"/>
      <c r="J23" s="1"/>
      <c r="K23" s="1"/>
    </row>
    <row r="24" spans="1:11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21"/>
  <dimension ref="A1:K78"/>
  <sheetViews>
    <sheetView workbookViewId="0"/>
  </sheetViews>
  <sheetFormatPr defaultRowHeight="12.75"/>
  <cols>
    <col min="2" max="2" width="3.140625" customWidth="1"/>
    <col min="3" max="3" width="20.42578125" customWidth="1"/>
    <col min="4" max="4" width="19.140625" customWidth="1"/>
    <col min="5" max="5" width="4.425781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40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199</v>
      </c>
      <c r="D7" s="65">
        <f ca="1">'#21'!D7</f>
        <v>25000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33</v>
      </c>
      <c r="D8" s="65">
        <f ca="1">'#21'!D9</f>
        <v>26300</v>
      </c>
      <c r="E8" s="8"/>
      <c r="F8" s="1"/>
      <c r="G8" s="1"/>
      <c r="H8" s="1"/>
      <c r="I8" s="1"/>
      <c r="J8" s="1"/>
      <c r="K8" s="1"/>
    </row>
    <row r="9" spans="1:11" ht="15">
      <c r="A9" s="1"/>
      <c r="B9" s="6"/>
      <c r="C9" s="7" t="s">
        <v>69</v>
      </c>
      <c r="D9" s="67">
        <f ca="1">'#21'!D8</f>
        <v>12</v>
      </c>
      <c r="E9" s="8"/>
      <c r="F9" s="1"/>
      <c r="G9" s="1"/>
      <c r="H9" s="1"/>
      <c r="I9" s="1"/>
      <c r="J9" s="1"/>
      <c r="K9" s="1"/>
    </row>
    <row r="10" spans="1:11" ht="15">
      <c r="A10" s="1"/>
      <c r="B10" s="6"/>
      <c r="C10" s="7" t="s">
        <v>16</v>
      </c>
      <c r="D10" s="66">
        <v>0.42</v>
      </c>
      <c r="E10" s="8"/>
      <c r="F10" s="1"/>
      <c r="G10" s="1"/>
      <c r="H10" s="1"/>
      <c r="I10" s="1"/>
      <c r="J10" s="1"/>
      <c r="K10" s="1"/>
    </row>
    <row r="11" spans="1:11" ht="15">
      <c r="A11" s="1"/>
      <c r="B11" s="6"/>
      <c r="C11" s="7" t="s">
        <v>7</v>
      </c>
      <c r="D11" s="66">
        <v>0.05</v>
      </c>
      <c r="E11" s="8"/>
      <c r="F11" s="1"/>
      <c r="G11" s="1"/>
      <c r="H11" s="1"/>
      <c r="I11" s="1"/>
      <c r="J11" s="1"/>
      <c r="K11" s="1"/>
    </row>
    <row r="12" spans="1:11" ht="15">
      <c r="A12" s="1"/>
      <c r="B12" s="6"/>
      <c r="C12" s="7"/>
      <c r="D12" s="7"/>
      <c r="E12" s="8"/>
      <c r="F12" s="1"/>
      <c r="G12" s="1"/>
      <c r="H12" s="1"/>
      <c r="I12" s="1"/>
      <c r="J12" s="1"/>
      <c r="K12" s="1"/>
    </row>
    <row r="13" spans="1:11" ht="15">
      <c r="A13" s="1"/>
      <c r="B13" s="6"/>
      <c r="C13" s="29" t="s">
        <v>35</v>
      </c>
      <c r="D13" s="7"/>
      <c r="E13" s="8"/>
      <c r="F13" s="1"/>
      <c r="G13" s="1"/>
      <c r="H13" s="1"/>
      <c r="I13" s="1"/>
      <c r="J13" s="1"/>
      <c r="K13" s="1"/>
    </row>
    <row r="14" spans="1:11" ht="15">
      <c r="A14" s="1"/>
      <c r="B14" s="6"/>
      <c r="C14" s="7" t="s">
        <v>36</v>
      </c>
      <c r="D14" s="21">
        <v>1200</v>
      </c>
      <c r="E14" s="8"/>
      <c r="F14" s="1"/>
      <c r="G14" s="1"/>
      <c r="H14" s="1"/>
      <c r="I14" s="1"/>
      <c r="J14" s="1"/>
      <c r="K14" s="1"/>
    </row>
    <row r="15" spans="1:11" ht="15">
      <c r="A15" s="1"/>
      <c r="B15" s="6"/>
      <c r="C15" s="7" t="s">
        <v>16</v>
      </c>
      <c r="D15" s="23">
        <v>0.55000000000000004</v>
      </c>
      <c r="E15" s="8"/>
      <c r="F15" s="1"/>
      <c r="G15" s="1"/>
      <c r="H15" s="1"/>
      <c r="I15" s="1"/>
      <c r="J15" s="1"/>
      <c r="K15" s="1"/>
    </row>
    <row r="16" spans="1:11" ht="15">
      <c r="A16" s="1"/>
      <c r="B16" s="6"/>
      <c r="C16" s="7"/>
      <c r="D16" s="22"/>
      <c r="E16" s="8"/>
      <c r="F16" s="1"/>
      <c r="G16" s="1"/>
      <c r="H16" s="1"/>
      <c r="I16" s="1"/>
      <c r="J16" s="1"/>
      <c r="K16" s="1"/>
    </row>
    <row r="17" spans="1:11" ht="15">
      <c r="A17" s="1"/>
      <c r="B17" s="6"/>
      <c r="C17" s="29" t="s">
        <v>37</v>
      </c>
      <c r="D17" s="22"/>
      <c r="E17" s="8"/>
      <c r="F17" s="1"/>
      <c r="G17" s="1"/>
      <c r="H17" s="1"/>
      <c r="I17" s="1"/>
      <c r="J17" s="1"/>
      <c r="K17" s="1"/>
    </row>
    <row r="18" spans="1:11" ht="15">
      <c r="A18" s="1"/>
      <c r="B18" s="6"/>
      <c r="C18" s="7" t="s">
        <v>36</v>
      </c>
      <c r="D18" s="21">
        <v>1600</v>
      </c>
      <c r="E18" s="8"/>
      <c r="F18" s="1"/>
      <c r="G18" s="1"/>
      <c r="H18" s="1"/>
      <c r="I18" s="1"/>
      <c r="J18" s="1"/>
      <c r="K18" s="1"/>
    </row>
    <row r="19" spans="1:11" ht="15">
      <c r="A19" s="1"/>
      <c r="B19" s="6"/>
      <c r="C19" s="7" t="s">
        <v>16</v>
      </c>
      <c r="D19" s="23">
        <v>0.34</v>
      </c>
      <c r="E19" s="8"/>
      <c r="F19" s="1"/>
      <c r="G19" s="1"/>
      <c r="H19" s="1"/>
      <c r="I19" s="1"/>
      <c r="J19" s="1"/>
      <c r="K19" s="1"/>
    </row>
    <row r="20" spans="1:11" ht="15.75" thickBot="1">
      <c r="A20" s="1"/>
      <c r="B20" s="9"/>
      <c r="C20" s="10"/>
      <c r="D20" s="10"/>
      <c r="E20" s="11"/>
      <c r="F20" s="1"/>
      <c r="G20" s="1"/>
      <c r="H20" s="1"/>
      <c r="I20" s="1"/>
      <c r="J20" s="1"/>
      <c r="K20" s="1"/>
    </row>
    <row r="21" spans="1:11" ht="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5">
      <c r="A22" s="1"/>
      <c r="B22" s="1"/>
      <c r="C22" s="2" t="s">
        <v>2</v>
      </c>
      <c r="D22" s="1"/>
      <c r="E22" s="1"/>
      <c r="F22" s="1"/>
      <c r="G22" s="1"/>
      <c r="H22" s="1"/>
      <c r="I22" s="1"/>
      <c r="J22" s="1"/>
      <c r="K22" s="1"/>
    </row>
    <row r="23" spans="1:11" ht="15.75" thickBo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">
      <c r="A24" s="1"/>
      <c r="B24" s="12"/>
      <c r="C24" s="13"/>
      <c r="D24" s="13"/>
      <c r="E24" s="14"/>
      <c r="F24" s="1"/>
      <c r="G24" s="1"/>
      <c r="H24" s="1"/>
      <c r="I24" s="1"/>
      <c r="J24" s="1"/>
      <c r="K24" s="1"/>
    </row>
    <row r="25" spans="1:11" ht="15">
      <c r="A25" s="1"/>
      <c r="B25" s="74" t="s">
        <v>187</v>
      </c>
      <c r="C25" s="16" t="s">
        <v>35</v>
      </c>
      <c r="D25" s="16"/>
      <c r="E25" s="17"/>
      <c r="F25" s="1"/>
      <c r="G25" s="1"/>
      <c r="H25" s="1"/>
      <c r="I25" s="1"/>
      <c r="J25" s="1"/>
      <c r="K25" s="1"/>
    </row>
    <row r="26" spans="1:11" ht="19.5">
      <c r="A26" s="1"/>
      <c r="B26" s="74"/>
      <c r="C26" s="16" t="s">
        <v>177</v>
      </c>
      <c r="D26" s="57">
        <f>((LN(($D$8+D14)/$D$7))+($D$11+((D15*D15)/2)*($D$9/12)))/(D15*(SQRT($D$9/12)))</f>
        <v>0.53920032691695441</v>
      </c>
      <c r="E26" s="17"/>
      <c r="F26" s="1"/>
      <c r="G26" s="1"/>
      <c r="H26" s="1"/>
      <c r="I26" s="1"/>
      <c r="J26" s="1"/>
      <c r="K26" s="1"/>
    </row>
    <row r="27" spans="1:11" ht="19.5">
      <c r="A27" s="1"/>
      <c r="B27" s="74"/>
      <c r="C27" s="16" t="s">
        <v>178</v>
      </c>
      <c r="D27" s="57">
        <f>$D$26-($D$15*SQRT($D$9/12))</f>
        <v>-1.0799673083045636E-2</v>
      </c>
      <c r="E27" s="17"/>
      <c r="F27" s="1"/>
      <c r="G27" s="1"/>
      <c r="H27" s="1"/>
      <c r="I27" s="1"/>
      <c r="J27" s="1"/>
      <c r="K27" s="1"/>
    </row>
    <row r="28" spans="1:11" ht="19.5">
      <c r="A28" s="1"/>
      <c r="B28" s="74"/>
      <c r="C28" s="16" t="s">
        <v>179</v>
      </c>
      <c r="D28" s="57">
        <f>NORMSDIST(D26)</f>
        <v>0.70512568259496611</v>
      </c>
      <c r="E28" s="17"/>
      <c r="F28" s="1"/>
      <c r="G28" s="1"/>
      <c r="H28" s="1"/>
      <c r="I28" s="1"/>
      <c r="J28" s="1"/>
      <c r="K28" s="1"/>
    </row>
    <row r="29" spans="1:11" ht="19.5">
      <c r="A29" s="1"/>
      <c r="B29" s="74"/>
      <c r="C29" s="16" t="s">
        <v>180</v>
      </c>
      <c r="D29" s="57">
        <f>NORMSDIST(D27)</f>
        <v>0.49569163754231838</v>
      </c>
      <c r="E29" s="17"/>
      <c r="F29" s="1"/>
      <c r="G29" s="1"/>
      <c r="H29" s="1"/>
      <c r="I29" s="1"/>
      <c r="J29" s="1"/>
      <c r="K29" s="1"/>
    </row>
    <row r="30" spans="1:11" ht="15.75">
      <c r="A30" s="1"/>
      <c r="B30" s="74"/>
      <c r="C30" s="16" t="s">
        <v>197</v>
      </c>
      <c r="D30" s="30">
        <f>(($D$8+$D$14)*$D$28)-($D$7*EXP(-$D$11*$D$9/12)*$D$29)</f>
        <v>7603.0444936316653</v>
      </c>
      <c r="E30" s="17"/>
      <c r="F30" s="1"/>
      <c r="G30" s="1"/>
      <c r="H30" s="1"/>
      <c r="I30" s="1"/>
      <c r="J30" s="1"/>
      <c r="K30" s="1"/>
    </row>
    <row r="31" spans="1:11" ht="15.75">
      <c r="A31" s="1"/>
      <c r="B31" s="74"/>
      <c r="C31" s="16" t="s">
        <v>198</v>
      </c>
      <c r="D31" s="30">
        <f>(D8+D14)-D30</f>
        <v>19896.955506368337</v>
      </c>
      <c r="E31" s="17"/>
      <c r="F31" s="1"/>
      <c r="G31" s="1"/>
      <c r="H31" s="1"/>
      <c r="I31" s="1"/>
      <c r="J31" s="1"/>
      <c r="K31" s="1"/>
    </row>
    <row r="32" spans="1:11" ht="15">
      <c r="A32" s="1"/>
      <c r="B32" s="74"/>
      <c r="C32" s="16"/>
      <c r="D32" s="40"/>
      <c r="E32" s="17"/>
      <c r="F32" s="1"/>
      <c r="G32" s="1"/>
      <c r="H32" s="1"/>
      <c r="I32" s="1"/>
      <c r="J32" s="1"/>
      <c r="K32" s="1"/>
    </row>
    <row r="33" spans="1:11" ht="15">
      <c r="A33" s="1"/>
      <c r="B33" s="74"/>
      <c r="C33" s="16" t="s">
        <v>37</v>
      </c>
      <c r="D33" s="34"/>
      <c r="E33" s="17"/>
      <c r="F33" s="1"/>
      <c r="G33" s="1"/>
      <c r="H33" s="1"/>
      <c r="I33" s="1"/>
      <c r="J33" s="1"/>
      <c r="K33" s="1"/>
    </row>
    <row r="34" spans="1:11" ht="19.5">
      <c r="A34" s="1"/>
      <c r="B34" s="74"/>
      <c r="C34" s="16" t="s">
        <v>177</v>
      </c>
      <c r="D34" s="57">
        <f>((LN(($D$8+D18)/$D$7))+($D$11+((D19*D19)/2)*($D$9/12)))/(D19*(SQRT($D$9/12)))</f>
        <v>0.63985548223270372</v>
      </c>
      <c r="E34" s="17"/>
      <c r="F34" s="1"/>
      <c r="G34" s="1"/>
      <c r="H34" s="1"/>
      <c r="I34" s="1"/>
      <c r="J34" s="1"/>
      <c r="K34" s="1"/>
    </row>
    <row r="35" spans="1:11" ht="19.5">
      <c r="A35" s="1"/>
      <c r="B35" s="74"/>
      <c r="C35" s="16" t="s">
        <v>178</v>
      </c>
      <c r="D35" s="57">
        <f>D34-(D19*SQRT($D$9/12))</f>
        <v>0.2998554822327037</v>
      </c>
      <c r="E35" s="17"/>
      <c r="F35" s="1"/>
      <c r="G35" s="1"/>
      <c r="H35" s="1"/>
      <c r="I35" s="1"/>
      <c r="J35" s="1"/>
      <c r="K35" s="1"/>
    </row>
    <row r="36" spans="1:11" ht="19.5">
      <c r="A36" s="1"/>
      <c r="B36" s="74"/>
      <c r="C36" s="16" t="s">
        <v>179</v>
      </c>
      <c r="D36" s="57">
        <f>NORMSDIST(D34)</f>
        <v>0.73886672086210115</v>
      </c>
      <c r="E36" s="17"/>
      <c r="F36" s="1"/>
      <c r="G36" s="1"/>
      <c r="H36" s="1"/>
      <c r="I36" s="1"/>
      <c r="J36" s="1"/>
      <c r="K36" s="1"/>
    </row>
    <row r="37" spans="1:11" ht="19.5">
      <c r="A37" s="1"/>
      <c r="B37" s="74"/>
      <c r="C37" s="16" t="s">
        <v>180</v>
      </c>
      <c r="D37" s="57">
        <f>NORMSDIST(D35)</f>
        <v>0.61785630367874811</v>
      </c>
      <c r="E37" s="17"/>
      <c r="F37" s="1"/>
      <c r="G37" s="1"/>
      <c r="H37" s="1"/>
      <c r="I37" s="1"/>
      <c r="J37" s="1"/>
      <c r="K37" s="1"/>
    </row>
    <row r="38" spans="1:11" ht="15.75">
      <c r="A38" s="1"/>
      <c r="B38" s="74"/>
      <c r="C38" s="16" t="s">
        <v>197</v>
      </c>
      <c r="D38" s="30">
        <f>(($D$8+$D$18)*$D$36)-(($D$7*EXP(-$D$11*$D$9/12))*($D$37))</f>
        <v>5921.3041077407725</v>
      </c>
      <c r="E38" s="17"/>
      <c r="F38" s="1"/>
      <c r="G38" s="1"/>
      <c r="H38" s="1"/>
      <c r="I38" s="1"/>
      <c r="J38" s="1"/>
      <c r="K38" s="1"/>
    </row>
    <row r="39" spans="1:11" ht="15.75">
      <c r="A39" s="1"/>
      <c r="B39" s="74"/>
      <c r="C39" s="16" t="s">
        <v>198</v>
      </c>
      <c r="D39" s="30">
        <f>(D8+D18)-D38</f>
        <v>21978.695892259228</v>
      </c>
      <c r="E39" s="17"/>
      <c r="F39" s="1"/>
      <c r="G39" s="1"/>
      <c r="H39" s="1"/>
      <c r="I39" s="1"/>
      <c r="J39" s="1"/>
      <c r="K39" s="1"/>
    </row>
    <row r="40" spans="1:11" ht="15">
      <c r="A40" s="1"/>
      <c r="B40" s="74"/>
      <c r="C40" s="16"/>
      <c r="D40" s="16"/>
      <c r="E40" s="17"/>
      <c r="F40" s="1"/>
      <c r="G40" s="1"/>
      <c r="H40" s="1"/>
      <c r="I40" s="1"/>
      <c r="J40" s="1"/>
      <c r="K40" s="1"/>
    </row>
    <row r="41" spans="1:11" ht="15">
      <c r="A41" s="1"/>
      <c r="B41" s="74" t="s">
        <v>188</v>
      </c>
      <c r="C41" s="16" t="s">
        <v>70</v>
      </c>
      <c r="D41" s="16"/>
      <c r="E41" s="17"/>
      <c r="F41" s="1"/>
      <c r="G41" s="1"/>
      <c r="H41" s="1"/>
      <c r="I41" s="1"/>
      <c r="J41" s="1"/>
      <c r="K41" s="1"/>
    </row>
    <row r="42" spans="1:11" ht="15">
      <c r="A42" s="1"/>
      <c r="B42" s="74"/>
      <c r="C42" s="16" t="s">
        <v>71</v>
      </c>
      <c r="D42" s="16"/>
      <c r="E42" s="17"/>
      <c r="F42" s="1"/>
      <c r="G42" s="1"/>
      <c r="H42" s="1"/>
      <c r="I42" s="1"/>
      <c r="J42" s="1"/>
      <c r="K42" s="1"/>
    </row>
    <row r="43" spans="1:11" ht="15">
      <c r="A43" s="1"/>
      <c r="B43" s="74"/>
      <c r="C43" s="16" t="s">
        <v>72</v>
      </c>
      <c r="D43" s="16"/>
      <c r="E43" s="17"/>
      <c r="F43" s="1"/>
      <c r="G43" s="1"/>
      <c r="H43" s="1"/>
      <c r="I43" s="1"/>
      <c r="J43" s="1"/>
      <c r="K43" s="1"/>
    </row>
    <row r="44" spans="1:11" ht="15">
      <c r="A44" s="1"/>
      <c r="B44" s="74"/>
      <c r="C44" s="16" t="s">
        <v>73</v>
      </c>
      <c r="D44" s="16"/>
      <c r="E44" s="17"/>
      <c r="F44" s="1"/>
      <c r="G44" s="1"/>
      <c r="H44" s="1"/>
      <c r="I44" s="1"/>
      <c r="J44" s="1"/>
      <c r="K44" s="1"/>
    </row>
    <row r="45" spans="1:11" ht="15">
      <c r="A45" s="1"/>
      <c r="B45" s="74"/>
      <c r="C45" s="16" t="s">
        <v>74</v>
      </c>
      <c r="D45" s="16"/>
      <c r="E45" s="17"/>
      <c r="F45" s="1"/>
      <c r="G45" s="1"/>
      <c r="H45" s="1"/>
      <c r="I45" s="1"/>
      <c r="J45" s="1"/>
      <c r="K45" s="1"/>
    </row>
    <row r="46" spans="1:11" ht="15">
      <c r="A46" s="1"/>
      <c r="B46" s="74"/>
      <c r="C46" s="16" t="s">
        <v>75</v>
      </c>
      <c r="D46" s="16"/>
      <c r="E46" s="17"/>
      <c r="F46" s="1"/>
      <c r="G46" s="1"/>
      <c r="H46" s="1"/>
      <c r="I46" s="1"/>
      <c r="J46" s="1"/>
      <c r="K46" s="1"/>
    </row>
    <row r="47" spans="1:11" ht="15">
      <c r="A47" s="1"/>
      <c r="B47" s="74"/>
      <c r="C47" s="16" t="s">
        <v>76</v>
      </c>
      <c r="D47" s="16"/>
      <c r="E47" s="17"/>
      <c r="F47" s="1"/>
      <c r="G47" s="1"/>
      <c r="H47" s="1"/>
      <c r="I47" s="1"/>
      <c r="J47" s="1"/>
      <c r="K47" s="1"/>
    </row>
    <row r="48" spans="1:11" ht="15">
      <c r="A48" s="1"/>
      <c r="B48" s="74"/>
      <c r="C48" s="16" t="s">
        <v>77</v>
      </c>
      <c r="D48" s="16"/>
      <c r="E48" s="17"/>
      <c r="F48" s="1"/>
      <c r="G48" s="1"/>
      <c r="H48" s="1"/>
      <c r="I48" s="1"/>
      <c r="J48" s="1"/>
      <c r="K48" s="1"/>
    </row>
    <row r="49" spans="1:11" ht="15">
      <c r="A49" s="1"/>
      <c r="B49" s="74"/>
      <c r="C49" s="16" t="s">
        <v>78</v>
      </c>
      <c r="D49" s="16"/>
      <c r="E49" s="17"/>
      <c r="F49" s="1"/>
      <c r="G49" s="1"/>
      <c r="H49" s="1"/>
      <c r="I49" s="1"/>
      <c r="J49" s="1"/>
      <c r="K49" s="1"/>
    </row>
    <row r="50" spans="1:11" ht="15">
      <c r="A50" s="1"/>
      <c r="B50" s="74"/>
      <c r="C50" s="16" t="s">
        <v>79</v>
      </c>
      <c r="D50" s="16"/>
      <c r="E50" s="17"/>
      <c r="F50" s="1"/>
      <c r="G50" s="1"/>
      <c r="H50" s="1"/>
      <c r="I50" s="1"/>
      <c r="J50" s="1"/>
      <c r="K50" s="1"/>
    </row>
    <row r="51" spans="1:11" ht="15">
      <c r="A51" s="1"/>
      <c r="B51" s="74"/>
      <c r="C51" s="16" t="s">
        <v>80</v>
      </c>
      <c r="D51" s="16"/>
      <c r="E51" s="17"/>
      <c r="F51" s="1"/>
      <c r="G51" s="1"/>
      <c r="H51" s="1"/>
      <c r="I51" s="1"/>
      <c r="J51" s="1"/>
      <c r="K51" s="1"/>
    </row>
    <row r="52" spans="1:11" ht="15">
      <c r="A52" s="1"/>
      <c r="B52" s="74"/>
      <c r="C52" s="16"/>
      <c r="D52" s="16"/>
      <c r="E52" s="17"/>
      <c r="F52" s="1"/>
      <c r="G52" s="1"/>
      <c r="H52" s="1"/>
      <c r="I52" s="1"/>
      <c r="J52" s="1"/>
      <c r="K52" s="1"/>
    </row>
    <row r="53" spans="1:11" ht="15">
      <c r="A53" s="1"/>
      <c r="B53" s="74" t="s">
        <v>189</v>
      </c>
      <c r="C53" s="16" t="s">
        <v>81</v>
      </c>
      <c r="D53" s="16"/>
      <c r="E53" s="17"/>
      <c r="F53" s="1"/>
      <c r="G53" s="1"/>
      <c r="H53" s="1"/>
      <c r="I53" s="1"/>
      <c r="J53" s="1"/>
      <c r="K53" s="1"/>
    </row>
    <row r="54" spans="1:11" ht="15">
      <c r="A54" s="1"/>
      <c r="B54" s="74"/>
      <c r="C54" s="16" t="s">
        <v>82</v>
      </c>
      <c r="D54" s="16"/>
      <c r="E54" s="17"/>
      <c r="F54" s="1"/>
      <c r="G54" s="1"/>
      <c r="H54" s="1"/>
      <c r="I54" s="1"/>
      <c r="J54" s="1"/>
      <c r="K54" s="1"/>
    </row>
    <row r="55" spans="1:11" ht="15">
      <c r="A55" s="1"/>
      <c r="B55" s="74"/>
      <c r="C55" s="16" t="s">
        <v>83</v>
      </c>
      <c r="D55" s="16"/>
      <c r="E55" s="17"/>
      <c r="F55" s="1"/>
      <c r="G55" s="1"/>
      <c r="H55" s="1"/>
      <c r="I55" s="1"/>
      <c r="J55" s="1"/>
      <c r="K55" s="1"/>
    </row>
    <row r="56" spans="1:11" ht="15">
      <c r="A56" s="1"/>
      <c r="B56" s="74"/>
      <c r="C56" s="16" t="s">
        <v>84</v>
      </c>
      <c r="D56" s="16"/>
      <c r="E56" s="17"/>
      <c r="F56" s="1"/>
      <c r="G56" s="1"/>
      <c r="H56" s="1"/>
      <c r="I56" s="1"/>
      <c r="J56" s="1"/>
      <c r="K56" s="1"/>
    </row>
    <row r="57" spans="1:11" ht="15">
      <c r="A57" s="1"/>
      <c r="B57" s="74"/>
      <c r="C57" s="16" t="s">
        <v>85</v>
      </c>
      <c r="D57" s="16"/>
      <c r="E57" s="17"/>
      <c r="F57" s="1"/>
      <c r="G57" s="1"/>
      <c r="H57" s="1"/>
      <c r="I57" s="1"/>
      <c r="J57" s="1"/>
      <c r="K57" s="1"/>
    </row>
    <row r="58" spans="1:11" ht="15">
      <c r="A58" s="1"/>
      <c r="B58" s="74"/>
      <c r="C58" s="32" t="str">
        <f>"to $"&amp;D8+D18&amp;" instead of $"&amp;D8+D14&amp;"."</f>
        <v>to $27900 instead of $27500.</v>
      </c>
      <c r="D58" s="16"/>
      <c r="E58" s="17"/>
      <c r="F58" s="1"/>
      <c r="G58" s="1"/>
      <c r="H58" s="1"/>
      <c r="I58" s="1"/>
      <c r="J58" s="1"/>
      <c r="K58" s="1"/>
    </row>
    <row r="59" spans="1:11" ht="15">
      <c r="A59" s="1"/>
      <c r="B59" s="74"/>
      <c r="C59" s="16"/>
      <c r="D59" s="16"/>
      <c r="E59" s="17"/>
      <c r="F59" s="1"/>
      <c r="G59" s="1"/>
      <c r="H59" s="1"/>
      <c r="I59" s="1"/>
      <c r="J59" s="1"/>
      <c r="K59" s="1"/>
    </row>
    <row r="60" spans="1:11" ht="15">
      <c r="A60" s="1"/>
      <c r="B60" s="74" t="s">
        <v>201</v>
      </c>
      <c r="C60" s="16" t="s">
        <v>86</v>
      </c>
      <c r="D60" s="16"/>
      <c r="E60" s="17"/>
      <c r="F60" s="1"/>
      <c r="G60" s="1"/>
      <c r="H60" s="1"/>
      <c r="I60" s="1"/>
      <c r="J60" s="1"/>
      <c r="K60" s="1"/>
    </row>
    <row r="61" spans="1:11" ht="15">
      <c r="A61" s="1"/>
      <c r="B61" s="74"/>
      <c r="C61" s="16" t="s">
        <v>87</v>
      </c>
      <c r="D61" s="16"/>
      <c r="E61" s="17"/>
      <c r="F61" s="1"/>
      <c r="G61" s="1"/>
      <c r="H61" s="1"/>
      <c r="I61" s="1"/>
      <c r="J61" s="1"/>
      <c r="K61" s="1"/>
    </row>
    <row r="62" spans="1:11" ht="15">
      <c r="A62" s="1"/>
      <c r="B62" s="74"/>
      <c r="C62" s="16" t="s">
        <v>88</v>
      </c>
      <c r="D62" s="16"/>
      <c r="E62" s="17"/>
      <c r="F62" s="1"/>
      <c r="G62" s="1"/>
      <c r="H62" s="1"/>
      <c r="I62" s="1"/>
      <c r="J62" s="1"/>
      <c r="K62" s="1"/>
    </row>
    <row r="63" spans="1:11" ht="15">
      <c r="A63" s="1"/>
      <c r="B63" s="74"/>
      <c r="C63" s="16" t="s">
        <v>89</v>
      </c>
      <c r="D63" s="16"/>
      <c r="E63" s="17"/>
      <c r="F63" s="1"/>
      <c r="G63" s="1"/>
      <c r="H63" s="1"/>
      <c r="I63" s="1"/>
      <c r="J63" s="1"/>
      <c r="K63" s="1"/>
    </row>
    <row r="64" spans="1:11" ht="15">
      <c r="A64" s="1"/>
      <c r="B64" s="74"/>
      <c r="C64" s="16" t="s">
        <v>90</v>
      </c>
      <c r="D64" s="16"/>
      <c r="E64" s="17"/>
      <c r="F64" s="1"/>
      <c r="G64" s="1"/>
      <c r="H64" s="1"/>
      <c r="I64" s="1"/>
      <c r="J64" s="1"/>
      <c r="K64" s="1"/>
    </row>
    <row r="65" spans="1:11" ht="15.75" thickBot="1">
      <c r="A65" s="1"/>
      <c r="B65" s="18"/>
      <c r="C65" s="19"/>
      <c r="D65" s="19"/>
      <c r="E65" s="20"/>
      <c r="F65" s="1"/>
      <c r="G65" s="1"/>
      <c r="H65" s="1"/>
      <c r="I65" s="1"/>
      <c r="J65" s="1"/>
      <c r="K65" s="1"/>
    </row>
    <row r="66" spans="1:11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22"/>
  <dimension ref="A1:K37"/>
  <sheetViews>
    <sheetView workbookViewId="0"/>
  </sheetViews>
  <sheetFormatPr defaultRowHeight="12.75"/>
  <cols>
    <col min="2" max="2" width="3.140625" customWidth="1"/>
    <col min="3" max="3" width="20.42578125" customWidth="1"/>
    <col min="4" max="4" width="18.1406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41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199</v>
      </c>
      <c r="D7" s="21">
        <v>30000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32</v>
      </c>
      <c r="D8" s="27">
        <v>1</v>
      </c>
      <c r="E8" s="8"/>
      <c r="F8" s="1"/>
      <c r="G8" s="1"/>
      <c r="H8" s="1"/>
      <c r="I8" s="1"/>
      <c r="J8" s="1"/>
      <c r="K8" s="1"/>
    </row>
    <row r="9" spans="1:11" ht="15">
      <c r="A9" s="1"/>
      <c r="B9" s="6"/>
      <c r="C9" s="7" t="s">
        <v>33</v>
      </c>
      <c r="D9" s="21">
        <v>36400</v>
      </c>
      <c r="E9" s="8"/>
      <c r="F9" s="1"/>
      <c r="G9" s="1"/>
      <c r="H9" s="1"/>
      <c r="I9" s="1"/>
      <c r="J9" s="1"/>
      <c r="K9" s="1"/>
    </row>
    <row r="10" spans="1:11" ht="15">
      <c r="A10" s="1"/>
      <c r="B10" s="6"/>
      <c r="C10" s="7" t="s">
        <v>16</v>
      </c>
      <c r="D10" s="23">
        <v>0.53</v>
      </c>
      <c r="E10" s="8"/>
      <c r="F10" s="1"/>
      <c r="G10" s="1"/>
      <c r="H10" s="1"/>
      <c r="I10" s="1"/>
      <c r="J10" s="1"/>
      <c r="K10" s="1"/>
    </row>
    <row r="11" spans="1:11" ht="15">
      <c r="A11" s="1"/>
      <c r="B11" s="6"/>
      <c r="C11" s="7" t="s">
        <v>7</v>
      </c>
      <c r="D11" s="23">
        <v>0.05</v>
      </c>
      <c r="E11" s="8"/>
      <c r="F11" s="1"/>
      <c r="G11" s="1"/>
      <c r="H11" s="1"/>
      <c r="I11" s="1"/>
      <c r="J11" s="1"/>
      <c r="K11" s="1"/>
    </row>
    <row r="12" spans="1:11" ht="15.75" thickBot="1">
      <c r="A12" s="1"/>
      <c r="B12" s="9"/>
      <c r="C12" s="10"/>
      <c r="D12" s="10"/>
      <c r="E12" s="11"/>
      <c r="F12" s="1"/>
      <c r="G12" s="1"/>
      <c r="H12" s="1"/>
      <c r="I12" s="1"/>
      <c r="J12" s="1"/>
      <c r="K12" s="1"/>
    </row>
    <row r="13" spans="1:11" ht="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">
      <c r="A14" s="1"/>
      <c r="B14" s="1"/>
      <c r="C14" s="2" t="s">
        <v>2</v>
      </c>
      <c r="D14" s="1"/>
      <c r="E14" s="1"/>
      <c r="F14" s="1"/>
      <c r="G14" s="1"/>
      <c r="H14" s="1"/>
      <c r="I14" s="1"/>
      <c r="J14" s="1"/>
      <c r="K14" s="1"/>
    </row>
    <row r="15" spans="1:11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">
      <c r="A16" s="1"/>
      <c r="B16" s="12"/>
      <c r="C16" s="13"/>
      <c r="D16" s="13"/>
      <c r="E16" s="14"/>
      <c r="F16" s="1"/>
      <c r="G16" s="1"/>
      <c r="H16" s="1"/>
      <c r="I16" s="1"/>
      <c r="J16" s="1"/>
      <c r="K16" s="1"/>
    </row>
    <row r="17" spans="1:11" ht="19.5">
      <c r="A17" s="1"/>
      <c r="B17" s="15"/>
      <c r="C17" s="16" t="s">
        <v>177</v>
      </c>
      <c r="D17" s="57">
        <f>((((LN($D$9/$D$7))+(($D$11+(POWER($D$10,2)/2))*($D$8))))/($D$10*SQRT(($D$8))))</f>
        <v>0.72419130751045213</v>
      </c>
      <c r="E17" s="17"/>
      <c r="F17" s="1"/>
      <c r="G17" s="1"/>
      <c r="H17" s="1"/>
      <c r="I17" s="1"/>
      <c r="J17" s="1"/>
      <c r="K17" s="1"/>
    </row>
    <row r="18" spans="1:11" ht="19.5">
      <c r="A18" s="1"/>
      <c r="B18" s="15"/>
      <c r="C18" s="16" t="s">
        <v>178</v>
      </c>
      <c r="D18" s="57">
        <f>$D$17-$D$10*SQRT($D$8)</f>
        <v>0.1941913075104521</v>
      </c>
      <c r="E18" s="17"/>
      <c r="F18" s="1"/>
      <c r="G18" s="1"/>
      <c r="H18" s="1"/>
      <c r="I18" s="1"/>
      <c r="J18" s="1"/>
      <c r="K18" s="1"/>
    </row>
    <row r="19" spans="1:11" ht="19.5">
      <c r="A19" s="1"/>
      <c r="B19" s="15"/>
      <c r="C19" s="16" t="s">
        <v>179</v>
      </c>
      <c r="D19" s="57">
        <f>NORMSDIST(D17)</f>
        <v>0.76552585281373298</v>
      </c>
      <c r="E19" s="17"/>
      <c r="F19" s="1"/>
      <c r="G19" s="1"/>
      <c r="H19" s="1"/>
      <c r="I19" s="1"/>
      <c r="J19" s="1"/>
      <c r="K19" s="1"/>
    </row>
    <row r="20" spans="1:11" ht="19.5">
      <c r="A20" s="1"/>
      <c r="B20" s="15"/>
      <c r="C20" s="16" t="s">
        <v>180</v>
      </c>
      <c r="D20" s="57">
        <f>NORMSDIST(D18)</f>
        <v>0.57698695553937185</v>
      </c>
      <c r="E20" s="17"/>
      <c r="F20" s="1"/>
      <c r="G20" s="1"/>
      <c r="H20" s="1"/>
      <c r="I20" s="1"/>
      <c r="J20" s="1"/>
      <c r="K20" s="1"/>
    </row>
    <row r="21" spans="1:11" ht="15.75">
      <c r="A21" s="1"/>
      <c r="B21" s="15"/>
      <c r="C21" s="16" t="s">
        <v>197</v>
      </c>
      <c r="D21" s="30">
        <f>(($D$9)*($D$19)-($D$7*EXP(-$D$11*$D$8)*$D$20))</f>
        <v>11399.731952555809</v>
      </c>
      <c r="E21" s="17"/>
      <c r="F21" s="1"/>
      <c r="G21" s="1"/>
      <c r="H21" s="1"/>
      <c r="I21" s="1"/>
      <c r="J21" s="1"/>
      <c r="K21" s="1"/>
    </row>
    <row r="22" spans="1:11" ht="15.75">
      <c r="A22" s="1"/>
      <c r="B22" s="15"/>
      <c r="C22" s="16" t="s">
        <v>198</v>
      </c>
      <c r="D22" s="30">
        <f>(D9)-D21</f>
        <v>25000.268047444191</v>
      </c>
      <c r="E22" s="17"/>
      <c r="F22" s="1"/>
      <c r="G22" s="1"/>
      <c r="H22" s="1"/>
      <c r="I22" s="1"/>
      <c r="J22" s="1"/>
      <c r="K22" s="1"/>
    </row>
    <row r="23" spans="1:11" ht="15.75">
      <c r="A23" s="1"/>
      <c r="B23" s="15"/>
      <c r="C23" s="16" t="s">
        <v>202</v>
      </c>
      <c r="D23" s="42">
        <f>LN(D22/D7)/-1</f>
        <v>0.1823108349536661</v>
      </c>
      <c r="E23" s="17"/>
      <c r="F23" s="1"/>
      <c r="G23" s="1"/>
      <c r="H23" s="1"/>
      <c r="I23" s="1"/>
      <c r="J23" s="1"/>
      <c r="K23" s="1"/>
    </row>
    <row r="24" spans="1:11" ht="15.75" thickBot="1">
      <c r="A24" s="1"/>
      <c r="B24" s="18"/>
      <c r="C24" s="19"/>
      <c r="D24" s="19"/>
      <c r="E24" s="20"/>
      <c r="F24" s="1"/>
      <c r="G24" s="1"/>
      <c r="H24" s="1"/>
      <c r="I24" s="1"/>
      <c r="J24" s="1"/>
      <c r="K24" s="1"/>
    </row>
    <row r="25" spans="1:11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23"/>
  <dimension ref="A1:K55"/>
  <sheetViews>
    <sheetView workbookViewId="0"/>
  </sheetViews>
  <sheetFormatPr defaultRowHeight="12.75"/>
  <cols>
    <col min="2" max="2" width="3.140625" customWidth="1"/>
    <col min="3" max="3" width="22.140625" customWidth="1"/>
    <col min="4" max="4" width="18.710937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42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199</v>
      </c>
      <c r="D7" s="65">
        <f ca="1">'#21'!D7+'#23'!D7</f>
        <v>55000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33</v>
      </c>
      <c r="D8" s="65">
        <f ca="1">'#21'!D9+'#23'!D9</f>
        <v>62700</v>
      </c>
      <c r="E8" s="8"/>
      <c r="F8" s="1"/>
      <c r="G8" s="1"/>
      <c r="H8" s="1"/>
      <c r="I8" s="1"/>
      <c r="J8" s="1"/>
      <c r="K8" s="1"/>
    </row>
    <row r="9" spans="1:11" ht="15">
      <c r="A9" s="1"/>
      <c r="B9" s="6"/>
      <c r="C9" s="7" t="s">
        <v>32</v>
      </c>
      <c r="D9" s="67">
        <f ca="1">'#23'!D8</f>
        <v>1</v>
      </c>
      <c r="E9" s="8"/>
      <c r="F9" s="1"/>
      <c r="G9" s="1"/>
      <c r="H9" s="1"/>
      <c r="I9" s="1"/>
      <c r="J9" s="1"/>
      <c r="K9" s="1"/>
    </row>
    <row r="10" spans="1:11" ht="15">
      <c r="A10" s="1"/>
      <c r="B10" s="6"/>
      <c r="C10" s="7" t="s">
        <v>16</v>
      </c>
      <c r="D10" s="23">
        <v>0.28999999999999998</v>
      </c>
      <c r="E10" s="8"/>
      <c r="F10" s="1"/>
      <c r="G10" s="1"/>
      <c r="H10" s="1"/>
      <c r="I10" s="1"/>
      <c r="J10" s="1"/>
      <c r="K10" s="1"/>
    </row>
    <row r="11" spans="1:11" ht="15">
      <c r="A11" s="1"/>
      <c r="B11" s="6"/>
      <c r="C11" s="7" t="s">
        <v>7</v>
      </c>
      <c r="D11" s="66">
        <f ca="1">'#23'!D11</f>
        <v>0.05</v>
      </c>
      <c r="E11" s="8"/>
      <c r="F11" s="1"/>
      <c r="G11" s="1"/>
      <c r="H11" s="1"/>
      <c r="I11" s="1"/>
      <c r="J11" s="1"/>
      <c r="K11" s="1"/>
    </row>
    <row r="12" spans="1:11" ht="15">
      <c r="A12" s="1"/>
      <c r="B12" s="6"/>
      <c r="C12" s="7" t="s">
        <v>355</v>
      </c>
      <c r="D12" s="77">
        <f ca="1">'#21'!D21</f>
        <v>5162.9766386583306</v>
      </c>
      <c r="E12" s="8"/>
      <c r="F12" s="1"/>
      <c r="G12" s="1"/>
      <c r="H12" s="1"/>
      <c r="I12" s="1"/>
      <c r="J12" s="1"/>
      <c r="K12" s="1"/>
    </row>
    <row r="13" spans="1:11" ht="15">
      <c r="A13" s="1"/>
      <c r="B13" s="6"/>
      <c r="C13" s="7" t="s">
        <v>356</v>
      </c>
      <c r="D13" s="77">
        <f ca="1">'#23'!D21</f>
        <v>11399.731952555809</v>
      </c>
      <c r="E13" s="8"/>
      <c r="F13" s="1"/>
      <c r="G13" s="1"/>
      <c r="H13" s="1"/>
      <c r="I13" s="1"/>
      <c r="J13" s="1"/>
      <c r="K13" s="1"/>
    </row>
    <row r="14" spans="1:11" ht="15">
      <c r="A14" s="1"/>
      <c r="B14" s="6"/>
      <c r="C14" s="7" t="s">
        <v>357</v>
      </c>
      <c r="D14" s="77">
        <f ca="1">'#21'!D22</f>
        <v>21137.023361341671</v>
      </c>
      <c r="E14" s="8"/>
      <c r="F14" s="1"/>
      <c r="G14" s="1"/>
      <c r="H14" s="1"/>
      <c r="I14" s="1"/>
      <c r="J14" s="1"/>
      <c r="K14" s="1"/>
    </row>
    <row r="15" spans="1:11" ht="15">
      <c r="A15" s="1"/>
      <c r="B15" s="6"/>
      <c r="C15" s="7" t="s">
        <v>358</v>
      </c>
      <c r="D15" s="77">
        <f ca="1">'#23'!D22</f>
        <v>25000.268047444191</v>
      </c>
      <c r="E15" s="8"/>
      <c r="F15" s="1"/>
      <c r="G15" s="1"/>
      <c r="H15" s="1"/>
      <c r="I15" s="1"/>
      <c r="J15" s="1"/>
      <c r="K15" s="1"/>
    </row>
    <row r="16" spans="1:11" ht="15.75" thickBot="1">
      <c r="A16" s="1"/>
      <c r="B16" s="9"/>
      <c r="C16" s="10"/>
      <c r="D16" s="10"/>
      <c r="E16" s="11"/>
      <c r="F16" s="1"/>
      <c r="G16" s="1"/>
      <c r="H16" s="1"/>
      <c r="I16" s="1"/>
      <c r="J16" s="1"/>
      <c r="K16" s="1"/>
    </row>
    <row r="17" spans="1:11" ht="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5">
      <c r="A18" s="1"/>
      <c r="B18" s="1"/>
      <c r="C18" s="2" t="s">
        <v>2</v>
      </c>
      <c r="D18" s="1"/>
      <c r="E18" s="1"/>
      <c r="F18" s="1"/>
      <c r="G18" s="1"/>
      <c r="H18" s="1"/>
      <c r="I18" s="1"/>
      <c r="J18" s="1"/>
      <c r="K18" s="1"/>
    </row>
    <row r="19" spans="1:11" ht="15.75" thickBo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15">
      <c r="A20" s="1"/>
      <c r="B20" s="12"/>
      <c r="C20" s="13"/>
      <c r="D20" s="13"/>
      <c r="E20" s="14"/>
      <c r="F20" s="1"/>
      <c r="G20" s="1"/>
      <c r="H20" s="1"/>
      <c r="I20" s="1"/>
      <c r="J20" s="1"/>
      <c r="K20" s="1"/>
    </row>
    <row r="21" spans="1:11" ht="15.75">
      <c r="A21" s="1"/>
      <c r="B21" s="74" t="s">
        <v>187</v>
      </c>
      <c r="C21" s="16" t="s">
        <v>93</v>
      </c>
      <c r="D21" s="30">
        <f>D12+D13</f>
        <v>16562.708591214141</v>
      </c>
      <c r="E21" s="17"/>
      <c r="F21" s="1"/>
      <c r="G21" s="1"/>
      <c r="H21" s="1"/>
      <c r="I21" s="1"/>
      <c r="J21" s="1"/>
      <c r="K21" s="1"/>
    </row>
    <row r="22" spans="1:11" ht="15.75">
      <c r="A22" s="1"/>
      <c r="B22" s="74"/>
      <c r="C22" s="16" t="s">
        <v>92</v>
      </c>
      <c r="D22" s="30">
        <f>D14+D15</f>
        <v>46137.291408785866</v>
      </c>
      <c r="E22" s="17"/>
      <c r="F22" s="1"/>
      <c r="G22" s="1"/>
      <c r="H22" s="1"/>
      <c r="I22" s="1"/>
      <c r="J22" s="1"/>
      <c r="K22" s="1"/>
    </row>
    <row r="23" spans="1:11" ht="15">
      <c r="A23" s="1"/>
      <c r="B23" s="74"/>
      <c r="C23" s="16"/>
      <c r="D23" s="35"/>
      <c r="E23" s="17"/>
      <c r="F23" s="1"/>
      <c r="G23" s="1"/>
      <c r="H23" s="1"/>
      <c r="I23" s="1"/>
      <c r="J23" s="1"/>
      <c r="K23" s="1"/>
    </row>
    <row r="24" spans="1:11" ht="19.5">
      <c r="A24" s="1"/>
      <c r="B24" s="74" t="s">
        <v>188</v>
      </c>
      <c r="C24" s="16" t="s">
        <v>177</v>
      </c>
      <c r="D24" s="57">
        <f>((((LN($D$8/$D$7))+(($D$11+(POWER($D$10,2)/2))*($D$9))))/($D$10*SQRT(($D$9))))</f>
        <v>0.76923538760828969</v>
      </c>
      <c r="E24" s="17"/>
      <c r="F24" s="1"/>
      <c r="G24" s="1"/>
      <c r="H24" s="1"/>
      <c r="I24" s="1"/>
      <c r="J24" s="1"/>
      <c r="K24" s="1"/>
    </row>
    <row r="25" spans="1:11" ht="19.5">
      <c r="A25" s="1"/>
      <c r="B25" s="74"/>
      <c r="C25" s="16" t="s">
        <v>178</v>
      </c>
      <c r="D25" s="57">
        <f>$D$24-$D$10*SQRT($D$9)</f>
        <v>0.47923538760828971</v>
      </c>
      <c r="E25" s="17"/>
      <c r="F25" s="1"/>
      <c r="G25" s="1"/>
      <c r="H25" s="1"/>
      <c r="I25" s="1"/>
      <c r="J25" s="1"/>
      <c r="K25" s="1"/>
    </row>
    <row r="26" spans="1:11" ht="19.5">
      <c r="A26" s="1"/>
      <c r="B26" s="74"/>
      <c r="C26" s="16" t="s">
        <v>179</v>
      </c>
      <c r="D26" s="57">
        <f>NORMSDIST(D24)</f>
        <v>0.77912320688282488</v>
      </c>
      <c r="E26" s="17"/>
      <c r="F26" s="1"/>
      <c r="G26" s="1"/>
      <c r="H26" s="1"/>
      <c r="I26" s="1"/>
      <c r="J26" s="1"/>
      <c r="K26" s="1"/>
    </row>
    <row r="27" spans="1:11" ht="19.5">
      <c r="A27" s="1"/>
      <c r="B27" s="74"/>
      <c r="C27" s="16" t="s">
        <v>180</v>
      </c>
      <c r="D27" s="57">
        <f>NORMSDIST(D25)</f>
        <v>0.68411440904184195</v>
      </c>
      <c r="E27" s="17"/>
      <c r="F27" s="1"/>
      <c r="G27" s="1"/>
      <c r="H27" s="1"/>
      <c r="I27" s="1"/>
      <c r="J27" s="1"/>
      <c r="K27" s="1"/>
    </row>
    <row r="28" spans="1:11" ht="15.75">
      <c r="A28" s="1"/>
      <c r="B28" s="74"/>
      <c r="C28" s="16" t="s">
        <v>197</v>
      </c>
      <c r="D28" s="30">
        <f>(($D$8)*($D$26)-($D$7*EXP(-$D$11*$D$9)*$D$27))</f>
        <v>13059.788513249667</v>
      </c>
      <c r="E28" s="17"/>
      <c r="F28" s="1"/>
      <c r="G28" s="1"/>
      <c r="H28" s="1"/>
      <c r="I28" s="1"/>
      <c r="J28" s="1"/>
      <c r="K28" s="1"/>
    </row>
    <row r="29" spans="1:11" ht="15.75">
      <c r="A29" s="1"/>
      <c r="B29" s="74"/>
      <c r="C29" s="16" t="s">
        <v>198</v>
      </c>
      <c r="D29" s="30">
        <f>D8-D28</f>
        <v>49640.211486750333</v>
      </c>
      <c r="E29" s="17"/>
      <c r="F29" s="1"/>
      <c r="G29" s="1"/>
      <c r="H29" s="1"/>
      <c r="I29" s="1"/>
      <c r="J29" s="1"/>
      <c r="K29" s="1"/>
    </row>
    <row r="30" spans="1:11" ht="15">
      <c r="A30" s="1"/>
      <c r="B30" s="74"/>
      <c r="C30" s="16"/>
      <c r="D30" s="39"/>
      <c r="E30" s="17"/>
      <c r="F30" s="1"/>
      <c r="G30" s="1"/>
      <c r="H30" s="1"/>
      <c r="I30" s="1"/>
      <c r="J30" s="1"/>
      <c r="K30" s="1"/>
    </row>
    <row r="31" spans="1:11" ht="15.75">
      <c r="A31" s="1"/>
      <c r="B31" s="74" t="s">
        <v>189</v>
      </c>
      <c r="C31" s="16" t="s">
        <v>93</v>
      </c>
      <c r="D31" s="30">
        <f>D28-D21</f>
        <v>-3502.9200779644743</v>
      </c>
      <c r="E31" s="17"/>
      <c r="F31" s="1"/>
      <c r="G31" s="1"/>
      <c r="H31" s="1"/>
      <c r="I31" s="1"/>
      <c r="J31" s="1"/>
      <c r="K31" s="1"/>
    </row>
    <row r="32" spans="1:11" ht="15.75">
      <c r="A32" s="1"/>
      <c r="B32" s="74"/>
      <c r="C32" s="16" t="s">
        <v>92</v>
      </c>
      <c r="D32" s="30">
        <f>D29-D22</f>
        <v>3502.9200779644671</v>
      </c>
      <c r="E32" s="17"/>
      <c r="F32" s="1"/>
      <c r="G32" s="1"/>
      <c r="H32" s="1"/>
      <c r="I32" s="1"/>
      <c r="J32" s="1"/>
      <c r="K32" s="1"/>
    </row>
    <row r="33" spans="1:11" ht="15">
      <c r="A33" s="1"/>
      <c r="B33" s="74"/>
      <c r="C33" s="16"/>
      <c r="D33" s="33"/>
      <c r="E33" s="17"/>
      <c r="F33" s="1"/>
      <c r="G33" s="1"/>
      <c r="H33" s="1"/>
      <c r="I33" s="1"/>
      <c r="J33" s="1"/>
      <c r="K33" s="1"/>
    </row>
    <row r="34" spans="1:11" ht="15">
      <c r="A34" s="1"/>
      <c r="B34" s="74" t="s">
        <v>201</v>
      </c>
      <c r="C34" s="16" t="s">
        <v>205</v>
      </c>
      <c r="D34" s="32"/>
      <c r="E34" s="17"/>
      <c r="F34" s="1"/>
      <c r="G34" s="1"/>
      <c r="H34" s="1"/>
      <c r="I34" s="1"/>
      <c r="J34" s="1"/>
      <c r="K34" s="1"/>
    </row>
    <row r="35" spans="1:11" ht="15">
      <c r="A35" s="1"/>
      <c r="B35" s="74"/>
      <c r="C35" s="16" t="s">
        <v>206</v>
      </c>
      <c r="D35" s="16"/>
      <c r="E35" s="17"/>
      <c r="F35" s="1"/>
      <c r="G35" s="1"/>
      <c r="H35" s="1"/>
      <c r="I35" s="1"/>
      <c r="J35" s="1"/>
      <c r="K35" s="1"/>
    </row>
    <row r="36" spans="1:11" ht="15">
      <c r="A36" s="1"/>
      <c r="B36" s="74"/>
      <c r="C36" s="16" t="s">
        <v>207</v>
      </c>
      <c r="D36" s="16"/>
      <c r="E36" s="17"/>
      <c r="F36" s="1"/>
      <c r="G36" s="1"/>
      <c r="H36" s="1"/>
      <c r="I36" s="1"/>
      <c r="J36" s="1"/>
      <c r="K36" s="1"/>
    </row>
    <row r="37" spans="1:11" ht="15">
      <c r="A37" s="1"/>
      <c r="B37" s="74"/>
      <c r="C37" s="16" t="s">
        <v>94</v>
      </c>
      <c r="D37" s="16"/>
      <c r="E37" s="17"/>
      <c r="F37" s="1"/>
      <c r="G37" s="1"/>
      <c r="H37" s="1"/>
      <c r="I37" s="1"/>
      <c r="J37" s="1"/>
      <c r="K37" s="1"/>
    </row>
    <row r="38" spans="1:11" ht="15">
      <c r="A38" s="1"/>
      <c r="B38" s="74"/>
      <c r="C38" s="16" t="s">
        <v>95</v>
      </c>
      <c r="D38" s="16"/>
      <c r="E38" s="17"/>
      <c r="F38" s="1"/>
      <c r="G38" s="1"/>
      <c r="H38" s="1"/>
      <c r="I38" s="1"/>
      <c r="J38" s="1"/>
      <c r="K38" s="1"/>
    </row>
    <row r="39" spans="1:11" ht="15">
      <c r="A39" s="1"/>
      <c r="B39" s="74"/>
      <c r="C39" s="16" t="s">
        <v>96</v>
      </c>
      <c r="D39" s="16"/>
      <c r="E39" s="17"/>
      <c r="F39" s="1"/>
      <c r="G39" s="1"/>
      <c r="H39" s="1"/>
      <c r="I39" s="1"/>
      <c r="J39" s="1"/>
      <c r="K39" s="1"/>
    </row>
    <row r="40" spans="1:11" ht="15">
      <c r="A40" s="1"/>
      <c r="B40" s="74"/>
      <c r="C40" s="16" t="s">
        <v>203</v>
      </c>
      <c r="D40" s="16"/>
      <c r="E40" s="17"/>
      <c r="F40" s="1"/>
      <c r="G40" s="1"/>
      <c r="H40" s="1"/>
      <c r="I40" s="1"/>
      <c r="J40" s="1"/>
      <c r="K40" s="1"/>
    </row>
    <row r="41" spans="1:11" ht="15">
      <c r="A41" s="1"/>
      <c r="B41" s="74"/>
      <c r="C41" s="16" t="s">
        <v>204</v>
      </c>
      <c r="D41" s="16"/>
      <c r="E41" s="17"/>
      <c r="F41" s="1"/>
      <c r="G41" s="1"/>
      <c r="H41" s="1"/>
      <c r="I41" s="1"/>
      <c r="J41" s="1"/>
      <c r="K41" s="1"/>
    </row>
    <row r="42" spans="1:11" ht="15.75" thickBot="1">
      <c r="A42" s="1"/>
      <c r="B42" s="78"/>
      <c r="C42" s="19"/>
      <c r="D42" s="19"/>
      <c r="E42" s="20"/>
      <c r="F42" s="1"/>
      <c r="G42" s="1"/>
      <c r="H42" s="1"/>
      <c r="I42" s="1"/>
      <c r="J42" s="1"/>
      <c r="K42" s="1"/>
    </row>
    <row r="43" spans="1:11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24"/>
  <dimension ref="A1:K59"/>
  <sheetViews>
    <sheetView workbookViewId="0"/>
  </sheetViews>
  <sheetFormatPr defaultRowHeight="12.75"/>
  <cols>
    <col min="2" max="2" width="3.140625" customWidth="1"/>
    <col min="3" max="3" width="21" customWidth="1"/>
    <col min="4" max="4" width="18.85546875" bestFit="1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44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32</v>
      </c>
      <c r="D7" s="27">
        <v>10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199</v>
      </c>
      <c r="D8" s="21">
        <v>15000000</v>
      </c>
      <c r="E8" s="8"/>
      <c r="F8" s="1"/>
      <c r="G8" s="1"/>
      <c r="H8" s="1"/>
      <c r="I8" s="1"/>
      <c r="J8" s="1"/>
      <c r="K8" s="1"/>
    </row>
    <row r="9" spans="1:11" ht="15">
      <c r="A9" s="1"/>
      <c r="B9" s="6"/>
      <c r="C9" s="7" t="s">
        <v>33</v>
      </c>
      <c r="D9" s="21">
        <v>13400000</v>
      </c>
      <c r="E9" s="8"/>
      <c r="F9" s="1"/>
      <c r="G9" s="1"/>
      <c r="H9" s="1"/>
      <c r="I9" s="1"/>
      <c r="J9" s="1"/>
      <c r="K9" s="1"/>
    </row>
    <row r="10" spans="1:11" ht="15">
      <c r="A10" s="1"/>
      <c r="B10" s="6"/>
      <c r="C10" s="7" t="s">
        <v>16</v>
      </c>
      <c r="D10" s="23">
        <v>0.39</v>
      </c>
      <c r="E10" s="8"/>
      <c r="F10" s="1"/>
      <c r="G10" s="1"/>
      <c r="H10" s="1"/>
      <c r="I10" s="1"/>
      <c r="J10" s="1"/>
      <c r="K10" s="1"/>
    </row>
    <row r="11" spans="1:11" ht="15">
      <c r="A11" s="1"/>
      <c r="B11" s="6"/>
      <c r="C11" s="7" t="s">
        <v>7</v>
      </c>
      <c r="D11" s="23">
        <v>0.06</v>
      </c>
      <c r="E11" s="8"/>
      <c r="F11" s="1"/>
      <c r="G11" s="1"/>
      <c r="H11" s="1"/>
      <c r="I11" s="1"/>
      <c r="J11" s="1"/>
      <c r="K11" s="1"/>
    </row>
    <row r="12" spans="1:11" ht="15">
      <c r="A12" s="1"/>
      <c r="B12" s="6"/>
      <c r="C12" s="7" t="s">
        <v>36</v>
      </c>
      <c r="D12" s="21">
        <v>1200000</v>
      </c>
      <c r="E12" s="8"/>
      <c r="F12" s="1"/>
      <c r="G12" s="1"/>
      <c r="H12" s="1"/>
      <c r="I12" s="1"/>
      <c r="J12" s="1"/>
      <c r="K12" s="1"/>
    </row>
    <row r="13" spans="1:11" ht="15.75" thickBot="1">
      <c r="A13" s="1"/>
      <c r="B13" s="9"/>
      <c r="C13" s="10"/>
      <c r="D13" s="10"/>
      <c r="E13" s="11"/>
      <c r="F13" s="1"/>
      <c r="G13" s="1"/>
      <c r="H13" s="1"/>
      <c r="I13" s="1"/>
      <c r="J13" s="1"/>
      <c r="K13" s="1"/>
    </row>
    <row r="14" spans="1:11" ht="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5">
      <c r="A15" s="1"/>
      <c r="B15" s="1"/>
      <c r="C15" s="2" t="s">
        <v>2</v>
      </c>
      <c r="D15" s="1"/>
      <c r="E15" s="1"/>
      <c r="F15" s="1"/>
      <c r="G15" s="1"/>
      <c r="H15" s="1"/>
      <c r="I15" s="1"/>
      <c r="J15" s="1"/>
      <c r="K15" s="1"/>
    </row>
    <row r="16" spans="1:11" ht="15.75" thickBo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5">
      <c r="A17" s="1"/>
      <c r="B17" s="12"/>
      <c r="C17" s="13"/>
      <c r="D17" s="13"/>
      <c r="E17" s="14"/>
      <c r="F17" s="1"/>
      <c r="G17" s="1"/>
      <c r="H17" s="1"/>
      <c r="I17" s="1"/>
      <c r="J17" s="1"/>
      <c r="K17" s="1"/>
    </row>
    <row r="18" spans="1:11" ht="19.5">
      <c r="A18" s="1"/>
      <c r="B18" s="74" t="s">
        <v>187</v>
      </c>
      <c r="C18" s="16" t="s">
        <v>177</v>
      </c>
      <c r="D18" s="57">
        <f>((((LN($D$9/$D$8))+(($D$11+(POWER($D$10,2)/2))*($D$7))))/($D$10*SQRT(($D$7))))</f>
        <v>1.011689252655283</v>
      </c>
      <c r="E18" s="17"/>
      <c r="F18" s="1"/>
      <c r="G18" s="1"/>
      <c r="H18" s="1"/>
      <c r="I18" s="1"/>
      <c r="J18" s="1"/>
      <c r="K18" s="1"/>
    </row>
    <row r="19" spans="1:11" ht="19.5">
      <c r="A19" s="1"/>
      <c r="B19" s="74"/>
      <c r="C19" s="16" t="s">
        <v>178</v>
      </c>
      <c r="D19" s="57">
        <f>$D$18-$D$10*SQRT($D$7)</f>
        <v>-0.22159903481038512</v>
      </c>
      <c r="E19" s="17"/>
      <c r="F19" s="1"/>
      <c r="G19" s="1"/>
      <c r="H19" s="1"/>
      <c r="I19" s="1"/>
      <c r="J19" s="1"/>
      <c r="K19" s="1"/>
    </row>
    <row r="20" spans="1:11" ht="19.5">
      <c r="A20" s="1"/>
      <c r="B20" s="74"/>
      <c r="C20" s="16" t="s">
        <v>179</v>
      </c>
      <c r="D20" s="57">
        <f>NORMSDIST(D18)</f>
        <v>0.84415667210434875</v>
      </c>
      <c r="E20" s="17"/>
      <c r="F20" s="1"/>
      <c r="G20" s="1"/>
      <c r="H20" s="1"/>
      <c r="I20" s="1"/>
      <c r="J20" s="1"/>
      <c r="K20" s="1"/>
    </row>
    <row r="21" spans="1:11" ht="19.5">
      <c r="A21" s="1"/>
      <c r="B21" s="74"/>
      <c r="C21" s="16" t="s">
        <v>180</v>
      </c>
      <c r="D21" s="57">
        <f>NORMSDIST(D19)</f>
        <v>0.4123130169623952</v>
      </c>
      <c r="E21" s="17"/>
      <c r="F21" s="1"/>
      <c r="G21" s="1"/>
      <c r="H21" s="1"/>
      <c r="I21" s="1"/>
      <c r="J21" s="1"/>
      <c r="K21" s="1"/>
    </row>
    <row r="22" spans="1:11" ht="15.75">
      <c r="A22" s="1"/>
      <c r="B22" s="74"/>
      <c r="C22" s="16" t="s">
        <v>197</v>
      </c>
      <c r="D22" s="30">
        <f>(($D$9)*($D$20)-($D$8*EXP(-$D$11*$D$7)*$D$21))</f>
        <v>7917466.6848683301</v>
      </c>
      <c r="E22" s="17"/>
      <c r="F22" s="1"/>
      <c r="G22" s="1"/>
      <c r="H22" s="1"/>
      <c r="I22" s="1"/>
      <c r="J22" s="1"/>
      <c r="K22" s="1"/>
    </row>
    <row r="23" spans="1:11" ht="15">
      <c r="A23" s="1"/>
      <c r="B23" s="74"/>
      <c r="C23" s="16"/>
      <c r="D23" s="35"/>
      <c r="E23" s="17"/>
      <c r="F23" s="1"/>
      <c r="G23" s="1"/>
      <c r="H23" s="1"/>
      <c r="I23" s="1"/>
      <c r="J23" s="1"/>
      <c r="K23" s="1"/>
    </row>
    <row r="24" spans="1:11" ht="15.75">
      <c r="A24" s="1"/>
      <c r="B24" s="74" t="s">
        <v>188</v>
      </c>
      <c r="C24" s="16" t="s">
        <v>198</v>
      </c>
      <c r="D24" s="30">
        <f>(D9)-D22</f>
        <v>5482533.3151316699</v>
      </c>
      <c r="E24" s="17"/>
      <c r="F24" s="1"/>
      <c r="G24" s="1"/>
      <c r="H24" s="1"/>
      <c r="I24" s="1"/>
      <c r="J24" s="1"/>
      <c r="K24" s="1"/>
    </row>
    <row r="25" spans="1:11" ht="15">
      <c r="A25" s="1"/>
      <c r="B25" s="74"/>
      <c r="C25" s="16"/>
      <c r="D25" s="34"/>
      <c r="E25" s="17"/>
      <c r="F25" s="1"/>
      <c r="G25" s="1"/>
      <c r="H25" s="1"/>
      <c r="I25" s="1"/>
      <c r="J25" s="1"/>
      <c r="K25" s="1"/>
    </row>
    <row r="26" spans="1:11" ht="15.75">
      <c r="A26" s="1"/>
      <c r="B26" s="74" t="s">
        <v>189</v>
      </c>
      <c r="C26" s="16" t="s">
        <v>91</v>
      </c>
      <c r="D26" s="42">
        <f>(-1/D7)*LN(D24/D8)</f>
        <v>0.10064829231793632</v>
      </c>
      <c r="E26" s="17"/>
      <c r="F26" s="1"/>
      <c r="G26" s="1"/>
      <c r="H26" s="1"/>
      <c r="I26" s="1"/>
      <c r="J26" s="1"/>
      <c r="K26" s="1"/>
    </row>
    <row r="27" spans="1:11" ht="15">
      <c r="A27" s="1"/>
      <c r="B27" s="74"/>
      <c r="C27" s="16"/>
      <c r="D27" s="34"/>
      <c r="E27" s="17"/>
      <c r="F27" s="1"/>
      <c r="G27" s="1"/>
      <c r="H27" s="1"/>
      <c r="I27" s="1"/>
      <c r="J27" s="1"/>
      <c r="K27" s="1"/>
    </row>
    <row r="28" spans="1:11" ht="19.5">
      <c r="A28" s="1"/>
      <c r="B28" s="74" t="s">
        <v>201</v>
      </c>
      <c r="C28" s="16" t="s">
        <v>177</v>
      </c>
      <c r="D28" s="57">
        <f>((((LN(($D$9+D12)/$D$8))+(($D$11+(POWER($D$10,2)/2))*($D$7))))/($D$10*SQRT(($D$7))))</f>
        <v>1.0812324589186546</v>
      </c>
      <c r="E28" s="17"/>
      <c r="F28" s="1"/>
      <c r="G28" s="1"/>
      <c r="H28" s="1"/>
      <c r="I28" s="1"/>
      <c r="J28" s="1"/>
      <c r="K28" s="1"/>
    </row>
    <row r="29" spans="1:11" ht="19.5">
      <c r="A29" s="1"/>
      <c r="B29" s="74"/>
      <c r="C29" s="16" t="s">
        <v>178</v>
      </c>
      <c r="D29" s="57">
        <f>$D$28-$D$10*SQRT($D$7)</f>
        <v>-0.15205582854701349</v>
      </c>
      <c r="E29" s="17"/>
      <c r="F29" s="1"/>
      <c r="G29" s="1"/>
      <c r="H29" s="1"/>
      <c r="I29" s="1"/>
      <c r="J29" s="1"/>
      <c r="K29" s="1"/>
    </row>
    <row r="30" spans="1:11" ht="19.5">
      <c r="A30" s="1"/>
      <c r="B30" s="74"/>
      <c r="C30" s="16" t="s">
        <v>179</v>
      </c>
      <c r="D30" s="57">
        <f>NORMSDIST(D28)</f>
        <v>0.86020313858479258</v>
      </c>
      <c r="E30" s="17"/>
      <c r="F30" s="1"/>
      <c r="G30" s="1"/>
      <c r="H30" s="1"/>
      <c r="I30" s="1"/>
      <c r="J30" s="1"/>
      <c r="K30" s="1"/>
    </row>
    <row r="31" spans="1:11" ht="19.5">
      <c r="A31" s="1"/>
      <c r="B31" s="74"/>
      <c r="C31" s="16" t="s">
        <v>180</v>
      </c>
      <c r="D31" s="57">
        <f>NORMSDIST(D29)</f>
        <v>0.43957145136132114</v>
      </c>
      <c r="E31" s="17"/>
      <c r="F31" s="1"/>
      <c r="G31" s="1"/>
      <c r="H31" s="1"/>
      <c r="I31" s="1"/>
      <c r="J31" s="1"/>
      <c r="K31" s="1"/>
    </row>
    <row r="32" spans="1:11" ht="15.75">
      <c r="A32" s="1"/>
      <c r="B32" s="74"/>
      <c r="C32" s="16" t="s">
        <v>197</v>
      </c>
      <c r="D32" s="30">
        <f>(($D$9+D12)*($D$30))-($D$8*EXP(-$D$11*$D$7)*$D$31)</f>
        <v>8940336.9123104867</v>
      </c>
      <c r="E32" s="17"/>
      <c r="F32" s="1"/>
      <c r="G32" s="1"/>
      <c r="H32" s="1"/>
      <c r="I32" s="1"/>
      <c r="J32" s="1"/>
      <c r="K32" s="1"/>
    </row>
    <row r="33" spans="1:11" ht="15">
      <c r="A33" s="1"/>
      <c r="B33" s="74"/>
      <c r="C33" s="16"/>
      <c r="D33" s="34"/>
      <c r="E33" s="17"/>
      <c r="F33" s="1"/>
      <c r="G33" s="1"/>
      <c r="H33" s="1"/>
      <c r="I33" s="1"/>
      <c r="J33" s="1"/>
      <c r="K33" s="1"/>
    </row>
    <row r="34" spans="1:11" ht="15">
      <c r="A34" s="1"/>
      <c r="B34" s="74" t="s">
        <v>208</v>
      </c>
      <c r="C34" s="16" t="s">
        <v>198</v>
      </c>
      <c r="D34" s="71">
        <f>(D9+D12)-D32</f>
        <v>5659663.0876895133</v>
      </c>
      <c r="E34" s="17"/>
      <c r="F34" s="1"/>
      <c r="G34" s="1"/>
      <c r="H34" s="1"/>
      <c r="I34" s="1"/>
      <c r="J34" s="1"/>
      <c r="K34" s="1"/>
    </row>
    <row r="35" spans="1:11" ht="15.75">
      <c r="A35" s="1"/>
      <c r="B35" s="74"/>
      <c r="C35" s="16" t="s">
        <v>91</v>
      </c>
      <c r="D35" s="42">
        <f>(-1/D7)*LN(D34/D8)</f>
        <v>9.7468583580200566E-2</v>
      </c>
      <c r="E35" s="17"/>
      <c r="F35" s="1"/>
      <c r="G35" s="1"/>
      <c r="H35" s="1"/>
      <c r="I35" s="1"/>
      <c r="J35" s="1"/>
      <c r="K35" s="1"/>
    </row>
    <row r="36" spans="1:11" ht="15">
      <c r="A36" s="1"/>
      <c r="B36" s="74"/>
      <c r="C36" s="16" t="s">
        <v>97</v>
      </c>
      <c r="D36" s="16"/>
      <c r="E36" s="17"/>
      <c r="F36" s="1"/>
      <c r="G36" s="1"/>
      <c r="H36" s="1"/>
      <c r="I36" s="1"/>
      <c r="J36" s="1"/>
      <c r="K36" s="1"/>
    </row>
    <row r="37" spans="1:11" ht="15">
      <c r="A37" s="1"/>
      <c r="B37" s="74"/>
      <c r="C37" s="16" t="s">
        <v>98</v>
      </c>
      <c r="D37" s="16"/>
      <c r="E37" s="17"/>
      <c r="F37" s="1"/>
      <c r="G37" s="1"/>
      <c r="H37" s="1"/>
      <c r="I37" s="1"/>
      <c r="J37" s="1"/>
      <c r="K37" s="1"/>
    </row>
    <row r="38" spans="1:11" ht="15">
      <c r="A38" s="1"/>
      <c r="B38" s="74"/>
      <c r="C38" s="16" t="s">
        <v>99</v>
      </c>
      <c r="D38" s="16"/>
      <c r="E38" s="17"/>
      <c r="F38" s="1"/>
      <c r="G38" s="1"/>
      <c r="H38" s="1"/>
      <c r="I38" s="1"/>
      <c r="J38" s="1"/>
      <c r="K38" s="1"/>
    </row>
    <row r="39" spans="1:11" ht="15">
      <c r="A39" s="1"/>
      <c r="B39" s="74"/>
      <c r="C39" s="16" t="s">
        <v>100</v>
      </c>
      <c r="D39" s="16"/>
      <c r="E39" s="17"/>
      <c r="F39" s="1"/>
      <c r="G39" s="1"/>
      <c r="H39" s="1"/>
      <c r="I39" s="1"/>
      <c r="J39" s="1"/>
      <c r="K39" s="1"/>
    </row>
    <row r="40" spans="1:11" ht="15">
      <c r="A40" s="1"/>
      <c r="B40" s="74"/>
      <c r="C40" s="16" t="s">
        <v>101</v>
      </c>
      <c r="D40" s="16"/>
      <c r="E40" s="17"/>
      <c r="F40" s="1"/>
      <c r="G40" s="1"/>
      <c r="H40" s="1"/>
      <c r="I40" s="1"/>
      <c r="J40" s="1"/>
      <c r="K40" s="1"/>
    </row>
    <row r="41" spans="1:11" ht="15">
      <c r="A41" s="1"/>
      <c r="B41" s="74"/>
      <c r="C41" s="16" t="s">
        <v>102</v>
      </c>
      <c r="D41" s="16"/>
      <c r="E41" s="17"/>
      <c r="F41" s="1"/>
      <c r="G41" s="1"/>
      <c r="H41" s="1"/>
      <c r="I41" s="1"/>
      <c r="J41" s="1"/>
      <c r="K41" s="1"/>
    </row>
    <row r="42" spans="1:11" ht="15">
      <c r="A42" s="1"/>
      <c r="B42" s="74"/>
      <c r="C42" s="16" t="s">
        <v>103</v>
      </c>
      <c r="D42" s="16"/>
      <c r="E42" s="17"/>
      <c r="F42" s="1"/>
      <c r="G42" s="1"/>
      <c r="H42" s="1"/>
      <c r="I42" s="1"/>
      <c r="J42" s="1"/>
      <c r="K42" s="1"/>
    </row>
    <row r="43" spans="1:11" ht="15">
      <c r="A43" s="1"/>
      <c r="B43" s="74"/>
      <c r="C43" s="16" t="s">
        <v>104</v>
      </c>
      <c r="D43" s="16"/>
      <c r="E43" s="17"/>
      <c r="F43" s="1"/>
      <c r="G43" s="1"/>
      <c r="H43" s="1"/>
      <c r="I43" s="1"/>
      <c r="J43" s="1"/>
      <c r="K43" s="1"/>
    </row>
    <row r="44" spans="1:11" ht="15">
      <c r="A44" s="1"/>
      <c r="B44" s="74"/>
      <c r="C44" s="16" t="s">
        <v>105</v>
      </c>
      <c r="D44" s="16"/>
      <c r="E44" s="17"/>
      <c r="F44" s="1"/>
      <c r="G44" s="1"/>
      <c r="H44" s="1"/>
      <c r="I44" s="1"/>
      <c r="J44" s="1"/>
      <c r="K44" s="1"/>
    </row>
    <row r="45" spans="1:11" ht="15">
      <c r="A45" s="1"/>
      <c r="B45" s="74"/>
      <c r="C45" s="16" t="s">
        <v>106</v>
      </c>
      <c r="D45" s="16"/>
      <c r="E45" s="17"/>
      <c r="F45" s="1"/>
      <c r="G45" s="1"/>
      <c r="H45" s="1"/>
      <c r="I45" s="1"/>
      <c r="J45" s="1"/>
      <c r="K45" s="1"/>
    </row>
    <row r="46" spans="1:11" ht="15.75" thickBot="1">
      <c r="A46" s="1"/>
      <c r="B46" s="78"/>
      <c r="C46" s="19"/>
      <c r="D46" s="19"/>
      <c r="E46" s="20"/>
      <c r="F46" s="1"/>
      <c r="G46" s="1"/>
      <c r="H46" s="1"/>
      <c r="I46" s="1"/>
      <c r="J46" s="1"/>
      <c r="K46" s="1"/>
    </row>
    <row r="47" spans="1:11" ht="15">
      <c r="A47" s="1"/>
      <c r="B47" s="1"/>
      <c r="C47" s="43"/>
      <c r="D47" s="1"/>
      <c r="E47" s="1"/>
      <c r="F47" s="1"/>
      <c r="G47" s="1"/>
      <c r="H47" s="1"/>
      <c r="I47" s="1"/>
      <c r="J47" s="1"/>
      <c r="K47" s="1"/>
    </row>
    <row r="48" spans="1:11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Sheet25"/>
  <dimension ref="A1:I144"/>
  <sheetViews>
    <sheetView workbookViewId="0"/>
  </sheetViews>
  <sheetFormatPr defaultRowHeight="12.75"/>
  <cols>
    <col min="2" max="2" width="3.140625" customWidth="1"/>
    <col min="3" max="4" width="18.140625" customWidth="1"/>
    <col min="5" max="5" width="11" bestFit="1" customWidth="1"/>
    <col min="6" max="7" width="17.140625" customWidth="1"/>
    <col min="8" max="8" width="3.140625" customWidth="1"/>
  </cols>
  <sheetData>
    <row r="1" spans="1:9" ht="18">
      <c r="A1" s="1"/>
      <c r="B1" s="1"/>
      <c r="C1" s="61" t="s">
        <v>345</v>
      </c>
      <c r="D1" s="1"/>
      <c r="E1" s="1"/>
      <c r="F1" s="1"/>
      <c r="G1" s="1"/>
      <c r="H1" s="1"/>
      <c r="I1" s="1"/>
    </row>
    <row r="2" spans="1:9" ht="15.75" customHeight="1">
      <c r="A2" s="1"/>
      <c r="B2" s="1"/>
      <c r="C2" s="1" t="s">
        <v>47</v>
      </c>
      <c r="D2" s="1"/>
      <c r="E2" s="1"/>
      <c r="F2" s="1"/>
      <c r="G2" s="1"/>
      <c r="H2" s="1"/>
      <c r="I2" s="1"/>
    </row>
    <row r="3" spans="1:9" ht="15.75" customHeight="1">
      <c r="A3" s="1"/>
      <c r="B3" s="1"/>
      <c r="C3" s="1"/>
      <c r="D3" s="1"/>
      <c r="E3" s="1"/>
      <c r="F3" s="1"/>
      <c r="G3" s="1"/>
      <c r="H3" s="1"/>
      <c r="I3" s="1"/>
    </row>
    <row r="4" spans="1:9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customHeight="1" thickBot="1">
      <c r="A5" s="1"/>
      <c r="B5" s="1"/>
      <c r="C5" s="1"/>
      <c r="D5" s="1"/>
      <c r="E5" s="1"/>
      <c r="F5" s="1"/>
      <c r="G5" s="1"/>
      <c r="H5" s="1"/>
      <c r="I5" s="1"/>
    </row>
    <row r="6" spans="1:9" ht="15.75" customHeight="1">
      <c r="A6" s="1"/>
      <c r="B6" s="3"/>
      <c r="C6" s="4"/>
      <c r="D6" s="81"/>
      <c r="E6" s="5"/>
      <c r="F6" s="1"/>
      <c r="G6" s="1"/>
      <c r="H6" s="1"/>
      <c r="I6" s="1"/>
    </row>
    <row r="7" spans="1:9" ht="15.75" customHeight="1">
      <c r="A7" s="1"/>
      <c r="B7" s="6"/>
      <c r="C7" s="7" t="s">
        <v>46</v>
      </c>
      <c r="D7" s="109">
        <v>75</v>
      </c>
      <c r="E7" s="8"/>
      <c r="F7" s="1"/>
      <c r="G7" s="1"/>
      <c r="H7" s="1"/>
      <c r="I7" s="1"/>
    </row>
    <row r="8" spans="1:9" ht="15.75" customHeight="1">
      <c r="A8" s="1"/>
      <c r="B8" s="6"/>
      <c r="C8" s="7" t="s">
        <v>26</v>
      </c>
      <c r="D8" s="109">
        <v>78</v>
      </c>
      <c r="E8" s="8"/>
      <c r="F8" s="1"/>
      <c r="G8" s="1"/>
      <c r="H8" s="1"/>
      <c r="I8" s="1"/>
    </row>
    <row r="9" spans="1:9" ht="15.75" customHeight="1">
      <c r="A9" s="1"/>
      <c r="B9" s="6"/>
      <c r="C9" s="7" t="s">
        <v>283</v>
      </c>
      <c r="D9" s="21">
        <v>93</v>
      </c>
      <c r="E9" s="8"/>
      <c r="F9" s="1"/>
      <c r="G9" s="1"/>
      <c r="H9" s="1"/>
      <c r="I9" s="1"/>
    </row>
    <row r="10" spans="1:9" ht="15.75" customHeight="1">
      <c r="A10" s="1"/>
      <c r="B10" s="6"/>
      <c r="C10" s="7" t="s">
        <v>282</v>
      </c>
      <c r="D10" s="21">
        <v>65</v>
      </c>
      <c r="E10" s="8"/>
      <c r="F10" s="1"/>
      <c r="G10" s="1"/>
      <c r="H10" s="1"/>
      <c r="I10" s="1"/>
    </row>
    <row r="11" spans="1:9" ht="15.75" customHeight="1">
      <c r="A11" s="1"/>
      <c r="B11" s="6"/>
      <c r="C11" s="7" t="s">
        <v>7</v>
      </c>
      <c r="D11" s="110">
        <v>2.5000000000000001E-2</v>
      </c>
      <c r="E11" s="8"/>
      <c r="F11" s="1"/>
      <c r="G11" s="1"/>
      <c r="H11" s="1"/>
      <c r="I11" s="1"/>
    </row>
    <row r="12" spans="1:9" ht="15.75" customHeight="1" thickBot="1">
      <c r="A12" s="1"/>
      <c r="B12" s="9"/>
      <c r="C12" s="10"/>
      <c r="D12" s="83"/>
      <c r="E12" s="11"/>
      <c r="F12" s="1"/>
      <c r="G12" s="1"/>
      <c r="H12" s="1"/>
      <c r="I12" s="1"/>
    </row>
    <row r="13" spans="1:9" ht="15.75" customHeight="1">
      <c r="A13" s="1"/>
      <c r="B13" s="1"/>
      <c r="C13" s="1"/>
      <c r="D13" s="1"/>
      <c r="E13" s="1"/>
      <c r="F13" s="1"/>
      <c r="G13" s="1"/>
      <c r="H13" s="1"/>
      <c r="I13" s="1"/>
    </row>
    <row r="14" spans="1:9" ht="15.75" customHeight="1">
      <c r="A14" s="1"/>
      <c r="B14" s="1"/>
      <c r="C14" s="2" t="s">
        <v>2</v>
      </c>
      <c r="D14" s="1"/>
      <c r="E14" s="1"/>
      <c r="F14" s="1"/>
      <c r="G14" s="1"/>
      <c r="H14" s="1"/>
      <c r="I14" s="1"/>
    </row>
    <row r="15" spans="1:9" ht="15.75" customHeight="1" thickBot="1">
      <c r="A15" s="1"/>
      <c r="B15" s="1"/>
      <c r="C15" s="1"/>
      <c r="D15" s="1"/>
      <c r="E15" s="1"/>
      <c r="F15" s="1"/>
      <c r="G15" s="1"/>
      <c r="H15" s="1"/>
      <c r="I15" s="1"/>
    </row>
    <row r="16" spans="1:9" ht="15.75" customHeight="1">
      <c r="A16" s="1"/>
      <c r="B16" s="12"/>
      <c r="C16" s="13"/>
      <c r="D16" s="84"/>
      <c r="E16" s="13"/>
      <c r="F16" s="13"/>
      <c r="G16" s="13"/>
      <c r="H16" s="14"/>
      <c r="I16" s="1"/>
    </row>
    <row r="17" spans="1:9" ht="18" customHeight="1">
      <c r="A17" s="1"/>
      <c r="B17" s="74" t="s">
        <v>187</v>
      </c>
      <c r="C17" s="157" t="s">
        <v>289</v>
      </c>
      <c r="D17" s="157"/>
      <c r="E17" s="16"/>
      <c r="F17" s="157" t="s">
        <v>290</v>
      </c>
      <c r="G17" s="157"/>
      <c r="H17" s="17"/>
      <c r="I17" s="1"/>
    </row>
    <row r="18" spans="1:9" ht="15.75" customHeight="1">
      <c r="A18" s="1"/>
      <c r="B18" s="74"/>
      <c r="C18" s="111" t="s">
        <v>286</v>
      </c>
      <c r="D18" s="111" t="s">
        <v>302</v>
      </c>
      <c r="E18" s="16"/>
      <c r="F18" s="112" t="s">
        <v>286</v>
      </c>
      <c r="G18" s="111" t="s">
        <v>302</v>
      </c>
      <c r="H18" s="17"/>
      <c r="I18" s="1"/>
    </row>
    <row r="19" spans="1:9" ht="18" customHeight="1">
      <c r="A19" s="1"/>
      <c r="B19" s="74"/>
      <c r="C19" s="16"/>
      <c r="D19" s="93"/>
      <c r="E19" s="16"/>
      <c r="F19" s="16"/>
      <c r="G19" s="16"/>
      <c r="H19" s="17"/>
      <c r="I19" s="1"/>
    </row>
    <row r="20" spans="1:9" ht="15.75" customHeight="1">
      <c r="A20" s="1"/>
      <c r="B20" s="15"/>
      <c r="C20" s="60"/>
      <c r="D20" s="70">
        <f>D9</f>
        <v>93</v>
      </c>
      <c r="E20" s="16"/>
      <c r="F20" s="60"/>
      <c r="G20" s="70">
        <f>MAX(0,D20-D7)</f>
        <v>18</v>
      </c>
      <c r="H20" s="17"/>
      <c r="I20" s="1"/>
    </row>
    <row r="21" spans="1:9" ht="15.75" customHeight="1">
      <c r="A21" s="1"/>
      <c r="B21" s="15"/>
      <c r="C21" s="60"/>
      <c r="D21" s="60"/>
      <c r="E21" s="16"/>
      <c r="F21" s="60"/>
      <c r="G21" s="60"/>
      <c r="H21" s="17"/>
      <c r="I21" s="1"/>
    </row>
    <row r="22" spans="1:9" ht="15.75" customHeight="1">
      <c r="A22" s="1"/>
      <c r="B22" s="15"/>
      <c r="C22" s="113">
        <f>D7</f>
        <v>75</v>
      </c>
      <c r="D22" s="60"/>
      <c r="E22" s="16"/>
      <c r="F22" s="114" t="s">
        <v>288</v>
      </c>
      <c r="G22" s="60"/>
      <c r="H22" s="17"/>
      <c r="I22" s="1"/>
    </row>
    <row r="23" spans="1:9" ht="15.75" customHeight="1">
      <c r="A23" s="1"/>
      <c r="B23" s="15"/>
      <c r="C23" s="60"/>
      <c r="D23" s="60"/>
      <c r="E23" s="16"/>
      <c r="F23" s="60"/>
      <c r="G23" s="60"/>
      <c r="H23" s="17"/>
      <c r="I23" s="1"/>
    </row>
    <row r="24" spans="1:9" ht="15.75" customHeight="1">
      <c r="A24" s="1"/>
      <c r="B24" s="15"/>
      <c r="C24" s="60"/>
      <c r="D24" s="70">
        <f>D10</f>
        <v>65</v>
      </c>
      <c r="E24" s="16"/>
      <c r="F24" s="60"/>
      <c r="G24" s="70">
        <f>MAX(0,D24-D7)</f>
        <v>0</v>
      </c>
      <c r="H24" s="17"/>
      <c r="I24" s="1"/>
    </row>
    <row r="25" spans="1:9" ht="15.75" customHeight="1">
      <c r="A25" s="1"/>
      <c r="B25" s="15"/>
      <c r="C25" s="16"/>
      <c r="D25" s="16"/>
      <c r="E25" s="16"/>
      <c r="F25" s="16"/>
      <c r="G25" s="16"/>
      <c r="H25" s="17"/>
      <c r="I25" s="1"/>
    </row>
    <row r="26" spans="1:9" ht="15.75" customHeight="1">
      <c r="A26" s="1"/>
      <c r="B26" s="15"/>
      <c r="C26" s="16" t="s">
        <v>294</v>
      </c>
      <c r="D26" s="16"/>
      <c r="E26" s="115">
        <f>(D9-D8)/D8</f>
        <v>0.19230769230769232</v>
      </c>
      <c r="F26" s="16"/>
      <c r="G26" s="16"/>
      <c r="H26" s="17"/>
      <c r="I26" s="1"/>
    </row>
    <row r="27" spans="1:9" ht="15.75" customHeight="1">
      <c r="A27" s="1"/>
      <c r="B27" s="15"/>
      <c r="C27" s="16" t="s">
        <v>295</v>
      </c>
      <c r="D27" s="16"/>
      <c r="E27" s="115">
        <f>(D10-D8)/D8</f>
        <v>-0.16666666666666666</v>
      </c>
      <c r="F27" s="16"/>
      <c r="G27" s="16"/>
      <c r="H27" s="17"/>
      <c r="I27" s="1"/>
    </row>
    <row r="28" spans="1:9" ht="15.75" customHeight="1">
      <c r="A28" s="1"/>
      <c r="B28" s="15"/>
      <c r="C28" s="16"/>
      <c r="D28" s="16"/>
      <c r="E28" s="16"/>
      <c r="F28" s="16"/>
      <c r="G28" s="16"/>
      <c r="H28" s="17"/>
      <c r="I28" s="1"/>
    </row>
    <row r="29" spans="1:9" ht="15.75" customHeight="1">
      <c r="A29" s="1"/>
      <c r="B29" s="15"/>
      <c r="C29" s="118" t="s">
        <v>291</v>
      </c>
      <c r="D29" s="16"/>
      <c r="E29" s="16"/>
      <c r="F29" s="16"/>
      <c r="G29" s="16"/>
      <c r="H29" s="17"/>
      <c r="I29" s="1"/>
    </row>
    <row r="30" spans="1:9" ht="15.75" customHeight="1">
      <c r="A30" s="1"/>
      <c r="B30" s="15"/>
      <c r="C30" s="16" t="s">
        <v>292</v>
      </c>
      <c r="D30" s="119"/>
      <c r="E30" s="116">
        <f>(D11-E27)/(E26-E27)</f>
        <v>0.53392857142857142</v>
      </c>
      <c r="F30" s="16"/>
      <c r="G30" s="16"/>
      <c r="H30" s="17"/>
      <c r="I30" s="1"/>
    </row>
    <row r="31" spans="1:9" ht="15.75" customHeight="1">
      <c r="A31" s="1"/>
      <c r="B31" s="15"/>
      <c r="C31" s="16" t="s">
        <v>293</v>
      </c>
      <c r="D31" s="119"/>
      <c r="E31" s="116">
        <f>1-E30</f>
        <v>0.46607142857142858</v>
      </c>
      <c r="F31" s="16"/>
      <c r="G31" s="16"/>
      <c r="H31" s="17"/>
      <c r="I31" s="1"/>
    </row>
    <row r="32" spans="1:9" ht="15.75" customHeight="1">
      <c r="A32" s="1"/>
      <c r="B32" s="15"/>
      <c r="C32" s="16"/>
      <c r="D32" s="16"/>
      <c r="E32" s="16"/>
      <c r="F32" s="16"/>
      <c r="G32" s="16"/>
      <c r="H32" s="17"/>
      <c r="I32" s="1"/>
    </row>
    <row r="33" spans="1:9" ht="15.75" customHeight="1">
      <c r="A33" s="1"/>
      <c r="B33" s="15"/>
      <c r="C33" s="16" t="s">
        <v>296</v>
      </c>
      <c r="D33" s="16"/>
      <c r="E33" s="69">
        <f>(E30*G20)+(E31*G24)</f>
        <v>9.6107142857142858</v>
      </c>
      <c r="F33" s="16"/>
      <c r="G33" s="16"/>
      <c r="H33" s="17"/>
      <c r="I33" s="1"/>
    </row>
    <row r="34" spans="1:9" ht="15.75" customHeight="1">
      <c r="A34" s="1"/>
      <c r="B34" s="15"/>
      <c r="C34" s="16"/>
      <c r="D34" s="16"/>
      <c r="E34" s="16"/>
      <c r="F34" s="16"/>
      <c r="G34" s="16"/>
      <c r="H34" s="17"/>
      <c r="I34" s="1"/>
    </row>
    <row r="35" spans="1:9" ht="15.75" customHeight="1">
      <c r="A35" s="1"/>
      <c r="B35" s="15"/>
      <c r="C35" s="16" t="s">
        <v>297</v>
      </c>
      <c r="D35" s="16"/>
      <c r="E35" s="38">
        <f>E33/(1+D11)</f>
        <v>9.3763066202090606</v>
      </c>
      <c r="F35" s="16"/>
      <c r="G35" s="16"/>
      <c r="H35" s="17"/>
      <c r="I35" s="1"/>
    </row>
    <row r="36" spans="1:9" ht="15.75" customHeight="1">
      <c r="A36" s="1"/>
      <c r="B36" s="15"/>
      <c r="C36" s="16"/>
      <c r="D36" s="16"/>
      <c r="E36" s="16"/>
      <c r="F36" s="16"/>
      <c r="G36" s="16"/>
      <c r="H36" s="17"/>
      <c r="I36" s="1"/>
    </row>
    <row r="37" spans="1:9" ht="15.75" customHeight="1">
      <c r="A37" s="1"/>
      <c r="B37" s="74" t="s">
        <v>188</v>
      </c>
      <c r="C37" s="16" t="s">
        <v>298</v>
      </c>
      <c r="D37" s="119"/>
      <c r="E37" s="117">
        <f>(G20-G24)/(D20-D24)</f>
        <v>0.6428571428571429</v>
      </c>
      <c r="F37" s="16"/>
      <c r="G37" s="156"/>
      <c r="H37" s="17"/>
      <c r="I37" s="1"/>
    </row>
    <row r="38" spans="1:9" ht="15.75" customHeight="1">
      <c r="A38" s="1"/>
      <c r="B38" s="15"/>
      <c r="C38" s="16"/>
      <c r="D38" s="16"/>
      <c r="E38" s="16"/>
      <c r="F38" s="16"/>
      <c r="G38" s="156"/>
      <c r="H38" s="17"/>
      <c r="I38" s="1"/>
    </row>
    <row r="39" spans="1:9" ht="15.75" customHeight="1">
      <c r="A39" s="1"/>
      <c r="B39" s="15"/>
      <c r="C39" s="16" t="s">
        <v>299</v>
      </c>
      <c r="D39" s="16"/>
      <c r="E39" s="152">
        <f>E37</f>
        <v>0.6428571428571429</v>
      </c>
      <c r="F39" s="16"/>
      <c r="G39" s="156"/>
      <c r="H39" s="17"/>
      <c r="I39" s="1"/>
    </row>
    <row r="40" spans="1:9" ht="15.75" customHeight="1">
      <c r="A40" s="1"/>
      <c r="B40" s="15"/>
      <c r="C40" s="16"/>
      <c r="D40" s="16"/>
      <c r="E40" s="16"/>
      <c r="F40" s="16"/>
      <c r="G40" s="16"/>
      <c r="H40" s="17"/>
      <c r="I40" s="1"/>
    </row>
    <row r="41" spans="1:9" ht="15.75" customHeight="1">
      <c r="A41" s="1"/>
      <c r="B41" s="15"/>
      <c r="C41" s="16" t="s">
        <v>300</v>
      </c>
      <c r="D41" s="16"/>
      <c r="E41" s="38">
        <f>(E39*D24)/(1+D11)</f>
        <v>40.766550522648096</v>
      </c>
      <c r="F41" s="16"/>
      <c r="G41" s="16"/>
      <c r="H41" s="17"/>
      <c r="I41" s="1"/>
    </row>
    <row r="42" spans="1:9" ht="15.75" customHeight="1">
      <c r="A42" s="1"/>
      <c r="B42" s="15"/>
      <c r="C42" s="16"/>
      <c r="D42" s="16"/>
      <c r="E42" s="16"/>
      <c r="F42" s="16"/>
      <c r="G42" s="16"/>
      <c r="H42" s="17"/>
      <c r="I42" s="1"/>
    </row>
    <row r="43" spans="1:9" ht="15.75">
      <c r="A43" s="1"/>
      <c r="B43" s="15" t="s">
        <v>189</v>
      </c>
      <c r="C43" s="16" t="s">
        <v>301</v>
      </c>
      <c r="D43" s="16"/>
      <c r="E43" s="38">
        <f>(E39*D8)-E41</f>
        <v>9.3763066202090499</v>
      </c>
      <c r="F43" s="16"/>
      <c r="G43" s="16"/>
      <c r="H43" s="17"/>
      <c r="I43" s="1"/>
    </row>
    <row r="44" spans="1:9" ht="15.75" thickBot="1">
      <c r="A44" s="1"/>
      <c r="B44" s="18"/>
      <c r="C44" s="19"/>
      <c r="D44" s="19"/>
      <c r="E44" s="19"/>
      <c r="F44" s="19"/>
      <c r="G44" s="19"/>
      <c r="H44" s="20"/>
      <c r="I44" s="1"/>
    </row>
    <row r="45" spans="1:9" ht="15">
      <c r="A45" s="1"/>
      <c r="B45" s="1"/>
      <c r="C45" s="1"/>
      <c r="D45" s="1"/>
      <c r="E45" s="1"/>
      <c r="F45" s="1"/>
      <c r="G45" s="1"/>
      <c r="H45" s="1"/>
      <c r="I45" s="1"/>
    </row>
    <row r="46" spans="1:9" ht="15">
      <c r="A46" s="1"/>
      <c r="B46" s="1"/>
      <c r="C46" s="1"/>
      <c r="D46" s="1"/>
      <c r="E46" s="1"/>
      <c r="F46" s="1"/>
      <c r="G46" s="1"/>
      <c r="H46" s="1"/>
      <c r="I46" s="1"/>
    </row>
    <row r="47" spans="1:9" ht="15">
      <c r="A47" s="1"/>
      <c r="B47" s="1"/>
      <c r="C47" s="1"/>
      <c r="D47" s="1"/>
      <c r="E47" s="1"/>
      <c r="F47" s="1"/>
      <c r="G47" s="1"/>
      <c r="H47" s="1"/>
      <c r="I47" s="1"/>
    </row>
    <row r="48" spans="1:9" ht="15">
      <c r="A48" s="1"/>
      <c r="B48" s="1"/>
      <c r="C48" s="1"/>
      <c r="D48" s="1"/>
      <c r="E48" s="1"/>
      <c r="F48" s="1"/>
      <c r="G48" s="1"/>
      <c r="H48" s="1"/>
      <c r="I48" s="1"/>
    </row>
    <row r="49" spans="1:9" ht="15">
      <c r="A49" s="1"/>
      <c r="B49" s="1"/>
      <c r="C49" s="1"/>
      <c r="D49" s="1"/>
      <c r="E49" s="1"/>
      <c r="F49" s="1"/>
      <c r="G49" s="1"/>
      <c r="H49" s="1"/>
      <c r="I49" s="1"/>
    </row>
    <row r="50" spans="1:9" ht="15">
      <c r="A50" s="1"/>
      <c r="B50" s="1"/>
      <c r="C50" s="1"/>
      <c r="D50" s="1"/>
      <c r="E50" s="1"/>
      <c r="F50" s="1"/>
      <c r="G50" s="1"/>
      <c r="H50" s="1"/>
      <c r="I50" s="1"/>
    </row>
    <row r="51" spans="1:9" ht="15">
      <c r="A51" s="1"/>
      <c r="B51" s="1"/>
      <c r="C51" s="1"/>
      <c r="D51" s="1"/>
      <c r="E51" s="1"/>
      <c r="F51" s="1"/>
      <c r="G51" s="1"/>
      <c r="H51" s="1"/>
      <c r="I51" s="1"/>
    </row>
    <row r="52" spans="1:9" ht="15">
      <c r="A52" s="1"/>
      <c r="B52" s="1"/>
      <c r="C52" s="1"/>
      <c r="D52" s="1"/>
      <c r="E52" s="1"/>
      <c r="F52" s="1"/>
      <c r="G52" s="1"/>
      <c r="H52" s="1"/>
      <c r="I52" s="1"/>
    </row>
    <row r="53" spans="1:9" ht="15">
      <c r="A53" s="1"/>
      <c r="B53" s="1"/>
      <c r="C53" s="1"/>
      <c r="D53" s="1"/>
      <c r="E53" s="1"/>
      <c r="F53" s="1"/>
      <c r="G53" s="1"/>
      <c r="H53" s="1"/>
      <c r="I53" s="1"/>
    </row>
    <row r="54" spans="1:9" ht="15">
      <c r="A54" s="1"/>
      <c r="B54" s="1"/>
      <c r="C54" s="1"/>
      <c r="D54" s="1"/>
      <c r="E54" s="1"/>
      <c r="F54" s="1"/>
      <c r="G54" s="1"/>
      <c r="H54" s="1"/>
      <c r="I54" s="1"/>
    </row>
    <row r="55" spans="1:9" ht="15">
      <c r="A55" s="1"/>
      <c r="B55" s="1"/>
      <c r="C55" s="1"/>
      <c r="D55" s="1"/>
      <c r="E55" s="1"/>
      <c r="F55" s="1"/>
      <c r="G55" s="1"/>
      <c r="H55" s="1"/>
      <c r="I55" s="1"/>
    </row>
    <row r="56" spans="1:9" ht="15">
      <c r="A56" s="1"/>
      <c r="B56" s="1"/>
      <c r="C56" s="1"/>
      <c r="D56" s="1"/>
      <c r="E56" s="1"/>
      <c r="F56" s="1"/>
      <c r="G56" s="1"/>
      <c r="H56" s="1"/>
      <c r="I56" s="1"/>
    </row>
    <row r="57" spans="1:9" ht="15">
      <c r="A57" s="1"/>
      <c r="B57" s="1"/>
      <c r="C57" s="1"/>
      <c r="D57" s="1"/>
      <c r="E57" s="1"/>
      <c r="F57" s="1"/>
      <c r="G57" s="1"/>
      <c r="H57" s="1"/>
      <c r="I57" s="1"/>
    </row>
    <row r="58" spans="1:9" ht="15">
      <c r="A58" s="1"/>
      <c r="B58" s="1"/>
      <c r="C58" s="1"/>
      <c r="D58" s="1"/>
      <c r="E58" s="1"/>
      <c r="F58" s="1"/>
      <c r="G58" s="1"/>
      <c r="H58" s="1"/>
      <c r="I58" s="1"/>
    </row>
    <row r="59" spans="1:9" ht="15">
      <c r="A59" s="1"/>
      <c r="B59" s="1"/>
      <c r="C59" s="1"/>
      <c r="D59" s="1"/>
      <c r="E59" s="1"/>
      <c r="F59" s="1"/>
      <c r="G59" s="1"/>
      <c r="H59" s="1"/>
      <c r="I59" s="1"/>
    </row>
    <row r="60" spans="1:9" ht="15">
      <c r="A60" s="1"/>
      <c r="B60" s="1"/>
      <c r="C60" s="1"/>
      <c r="D60" s="1"/>
      <c r="E60" s="1"/>
      <c r="F60" s="1"/>
      <c r="G60" s="1"/>
      <c r="H60" s="1"/>
      <c r="I60" s="1"/>
    </row>
    <row r="61" spans="1:9" ht="15">
      <c r="A61" s="1"/>
      <c r="B61" s="1"/>
      <c r="C61" s="1"/>
      <c r="D61" s="1"/>
      <c r="E61" s="1"/>
      <c r="F61" s="1"/>
      <c r="G61" s="1"/>
      <c r="H61" s="1"/>
      <c r="I61" s="1"/>
    </row>
    <row r="62" spans="1:9" ht="15">
      <c r="A62" s="1"/>
      <c r="B62" s="1"/>
      <c r="C62" s="1"/>
      <c r="D62" s="1"/>
      <c r="E62" s="1"/>
      <c r="F62" s="1"/>
      <c r="G62" s="1"/>
      <c r="H62" s="1"/>
      <c r="I62" s="1"/>
    </row>
    <row r="63" spans="1:9" ht="15">
      <c r="A63" s="1"/>
      <c r="B63" s="1"/>
      <c r="C63" s="1"/>
      <c r="D63" s="1"/>
      <c r="E63" s="1"/>
      <c r="F63" s="1"/>
      <c r="G63" s="1"/>
      <c r="H63" s="1"/>
      <c r="I63" s="1"/>
    </row>
    <row r="64" spans="1:9" ht="15">
      <c r="A64" s="1"/>
      <c r="B64" s="1"/>
      <c r="C64" s="1"/>
      <c r="D64" s="1"/>
      <c r="E64" s="1"/>
      <c r="F64" s="1"/>
      <c r="G64" s="1"/>
      <c r="H64" s="1"/>
      <c r="I64" s="1"/>
    </row>
    <row r="65" spans="1:9" ht="15">
      <c r="A65" s="1"/>
      <c r="B65" s="1"/>
      <c r="C65" s="1"/>
      <c r="D65" s="1"/>
      <c r="E65" s="1"/>
      <c r="F65" s="1"/>
      <c r="G65" s="1"/>
      <c r="H65" s="1"/>
      <c r="I65" s="1"/>
    </row>
    <row r="66" spans="1:9" ht="15">
      <c r="A66" s="1"/>
      <c r="B66" s="1"/>
      <c r="C66" s="1"/>
      <c r="D66" s="1"/>
      <c r="E66" s="1"/>
      <c r="F66" s="1"/>
      <c r="G66" s="1"/>
      <c r="H66" s="1"/>
      <c r="I66" s="1"/>
    </row>
    <row r="67" spans="1:9" ht="15">
      <c r="A67" s="1"/>
      <c r="B67" s="1"/>
      <c r="C67" s="1"/>
      <c r="D67" s="1"/>
      <c r="E67" s="1"/>
      <c r="F67" s="1"/>
      <c r="G67" s="1"/>
      <c r="H67" s="1"/>
      <c r="I67" s="1"/>
    </row>
    <row r="68" spans="1:9" ht="15">
      <c r="A68" s="1"/>
      <c r="B68" s="1"/>
      <c r="C68" s="1"/>
      <c r="D68" s="1"/>
      <c r="E68" s="1"/>
      <c r="F68" s="1"/>
      <c r="G68" s="1"/>
      <c r="H68" s="1"/>
      <c r="I68" s="1"/>
    </row>
    <row r="69" spans="1:9" ht="15">
      <c r="A69" s="1"/>
      <c r="B69" s="1"/>
      <c r="C69" s="1"/>
      <c r="D69" s="1"/>
      <c r="E69" s="1"/>
      <c r="F69" s="1"/>
      <c r="G69" s="1"/>
      <c r="H69" s="1"/>
      <c r="I69" s="1"/>
    </row>
    <row r="70" spans="1:9" ht="15">
      <c r="A70" s="1"/>
      <c r="B70" s="1"/>
      <c r="C70" s="1"/>
      <c r="D70" s="1"/>
      <c r="E70" s="1"/>
      <c r="F70" s="1"/>
      <c r="G70" s="1"/>
      <c r="H70" s="1"/>
      <c r="I70" s="1"/>
    </row>
    <row r="71" spans="1:9" ht="15">
      <c r="A71" s="1"/>
      <c r="B71" s="1"/>
      <c r="C71" s="1"/>
      <c r="D71" s="1"/>
      <c r="E71" s="1"/>
      <c r="F71" s="1"/>
      <c r="G71" s="1"/>
      <c r="H71" s="1"/>
      <c r="I71" s="1"/>
    </row>
    <row r="72" spans="1:9" ht="15">
      <c r="A72" s="1"/>
      <c r="B72" s="1"/>
      <c r="C72" s="1"/>
      <c r="D72" s="1"/>
      <c r="E72" s="1"/>
      <c r="F72" s="1"/>
      <c r="G72" s="1"/>
      <c r="H72" s="1"/>
      <c r="I72" s="1"/>
    </row>
    <row r="73" spans="1:9" ht="15">
      <c r="A73" s="1"/>
      <c r="B73" s="1"/>
      <c r="C73" s="1"/>
      <c r="D73" s="1"/>
      <c r="E73" s="1"/>
      <c r="F73" s="1"/>
      <c r="G73" s="1"/>
      <c r="H73" s="1"/>
      <c r="I73" s="1"/>
    </row>
    <row r="74" spans="1:9" ht="15">
      <c r="A74" s="1"/>
      <c r="B74" s="1"/>
      <c r="C74" s="1"/>
      <c r="D74" s="1"/>
      <c r="E74" s="1"/>
      <c r="F74" s="1"/>
      <c r="G74" s="1"/>
      <c r="H74" s="1"/>
      <c r="I74" s="1"/>
    </row>
    <row r="75" spans="1:9" ht="15">
      <c r="A75" s="1"/>
      <c r="B75" s="1"/>
      <c r="C75" s="1"/>
      <c r="D75" s="1"/>
      <c r="E75" s="1"/>
      <c r="F75" s="1"/>
      <c r="G75" s="1"/>
      <c r="H75" s="1"/>
      <c r="I75" s="1"/>
    </row>
    <row r="76" spans="1:9" ht="15">
      <c r="A76" s="1"/>
      <c r="B76" s="1"/>
      <c r="C76" s="1"/>
      <c r="D76" s="1"/>
      <c r="E76" s="1"/>
      <c r="F76" s="1"/>
      <c r="G76" s="1"/>
      <c r="H76" s="1"/>
      <c r="I76" s="1"/>
    </row>
    <row r="77" spans="1:9" ht="15">
      <c r="A77" s="1"/>
      <c r="B77" s="1"/>
      <c r="C77" s="1"/>
      <c r="D77" s="1"/>
      <c r="E77" s="1"/>
      <c r="F77" s="1"/>
      <c r="G77" s="1"/>
      <c r="H77" s="1"/>
      <c r="I77" s="1"/>
    </row>
    <row r="78" spans="1:9" ht="15">
      <c r="A78" s="1"/>
      <c r="B78" s="1"/>
      <c r="C78" s="1"/>
      <c r="D78" s="1"/>
      <c r="E78" s="1"/>
      <c r="F78" s="1"/>
      <c r="G78" s="1"/>
      <c r="H78" s="1"/>
      <c r="I78" s="1"/>
    </row>
    <row r="79" spans="1:9" ht="15">
      <c r="A79" s="1"/>
      <c r="B79" s="1"/>
      <c r="C79" s="1"/>
      <c r="D79" s="1"/>
      <c r="E79" s="1"/>
      <c r="F79" s="1"/>
      <c r="G79" s="1"/>
      <c r="H79" s="1"/>
      <c r="I79" s="1"/>
    </row>
    <row r="80" spans="1:9" ht="15">
      <c r="A80" s="1"/>
      <c r="B80" s="1"/>
      <c r="C80" s="1"/>
      <c r="D80" s="1"/>
      <c r="E80" s="1"/>
      <c r="F80" s="1"/>
      <c r="G80" s="1"/>
      <c r="H80" s="1"/>
      <c r="I80" s="1"/>
    </row>
    <row r="81" spans="1:9" ht="15">
      <c r="A81" s="1"/>
      <c r="B81" s="1"/>
      <c r="C81" s="1"/>
      <c r="D81" s="1"/>
      <c r="E81" s="1"/>
      <c r="F81" s="1"/>
      <c r="G81" s="1"/>
      <c r="H81" s="1"/>
      <c r="I81" s="1"/>
    </row>
    <row r="82" spans="1:9" ht="15">
      <c r="A82" s="1"/>
      <c r="B82" s="1"/>
      <c r="C82" s="1"/>
      <c r="D82" s="1"/>
      <c r="E82" s="1"/>
      <c r="F82" s="1"/>
      <c r="G82" s="1"/>
      <c r="H82" s="1"/>
      <c r="I82" s="1"/>
    </row>
    <row r="83" spans="1:9" ht="15">
      <c r="A83" s="1"/>
      <c r="B83" s="1"/>
      <c r="C83" s="1"/>
      <c r="D83" s="1"/>
      <c r="E83" s="1"/>
      <c r="F83" s="1"/>
      <c r="G83" s="1"/>
      <c r="H83" s="1"/>
      <c r="I83" s="1"/>
    </row>
    <row r="84" spans="1:9" ht="15">
      <c r="A84" s="1"/>
      <c r="B84" s="1"/>
      <c r="C84" s="1"/>
      <c r="D84" s="1"/>
      <c r="E84" s="1"/>
      <c r="F84" s="1"/>
      <c r="G84" s="1"/>
      <c r="H84" s="1"/>
      <c r="I84" s="1"/>
    </row>
    <row r="85" spans="1:9" ht="15">
      <c r="A85" s="1"/>
      <c r="B85" s="1"/>
      <c r="C85" s="1"/>
      <c r="D85" s="1"/>
      <c r="E85" s="1"/>
      <c r="F85" s="1"/>
      <c r="G85" s="1"/>
      <c r="H85" s="1"/>
      <c r="I85" s="1"/>
    </row>
    <row r="86" spans="1:9" ht="15">
      <c r="A86" s="1"/>
      <c r="B86" s="1"/>
      <c r="C86" s="1"/>
      <c r="D86" s="1"/>
      <c r="E86" s="1"/>
      <c r="F86" s="1"/>
      <c r="G86" s="1"/>
      <c r="H86" s="1"/>
      <c r="I86" s="1"/>
    </row>
    <row r="87" spans="1:9" ht="15">
      <c r="A87" s="1"/>
      <c r="B87" s="1"/>
      <c r="C87" s="1"/>
      <c r="D87" s="1"/>
      <c r="E87" s="1"/>
      <c r="F87" s="1"/>
      <c r="G87" s="1"/>
      <c r="H87" s="1"/>
      <c r="I87" s="1"/>
    </row>
    <row r="88" spans="1:9" ht="15">
      <c r="A88" s="1"/>
      <c r="B88" s="1"/>
      <c r="C88" s="1"/>
      <c r="D88" s="1"/>
      <c r="E88" s="1"/>
      <c r="F88" s="1"/>
      <c r="G88" s="1"/>
      <c r="H88" s="1"/>
      <c r="I88" s="1"/>
    </row>
    <row r="89" spans="1:9" ht="15">
      <c r="A89" s="1"/>
      <c r="B89" s="1"/>
      <c r="C89" s="1"/>
      <c r="D89" s="1"/>
      <c r="E89" s="1"/>
      <c r="F89" s="1"/>
      <c r="G89" s="1"/>
      <c r="H89" s="1"/>
      <c r="I89" s="1"/>
    </row>
    <row r="90" spans="1:9" ht="15">
      <c r="A90" s="1"/>
      <c r="B90" s="1"/>
      <c r="C90" s="1"/>
      <c r="D90" s="1"/>
      <c r="E90" s="1"/>
      <c r="F90" s="1"/>
      <c r="G90" s="1"/>
      <c r="H90" s="1"/>
      <c r="I90" s="1"/>
    </row>
    <row r="91" spans="1:9" ht="15">
      <c r="A91" s="1"/>
      <c r="B91" s="1"/>
      <c r="C91" s="1"/>
      <c r="D91" s="1"/>
      <c r="E91" s="1"/>
      <c r="F91" s="1"/>
      <c r="G91" s="1"/>
      <c r="H91" s="1"/>
      <c r="I91" s="1"/>
    </row>
    <row r="92" spans="1:9" ht="15">
      <c r="A92" s="1"/>
      <c r="B92" s="1"/>
      <c r="C92" s="1"/>
      <c r="D92" s="1"/>
      <c r="E92" s="1"/>
      <c r="F92" s="1"/>
      <c r="G92" s="1"/>
      <c r="H92" s="1"/>
      <c r="I92" s="1"/>
    </row>
    <row r="93" spans="1:9" ht="15">
      <c r="A93" s="1"/>
      <c r="B93" s="1"/>
      <c r="C93" s="1"/>
      <c r="D93" s="1"/>
      <c r="E93" s="1"/>
      <c r="F93" s="1"/>
      <c r="G93" s="1"/>
      <c r="H93" s="1"/>
      <c r="I93" s="1"/>
    </row>
    <row r="94" spans="1:9" ht="15">
      <c r="A94" s="1"/>
      <c r="B94" s="1"/>
      <c r="C94" s="1"/>
      <c r="D94" s="1"/>
      <c r="E94" s="1"/>
      <c r="F94" s="1"/>
      <c r="G94" s="1"/>
      <c r="H94" s="1"/>
      <c r="I94" s="1"/>
    </row>
    <row r="95" spans="1:9" ht="15">
      <c r="A95" s="1"/>
      <c r="B95" s="1"/>
      <c r="C95" s="1"/>
      <c r="D95" s="1"/>
      <c r="E95" s="1"/>
      <c r="F95" s="1"/>
      <c r="G95" s="1"/>
      <c r="H95" s="1"/>
      <c r="I95" s="1"/>
    </row>
    <row r="96" spans="1:9" ht="15">
      <c r="A96" s="1"/>
      <c r="B96" s="1"/>
      <c r="C96" s="1"/>
      <c r="D96" s="1"/>
      <c r="E96" s="1"/>
      <c r="F96" s="1"/>
      <c r="G96" s="1"/>
      <c r="H96" s="1"/>
      <c r="I96" s="1"/>
    </row>
    <row r="97" spans="1:9" ht="15">
      <c r="A97" s="1"/>
      <c r="B97" s="1"/>
      <c r="C97" s="1"/>
      <c r="D97" s="1"/>
      <c r="E97" s="1"/>
      <c r="F97" s="1"/>
      <c r="G97" s="1"/>
      <c r="H97" s="1"/>
      <c r="I97" s="1"/>
    </row>
    <row r="98" spans="1:9" ht="15">
      <c r="A98" s="1"/>
      <c r="B98" s="1"/>
      <c r="C98" s="1"/>
      <c r="D98" s="1"/>
      <c r="E98" s="1"/>
      <c r="F98" s="1"/>
      <c r="G98" s="1"/>
      <c r="H98" s="1"/>
      <c r="I98" s="1"/>
    </row>
    <row r="99" spans="1:9" ht="15">
      <c r="A99" s="1"/>
      <c r="B99" s="1"/>
      <c r="C99" s="1"/>
      <c r="D99" s="1"/>
      <c r="E99" s="1"/>
      <c r="F99" s="1"/>
      <c r="G99" s="1"/>
      <c r="H99" s="1"/>
      <c r="I99" s="1"/>
    </row>
    <row r="100" spans="1:9" ht="15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15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15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15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15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15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15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15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15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15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15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15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15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15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15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15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15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15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15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15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15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15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15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15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15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15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15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15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15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15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15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15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15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15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15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15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15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15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15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15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15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15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15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15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15">
      <c r="A144" s="1"/>
      <c r="B144" s="1"/>
      <c r="C144" s="1"/>
      <c r="D144" s="1"/>
      <c r="E144" s="1"/>
      <c r="F144" s="1"/>
      <c r="G144" s="1"/>
      <c r="H144" s="1"/>
      <c r="I144" s="1"/>
    </row>
  </sheetData>
  <mergeCells count="2">
    <mergeCell ref="C17:D17"/>
    <mergeCell ref="F17:G17"/>
  </mergeCells>
  <phoneticPr fontId="2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Sheet26"/>
  <dimension ref="A1:I150"/>
  <sheetViews>
    <sheetView workbookViewId="0"/>
  </sheetViews>
  <sheetFormatPr defaultRowHeight="12.75"/>
  <cols>
    <col min="2" max="2" width="3.140625" customWidth="1"/>
    <col min="3" max="3" width="20.7109375" customWidth="1"/>
    <col min="4" max="4" width="18.140625" customWidth="1"/>
    <col min="5" max="5" width="11" bestFit="1" customWidth="1"/>
    <col min="6" max="7" width="17.140625" customWidth="1"/>
    <col min="8" max="8" width="3.140625" customWidth="1"/>
  </cols>
  <sheetData>
    <row r="1" spans="1:9" ht="18">
      <c r="A1" s="1"/>
      <c r="B1" s="1"/>
      <c r="C1" s="61" t="s">
        <v>345</v>
      </c>
      <c r="D1" s="1"/>
      <c r="E1" s="1"/>
      <c r="F1" s="1"/>
      <c r="G1" s="1"/>
      <c r="H1" s="1"/>
      <c r="I1" s="1"/>
    </row>
    <row r="2" spans="1:9" ht="15.75" customHeight="1">
      <c r="A2" s="1"/>
      <c r="B2" s="1"/>
      <c r="C2" s="1" t="s">
        <v>48</v>
      </c>
      <c r="D2" s="1"/>
      <c r="E2" s="1"/>
      <c r="F2" s="1"/>
      <c r="G2" s="1"/>
      <c r="H2" s="1"/>
      <c r="I2" s="1"/>
    </row>
    <row r="3" spans="1:9" ht="15.75" customHeight="1">
      <c r="A3" s="1"/>
      <c r="B3" s="1"/>
      <c r="C3" s="1"/>
      <c r="D3" s="1"/>
      <c r="E3" s="1"/>
      <c r="F3" s="1"/>
      <c r="G3" s="1"/>
      <c r="H3" s="1"/>
      <c r="I3" s="1"/>
    </row>
    <row r="4" spans="1:9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customHeight="1" thickBot="1">
      <c r="A5" s="1"/>
      <c r="B5" s="1"/>
      <c r="C5" s="1"/>
      <c r="D5" s="1"/>
      <c r="E5" s="1"/>
      <c r="F5" s="1"/>
      <c r="G5" s="1"/>
      <c r="H5" s="1"/>
      <c r="I5" s="1"/>
    </row>
    <row r="6" spans="1:9" ht="15.75" customHeight="1">
      <c r="A6" s="1"/>
      <c r="B6" s="3"/>
      <c r="C6" s="4"/>
      <c r="D6" s="81"/>
      <c r="E6" s="5"/>
      <c r="F6" s="1"/>
      <c r="G6" s="1"/>
      <c r="H6" s="1"/>
      <c r="I6" s="1"/>
    </row>
    <row r="7" spans="1:9" ht="15.75" customHeight="1">
      <c r="A7" s="1"/>
      <c r="B7" s="6"/>
      <c r="C7" s="7" t="s">
        <v>46</v>
      </c>
      <c r="D7" s="109">
        <v>40</v>
      </c>
      <c r="E7" s="8"/>
      <c r="F7" s="1"/>
      <c r="G7" s="1"/>
      <c r="H7" s="1"/>
      <c r="I7" s="1"/>
    </row>
    <row r="8" spans="1:9" ht="15.75" customHeight="1">
      <c r="A8" s="1"/>
      <c r="B8" s="6"/>
      <c r="C8" s="7" t="s">
        <v>305</v>
      </c>
      <c r="D8" s="120">
        <v>6</v>
      </c>
      <c r="E8" s="8"/>
      <c r="F8" s="1"/>
      <c r="G8" s="1"/>
      <c r="H8" s="1"/>
      <c r="I8" s="1"/>
    </row>
    <row r="9" spans="1:9" ht="15.75" customHeight="1">
      <c r="A9" s="1"/>
      <c r="B9" s="6"/>
      <c r="C9" s="7" t="s">
        <v>26</v>
      </c>
      <c r="D9" s="109">
        <v>30</v>
      </c>
      <c r="E9" s="8"/>
      <c r="F9" s="1"/>
      <c r="G9" s="1"/>
      <c r="H9" s="1"/>
      <c r="I9" s="1"/>
    </row>
    <row r="10" spans="1:9" ht="15.75" customHeight="1">
      <c r="A10" s="1"/>
      <c r="B10" s="6"/>
      <c r="C10" s="7" t="s">
        <v>283</v>
      </c>
      <c r="D10" s="21">
        <v>60</v>
      </c>
      <c r="E10" s="8"/>
      <c r="F10" s="1"/>
      <c r="G10" s="1"/>
      <c r="H10" s="1"/>
      <c r="I10" s="1"/>
    </row>
    <row r="11" spans="1:9" ht="15.75" customHeight="1">
      <c r="A11" s="1"/>
      <c r="B11" s="6"/>
      <c r="C11" s="7" t="s">
        <v>282</v>
      </c>
      <c r="D11" s="21">
        <v>15</v>
      </c>
      <c r="E11" s="8"/>
      <c r="F11" s="1"/>
      <c r="G11" s="1"/>
      <c r="H11" s="1"/>
      <c r="I11" s="1"/>
    </row>
    <row r="12" spans="1:9" ht="15.75" customHeight="1">
      <c r="A12" s="1"/>
      <c r="B12" s="6"/>
      <c r="C12" s="7" t="s">
        <v>7</v>
      </c>
      <c r="D12" s="110">
        <v>0.05</v>
      </c>
      <c r="E12" s="8"/>
      <c r="F12" s="1"/>
      <c r="G12" s="1"/>
      <c r="H12" s="1"/>
      <c r="I12" s="1"/>
    </row>
    <row r="13" spans="1:9" ht="15.75" customHeight="1" thickBot="1">
      <c r="A13" s="1"/>
      <c r="B13" s="9"/>
      <c r="C13" s="10"/>
      <c r="D13" s="83"/>
      <c r="E13" s="11"/>
      <c r="F13" s="1"/>
      <c r="G13" s="1"/>
      <c r="H13" s="1"/>
      <c r="I13" s="1"/>
    </row>
    <row r="14" spans="1:9" ht="15.75" customHeight="1">
      <c r="A14" s="1"/>
      <c r="B14" s="1"/>
      <c r="C14" s="1"/>
      <c r="D14" s="1"/>
      <c r="E14" s="1"/>
      <c r="F14" s="1"/>
      <c r="G14" s="1"/>
      <c r="H14" s="1"/>
      <c r="I14" s="1"/>
    </row>
    <row r="15" spans="1:9" ht="15.75" customHeight="1">
      <c r="A15" s="1"/>
      <c r="B15" s="1"/>
      <c r="C15" s="2" t="s">
        <v>2</v>
      </c>
      <c r="D15" s="1"/>
      <c r="E15" s="1"/>
      <c r="F15" s="1"/>
      <c r="G15" s="1"/>
      <c r="H15" s="1"/>
      <c r="I15" s="1"/>
    </row>
    <row r="16" spans="1:9" ht="15.75" customHeight="1" thickBot="1">
      <c r="A16" s="1"/>
      <c r="B16" s="1"/>
      <c r="C16" s="1"/>
      <c r="D16" s="1"/>
      <c r="E16" s="1"/>
      <c r="F16" s="1"/>
      <c r="G16" s="1"/>
      <c r="H16" s="1"/>
      <c r="I16" s="1"/>
    </row>
    <row r="17" spans="1:9" ht="15.75" customHeight="1">
      <c r="A17" s="1"/>
      <c r="B17" s="12"/>
      <c r="C17" s="13"/>
      <c r="D17" s="84"/>
      <c r="E17" s="13"/>
      <c r="F17" s="13"/>
      <c r="G17" s="13"/>
      <c r="H17" s="14"/>
      <c r="I17" s="1"/>
    </row>
    <row r="18" spans="1:9" ht="15.75" customHeight="1">
      <c r="A18" s="1"/>
      <c r="B18" s="15"/>
      <c r="C18" s="16" t="s">
        <v>304</v>
      </c>
      <c r="D18" s="34"/>
      <c r="E18" s="115">
        <f>((1+D12)^(1/2))-1</f>
        <v>2.4695076595959931E-2</v>
      </c>
      <c r="F18" s="16"/>
      <c r="G18" s="16"/>
      <c r="H18" s="17"/>
      <c r="I18" s="1"/>
    </row>
    <row r="19" spans="1:9" ht="15.75" customHeight="1">
      <c r="A19" s="1"/>
      <c r="B19" s="15"/>
      <c r="C19" s="16"/>
      <c r="D19" s="34"/>
      <c r="E19" s="16"/>
      <c r="F19" s="16"/>
      <c r="G19" s="16"/>
      <c r="H19" s="17"/>
      <c r="I19" s="1"/>
    </row>
    <row r="20" spans="1:9" ht="18" customHeight="1">
      <c r="A20" s="1"/>
      <c r="B20" s="74" t="s">
        <v>187</v>
      </c>
      <c r="C20" s="157" t="s">
        <v>289</v>
      </c>
      <c r="D20" s="157"/>
      <c r="E20" s="16"/>
      <c r="F20" s="157" t="s">
        <v>290</v>
      </c>
      <c r="G20" s="157"/>
      <c r="H20" s="17"/>
      <c r="I20" s="1"/>
    </row>
    <row r="21" spans="1:9" ht="15.75" customHeight="1">
      <c r="A21" s="1"/>
      <c r="B21" s="74"/>
      <c r="C21" s="111" t="s">
        <v>286</v>
      </c>
      <c r="D21" s="111" t="s">
        <v>303</v>
      </c>
      <c r="E21" s="16"/>
      <c r="F21" s="112" t="s">
        <v>286</v>
      </c>
      <c r="G21" s="111" t="s">
        <v>303</v>
      </c>
      <c r="H21" s="17"/>
      <c r="I21" s="1"/>
    </row>
    <row r="22" spans="1:9" ht="18" customHeight="1">
      <c r="A22" s="1"/>
      <c r="B22" s="74"/>
      <c r="C22" s="16"/>
      <c r="D22" s="93"/>
      <c r="E22" s="16"/>
      <c r="F22" s="16"/>
      <c r="G22" s="16"/>
      <c r="H22" s="17"/>
      <c r="I22" s="1"/>
    </row>
    <row r="23" spans="1:9" ht="15.75" customHeight="1">
      <c r="A23" s="1"/>
      <c r="B23" s="15"/>
      <c r="C23" s="60"/>
      <c r="D23" s="70">
        <f>D10</f>
        <v>60</v>
      </c>
      <c r="E23" s="16"/>
      <c r="F23" s="60"/>
      <c r="G23" s="70">
        <f>MAX(0,D7-D23)</f>
        <v>0</v>
      </c>
      <c r="H23" s="17"/>
      <c r="I23" s="1"/>
    </row>
    <row r="24" spans="1:9" ht="15.75" customHeight="1">
      <c r="A24" s="1"/>
      <c r="B24" s="15"/>
      <c r="C24" s="60"/>
      <c r="D24" s="60"/>
      <c r="E24" s="16"/>
      <c r="F24" s="60"/>
      <c r="G24" s="60"/>
      <c r="H24" s="17"/>
      <c r="I24" s="1"/>
    </row>
    <row r="25" spans="1:9" ht="15.75" customHeight="1">
      <c r="A25" s="1"/>
      <c r="B25" s="15"/>
      <c r="C25" s="113">
        <f>D7</f>
        <v>40</v>
      </c>
      <c r="D25" s="60"/>
      <c r="E25" s="16"/>
      <c r="F25" s="114" t="s">
        <v>288</v>
      </c>
      <c r="G25" s="60"/>
      <c r="H25" s="17"/>
      <c r="I25" s="1"/>
    </row>
    <row r="26" spans="1:9" ht="15.75" customHeight="1">
      <c r="A26" s="1"/>
      <c r="B26" s="15"/>
      <c r="C26" s="60"/>
      <c r="D26" s="60"/>
      <c r="E26" s="16"/>
      <c r="F26" s="60"/>
      <c r="G26" s="60"/>
      <c r="H26" s="17"/>
      <c r="I26" s="1"/>
    </row>
    <row r="27" spans="1:9" ht="15.75" customHeight="1">
      <c r="A27" s="1"/>
      <c r="B27" s="15"/>
      <c r="C27" s="60"/>
      <c r="D27" s="70">
        <f>D11</f>
        <v>15</v>
      </c>
      <c r="E27" s="16"/>
      <c r="F27" s="60"/>
      <c r="G27" s="70">
        <f>MAX(0,D7-D27)</f>
        <v>25</v>
      </c>
      <c r="H27" s="17"/>
      <c r="I27" s="1"/>
    </row>
    <row r="28" spans="1:9" ht="15.75" customHeight="1">
      <c r="A28" s="1"/>
      <c r="B28" s="15"/>
      <c r="C28" s="16"/>
      <c r="D28" s="16"/>
      <c r="E28" s="16"/>
      <c r="F28" s="16"/>
      <c r="G28" s="16"/>
      <c r="H28" s="17"/>
      <c r="I28" s="1"/>
    </row>
    <row r="29" spans="1:9" ht="15.75" customHeight="1">
      <c r="A29" s="1"/>
      <c r="B29" s="15"/>
      <c r="C29" s="16" t="s">
        <v>294</v>
      </c>
      <c r="D29" s="16"/>
      <c r="E29" s="115">
        <f>(D10-D9)/D9</f>
        <v>1</v>
      </c>
      <c r="F29" s="16"/>
      <c r="G29" s="16"/>
      <c r="H29" s="17"/>
      <c r="I29" s="1"/>
    </row>
    <row r="30" spans="1:9" ht="15.75" customHeight="1">
      <c r="A30" s="1"/>
      <c r="B30" s="15"/>
      <c r="C30" s="16" t="s">
        <v>295</v>
      </c>
      <c r="D30" s="16"/>
      <c r="E30" s="115">
        <f>(D11-D9)/D9</f>
        <v>-0.5</v>
      </c>
      <c r="F30" s="16"/>
      <c r="G30" s="16"/>
      <c r="H30" s="17"/>
      <c r="I30" s="1"/>
    </row>
    <row r="31" spans="1:9" ht="15.75" customHeight="1">
      <c r="A31" s="1"/>
      <c r="B31" s="15"/>
      <c r="C31" s="16"/>
      <c r="D31" s="16"/>
      <c r="E31" s="16"/>
      <c r="F31" s="16"/>
      <c r="G31" s="16"/>
      <c r="H31" s="17"/>
      <c r="I31" s="1"/>
    </row>
    <row r="32" spans="1:9" ht="15.75" customHeight="1">
      <c r="A32" s="1"/>
      <c r="B32" s="15"/>
      <c r="C32" s="118" t="s">
        <v>291</v>
      </c>
      <c r="D32" s="16"/>
      <c r="E32" s="16"/>
      <c r="F32" s="16"/>
      <c r="G32" s="16"/>
      <c r="H32" s="17"/>
      <c r="I32" s="1"/>
    </row>
    <row r="33" spans="1:9" ht="15.75" customHeight="1">
      <c r="A33" s="1"/>
      <c r="B33" s="15"/>
      <c r="C33" s="16" t="s">
        <v>292</v>
      </c>
      <c r="D33" s="119"/>
      <c r="E33" s="116">
        <f>(E18-E30)/(E29-E30)</f>
        <v>0.34979671773063997</v>
      </c>
      <c r="F33" s="16"/>
      <c r="G33" s="16"/>
      <c r="H33" s="17"/>
      <c r="I33" s="1"/>
    </row>
    <row r="34" spans="1:9" ht="15.75" customHeight="1">
      <c r="A34" s="1"/>
      <c r="B34" s="15"/>
      <c r="C34" s="16" t="s">
        <v>293</v>
      </c>
      <c r="D34" s="119"/>
      <c r="E34" s="116">
        <f>1-E33</f>
        <v>0.65020328226935997</v>
      </c>
      <c r="F34" s="16"/>
      <c r="G34" s="16"/>
      <c r="H34" s="17"/>
      <c r="I34" s="1"/>
    </row>
    <row r="35" spans="1:9" ht="15.75" customHeight="1">
      <c r="A35" s="1"/>
      <c r="B35" s="15"/>
      <c r="C35" s="16"/>
      <c r="D35" s="16"/>
      <c r="E35" s="16"/>
      <c r="F35" s="16"/>
      <c r="G35" s="16"/>
      <c r="H35" s="17"/>
      <c r="I35" s="1"/>
    </row>
    <row r="36" spans="1:9" ht="15.75" customHeight="1">
      <c r="A36" s="1"/>
      <c r="B36" s="15"/>
      <c r="C36" s="16" t="s">
        <v>296</v>
      </c>
      <c r="D36" s="16"/>
      <c r="E36" s="69">
        <f>(E33*G23)+(E34*G27)</f>
        <v>16.255082056734</v>
      </c>
      <c r="F36" s="16"/>
      <c r="G36" s="16"/>
      <c r="H36" s="17"/>
      <c r="I36" s="1"/>
    </row>
    <row r="37" spans="1:9" ht="15.75" customHeight="1">
      <c r="A37" s="1"/>
      <c r="B37" s="15"/>
      <c r="C37" s="16"/>
      <c r="D37" s="16"/>
      <c r="E37" s="16"/>
      <c r="F37" s="16"/>
      <c r="G37" s="16"/>
      <c r="H37" s="17"/>
      <c r="I37" s="1"/>
    </row>
    <row r="38" spans="1:9" ht="15.75" customHeight="1">
      <c r="A38" s="1"/>
      <c r="B38" s="15"/>
      <c r="C38" s="16" t="s">
        <v>297</v>
      </c>
      <c r="D38" s="16"/>
      <c r="E38" s="38">
        <f>E36/(1+E18)</f>
        <v>15.863335764951103</v>
      </c>
      <c r="F38" s="16"/>
      <c r="G38" s="16"/>
      <c r="H38" s="17"/>
      <c r="I38" s="1"/>
    </row>
    <row r="39" spans="1:9" ht="15.75" customHeight="1">
      <c r="A39" s="1"/>
      <c r="B39" s="15"/>
      <c r="C39" s="16"/>
      <c r="D39" s="16"/>
      <c r="E39" s="16"/>
      <c r="F39" s="16"/>
      <c r="G39" s="16"/>
      <c r="H39" s="17"/>
      <c r="I39" s="1"/>
    </row>
    <row r="40" spans="1:9" ht="15.75" customHeight="1">
      <c r="A40" s="1"/>
      <c r="B40" s="74" t="s">
        <v>188</v>
      </c>
      <c r="C40" s="16" t="s">
        <v>306</v>
      </c>
      <c r="D40" s="119"/>
      <c r="E40" s="117">
        <f>(G27-G23)/(D27-D23)</f>
        <v>-0.55555555555555558</v>
      </c>
      <c r="F40" s="16"/>
      <c r="G40" s="33"/>
      <c r="H40" s="17"/>
      <c r="I40" s="1"/>
    </row>
    <row r="41" spans="1:9" ht="15.75" customHeight="1">
      <c r="A41" s="1"/>
      <c r="B41" s="15"/>
      <c r="C41" s="16"/>
      <c r="D41" s="16"/>
      <c r="E41" s="16"/>
      <c r="F41" s="16"/>
      <c r="G41" s="33"/>
      <c r="H41" s="17"/>
      <c r="I41" s="1"/>
    </row>
    <row r="42" spans="1:9" ht="15.75" customHeight="1">
      <c r="A42" s="1"/>
      <c r="B42" s="15"/>
      <c r="C42" s="16" t="s">
        <v>307</v>
      </c>
      <c r="D42" s="16"/>
      <c r="E42" s="153">
        <f>ABS(E40)</f>
        <v>0.55555555555555558</v>
      </c>
      <c r="F42" s="33"/>
      <c r="G42" s="16"/>
      <c r="H42" s="17"/>
      <c r="I42" s="1"/>
    </row>
    <row r="43" spans="1:9" ht="15.75" customHeight="1">
      <c r="A43" s="1"/>
      <c r="B43" s="15"/>
      <c r="C43" s="16"/>
      <c r="D43" s="16"/>
      <c r="E43" s="16"/>
      <c r="F43" s="16"/>
      <c r="G43" s="16"/>
      <c r="H43" s="17"/>
      <c r="I43" s="1"/>
    </row>
    <row r="44" spans="1:9" ht="15.75" customHeight="1">
      <c r="A44" s="1"/>
      <c r="B44" s="15"/>
      <c r="C44" s="16" t="s">
        <v>362</v>
      </c>
      <c r="D44" s="16"/>
      <c r="E44" s="38">
        <f>(E42*D23)/(1+E18)</f>
        <v>32.530002431617774</v>
      </c>
      <c r="F44" s="16"/>
      <c r="G44" s="16"/>
      <c r="H44" s="17"/>
      <c r="I44" s="1"/>
    </row>
    <row r="45" spans="1:9" ht="15.75" customHeight="1">
      <c r="A45" s="1"/>
      <c r="B45" s="15"/>
      <c r="C45" s="16"/>
      <c r="D45" s="16"/>
      <c r="E45" s="16"/>
      <c r="F45" s="16"/>
      <c r="G45" s="16"/>
      <c r="H45" s="17"/>
      <c r="I45" s="1"/>
    </row>
    <row r="46" spans="1:9" ht="15.75" customHeight="1">
      <c r="A46" s="1"/>
      <c r="B46" s="15" t="s">
        <v>189</v>
      </c>
      <c r="C46" s="16" t="s">
        <v>308</v>
      </c>
      <c r="D46" s="16"/>
      <c r="E46" s="69">
        <f>E42*D9</f>
        <v>16.666666666666668</v>
      </c>
      <c r="F46" s="16"/>
      <c r="G46" s="16"/>
      <c r="H46" s="17"/>
      <c r="I46" s="1"/>
    </row>
    <row r="47" spans="1:9" ht="15.75" customHeight="1">
      <c r="A47" s="1"/>
      <c r="B47" s="15"/>
      <c r="C47" s="16" t="s">
        <v>309</v>
      </c>
      <c r="D47" s="16"/>
      <c r="E47" s="69">
        <f>-E44</f>
        <v>-32.530002431617774</v>
      </c>
      <c r="F47" s="16"/>
      <c r="G47" s="16"/>
      <c r="H47" s="17"/>
      <c r="I47" s="1"/>
    </row>
    <row r="48" spans="1:9" ht="15.75" customHeight="1">
      <c r="A48" s="1"/>
      <c r="B48" s="15"/>
      <c r="C48" s="16"/>
      <c r="D48" s="16"/>
      <c r="E48" s="16"/>
      <c r="F48" s="16"/>
      <c r="G48" s="16"/>
      <c r="H48" s="17"/>
      <c r="I48" s="1"/>
    </row>
    <row r="49" spans="1:9" ht="15.75">
      <c r="A49" s="1"/>
      <c r="B49" s="15" t="s">
        <v>189</v>
      </c>
      <c r="C49" s="16" t="s">
        <v>301</v>
      </c>
      <c r="D49" s="16"/>
      <c r="E49" s="38">
        <f>-E46-E47</f>
        <v>15.863335764951106</v>
      </c>
      <c r="F49" s="16"/>
      <c r="G49" s="16"/>
      <c r="H49" s="17"/>
      <c r="I49" s="1"/>
    </row>
    <row r="50" spans="1:9" ht="15.75" thickBot="1">
      <c r="A50" s="1"/>
      <c r="B50" s="18"/>
      <c r="C50" s="19"/>
      <c r="D50" s="19"/>
      <c r="E50" s="19"/>
      <c r="F50" s="19"/>
      <c r="G50" s="19"/>
      <c r="H50" s="20"/>
      <c r="I50" s="1"/>
    </row>
    <row r="51" spans="1:9" ht="15">
      <c r="A51" s="1"/>
      <c r="B51" s="1"/>
      <c r="C51" s="1"/>
      <c r="D51" s="1"/>
      <c r="E51" s="1"/>
      <c r="F51" s="1"/>
      <c r="G51" s="1"/>
      <c r="H51" s="1"/>
      <c r="I51" s="1"/>
    </row>
    <row r="52" spans="1:9" ht="15">
      <c r="A52" s="1"/>
      <c r="B52" s="1"/>
      <c r="C52" s="1"/>
      <c r="D52" s="1"/>
      <c r="E52" s="1"/>
      <c r="F52" s="1"/>
      <c r="G52" s="1"/>
      <c r="H52" s="1"/>
      <c r="I52" s="1"/>
    </row>
    <row r="53" spans="1:9" ht="15">
      <c r="A53" s="1"/>
      <c r="B53" s="1"/>
      <c r="C53" s="1"/>
      <c r="D53" s="1"/>
      <c r="E53" s="1"/>
      <c r="F53" s="1"/>
      <c r="G53" s="1"/>
      <c r="H53" s="1"/>
      <c r="I53" s="1"/>
    </row>
    <row r="54" spans="1:9" ht="15">
      <c r="A54" s="1"/>
      <c r="B54" s="1"/>
      <c r="C54" s="1"/>
      <c r="D54" s="1"/>
      <c r="E54" s="1"/>
      <c r="F54" s="1"/>
      <c r="G54" s="1"/>
      <c r="H54" s="1"/>
      <c r="I54" s="1"/>
    </row>
    <row r="55" spans="1:9" ht="15">
      <c r="A55" s="1"/>
      <c r="B55" s="1"/>
      <c r="C55" s="1"/>
      <c r="D55" s="1"/>
      <c r="E55" s="1"/>
      <c r="F55" s="1"/>
      <c r="G55" s="1"/>
      <c r="H55" s="1"/>
      <c r="I55" s="1"/>
    </row>
    <row r="56" spans="1:9" ht="15">
      <c r="A56" s="1"/>
      <c r="B56" s="1"/>
      <c r="C56" s="1"/>
      <c r="D56" s="1"/>
      <c r="E56" s="1"/>
      <c r="F56" s="1"/>
      <c r="G56" s="1"/>
      <c r="H56" s="1"/>
      <c r="I56" s="1"/>
    </row>
    <row r="57" spans="1:9" ht="15">
      <c r="A57" s="1"/>
      <c r="B57" s="1"/>
      <c r="C57" s="1"/>
      <c r="D57" s="1"/>
      <c r="E57" s="1"/>
      <c r="F57" s="1"/>
      <c r="G57" s="1"/>
      <c r="H57" s="1"/>
      <c r="I57" s="1"/>
    </row>
    <row r="58" spans="1:9" ht="15">
      <c r="A58" s="1"/>
      <c r="B58" s="1"/>
      <c r="C58" s="1"/>
      <c r="D58" s="1"/>
      <c r="E58" s="1"/>
      <c r="F58" s="1"/>
      <c r="G58" s="1"/>
      <c r="H58" s="1"/>
      <c r="I58" s="1"/>
    </row>
    <row r="59" spans="1:9" ht="15">
      <c r="A59" s="1"/>
      <c r="B59" s="1"/>
      <c r="C59" s="1"/>
      <c r="D59" s="1"/>
      <c r="E59" s="1"/>
      <c r="F59" s="1"/>
      <c r="G59" s="1"/>
      <c r="H59" s="1"/>
      <c r="I59" s="1"/>
    </row>
    <row r="60" spans="1:9" ht="15">
      <c r="A60" s="1"/>
      <c r="B60" s="1"/>
      <c r="C60" s="1"/>
      <c r="D60" s="1"/>
      <c r="E60" s="1"/>
      <c r="F60" s="1"/>
      <c r="G60" s="1"/>
      <c r="H60" s="1"/>
      <c r="I60" s="1"/>
    </row>
    <row r="61" spans="1:9" ht="15">
      <c r="A61" s="1"/>
      <c r="B61" s="1"/>
      <c r="C61" s="1"/>
      <c r="D61" s="1"/>
      <c r="E61" s="1"/>
      <c r="F61" s="1"/>
      <c r="G61" s="1"/>
      <c r="H61" s="1"/>
      <c r="I61" s="1"/>
    </row>
    <row r="62" spans="1:9" ht="15">
      <c r="A62" s="1"/>
      <c r="B62" s="1"/>
      <c r="C62" s="1"/>
      <c r="D62" s="1"/>
      <c r="E62" s="1"/>
      <c r="F62" s="1"/>
      <c r="G62" s="1"/>
      <c r="H62" s="1"/>
      <c r="I62" s="1"/>
    </row>
    <row r="63" spans="1:9" ht="15">
      <c r="A63" s="1"/>
      <c r="B63" s="1"/>
      <c r="C63" s="1"/>
      <c r="D63" s="1"/>
      <c r="E63" s="1"/>
      <c r="F63" s="1"/>
      <c r="G63" s="1"/>
      <c r="H63" s="1"/>
      <c r="I63" s="1"/>
    </row>
    <row r="64" spans="1:9" ht="15">
      <c r="A64" s="1"/>
      <c r="B64" s="1"/>
      <c r="C64" s="1"/>
      <c r="D64" s="1"/>
      <c r="E64" s="1"/>
      <c r="F64" s="1"/>
      <c r="G64" s="1"/>
      <c r="H64" s="1"/>
      <c r="I64" s="1"/>
    </row>
    <row r="65" spans="1:9" ht="15">
      <c r="A65" s="1"/>
      <c r="B65" s="1"/>
      <c r="C65" s="1"/>
      <c r="D65" s="1"/>
      <c r="E65" s="1"/>
      <c r="F65" s="1"/>
      <c r="G65" s="1"/>
      <c r="H65" s="1"/>
      <c r="I65" s="1"/>
    </row>
    <row r="66" spans="1:9" ht="15">
      <c r="A66" s="1"/>
      <c r="B66" s="1"/>
      <c r="C66" s="1"/>
      <c r="D66" s="1"/>
      <c r="E66" s="1"/>
      <c r="F66" s="1"/>
      <c r="G66" s="1"/>
      <c r="H66" s="1"/>
      <c r="I66" s="1"/>
    </row>
    <row r="67" spans="1:9" ht="15">
      <c r="A67" s="1"/>
      <c r="B67" s="1"/>
      <c r="C67" s="1"/>
      <c r="D67" s="1"/>
      <c r="E67" s="1"/>
      <c r="F67" s="1"/>
      <c r="G67" s="1"/>
      <c r="H67" s="1"/>
      <c r="I67" s="1"/>
    </row>
    <row r="68" spans="1:9" ht="15">
      <c r="A68" s="1"/>
      <c r="B68" s="1"/>
      <c r="C68" s="1"/>
      <c r="D68" s="1"/>
      <c r="E68" s="1"/>
      <c r="F68" s="1"/>
      <c r="G68" s="1"/>
      <c r="H68" s="1"/>
      <c r="I68" s="1"/>
    </row>
    <row r="69" spans="1:9" ht="15">
      <c r="A69" s="1"/>
      <c r="B69" s="1"/>
      <c r="C69" s="1"/>
      <c r="D69" s="1"/>
      <c r="E69" s="1"/>
      <c r="F69" s="1"/>
      <c r="G69" s="1"/>
      <c r="H69" s="1"/>
      <c r="I69" s="1"/>
    </row>
    <row r="70" spans="1:9" ht="15">
      <c r="A70" s="1"/>
      <c r="B70" s="1"/>
      <c r="C70" s="1"/>
      <c r="D70" s="1"/>
      <c r="E70" s="1"/>
      <c r="F70" s="1"/>
      <c r="G70" s="1"/>
      <c r="H70" s="1"/>
      <c r="I70" s="1"/>
    </row>
    <row r="71" spans="1:9" ht="15">
      <c r="A71" s="1"/>
      <c r="B71" s="1"/>
      <c r="C71" s="1"/>
      <c r="D71" s="1"/>
      <c r="E71" s="1"/>
      <c r="F71" s="1"/>
      <c r="G71" s="1"/>
      <c r="H71" s="1"/>
      <c r="I71" s="1"/>
    </row>
    <row r="72" spans="1:9" ht="15">
      <c r="A72" s="1"/>
      <c r="B72" s="1"/>
      <c r="C72" s="1"/>
      <c r="D72" s="1"/>
      <c r="E72" s="1"/>
      <c r="F72" s="1"/>
      <c r="G72" s="1"/>
      <c r="H72" s="1"/>
      <c r="I72" s="1"/>
    </row>
    <row r="73" spans="1:9" ht="15">
      <c r="A73" s="1"/>
      <c r="B73" s="1"/>
      <c r="C73" s="1"/>
      <c r="D73" s="1"/>
      <c r="E73" s="1"/>
      <c r="F73" s="1"/>
      <c r="G73" s="1"/>
      <c r="H73" s="1"/>
      <c r="I73" s="1"/>
    </row>
    <row r="74" spans="1:9" ht="15">
      <c r="A74" s="1"/>
      <c r="B74" s="1"/>
      <c r="C74" s="1"/>
      <c r="D74" s="1"/>
      <c r="E74" s="1"/>
      <c r="F74" s="1"/>
      <c r="G74" s="1"/>
      <c r="H74" s="1"/>
      <c r="I74" s="1"/>
    </row>
    <row r="75" spans="1:9" ht="15">
      <c r="A75" s="1"/>
      <c r="B75" s="1"/>
      <c r="C75" s="1"/>
      <c r="D75" s="1"/>
      <c r="E75" s="1"/>
      <c r="F75" s="1"/>
      <c r="G75" s="1"/>
      <c r="H75" s="1"/>
      <c r="I75" s="1"/>
    </row>
    <row r="76" spans="1:9" ht="15">
      <c r="A76" s="1"/>
      <c r="B76" s="1"/>
      <c r="C76" s="1"/>
      <c r="D76" s="1"/>
      <c r="E76" s="1"/>
      <c r="F76" s="1"/>
      <c r="G76" s="1"/>
      <c r="H76" s="1"/>
      <c r="I76" s="1"/>
    </row>
    <row r="77" spans="1:9" ht="15">
      <c r="A77" s="1"/>
      <c r="B77" s="1"/>
      <c r="C77" s="1"/>
      <c r="D77" s="1"/>
      <c r="E77" s="1"/>
      <c r="F77" s="1"/>
      <c r="G77" s="1"/>
      <c r="H77" s="1"/>
      <c r="I77" s="1"/>
    </row>
    <row r="78" spans="1:9" ht="15">
      <c r="A78" s="1"/>
      <c r="B78" s="1"/>
      <c r="C78" s="1"/>
      <c r="D78" s="1"/>
      <c r="E78" s="1"/>
      <c r="F78" s="1"/>
      <c r="G78" s="1"/>
      <c r="H78" s="1"/>
      <c r="I78" s="1"/>
    </row>
    <row r="79" spans="1:9" ht="15">
      <c r="A79" s="1"/>
      <c r="B79" s="1"/>
      <c r="C79" s="1"/>
      <c r="D79" s="1"/>
      <c r="E79" s="1"/>
      <c r="F79" s="1"/>
      <c r="G79" s="1"/>
      <c r="H79" s="1"/>
      <c r="I79" s="1"/>
    </row>
    <row r="80" spans="1:9" ht="15">
      <c r="A80" s="1"/>
      <c r="B80" s="1"/>
      <c r="C80" s="1"/>
      <c r="D80" s="1"/>
      <c r="E80" s="1"/>
      <c r="F80" s="1"/>
      <c r="G80" s="1"/>
      <c r="H80" s="1"/>
      <c r="I80" s="1"/>
    </row>
    <row r="81" spans="1:9" ht="15">
      <c r="A81" s="1"/>
      <c r="B81" s="1"/>
      <c r="C81" s="1"/>
      <c r="D81" s="1"/>
      <c r="E81" s="1"/>
      <c r="F81" s="1"/>
      <c r="G81" s="1"/>
      <c r="H81" s="1"/>
      <c r="I81" s="1"/>
    </row>
    <row r="82" spans="1:9" ht="15">
      <c r="A82" s="1"/>
      <c r="B82" s="1"/>
      <c r="C82" s="1"/>
      <c r="D82" s="1"/>
      <c r="E82" s="1"/>
      <c r="F82" s="1"/>
      <c r="G82" s="1"/>
      <c r="H82" s="1"/>
      <c r="I82" s="1"/>
    </row>
    <row r="83" spans="1:9" ht="15">
      <c r="A83" s="1"/>
      <c r="B83" s="1"/>
      <c r="C83" s="1"/>
      <c r="D83" s="1"/>
      <c r="E83" s="1"/>
      <c r="F83" s="1"/>
      <c r="G83" s="1"/>
      <c r="H83" s="1"/>
      <c r="I83" s="1"/>
    </row>
    <row r="84" spans="1:9" ht="15">
      <c r="A84" s="1"/>
      <c r="B84" s="1"/>
      <c r="C84" s="1"/>
      <c r="D84" s="1"/>
      <c r="E84" s="1"/>
      <c r="F84" s="1"/>
      <c r="G84" s="1"/>
      <c r="H84" s="1"/>
      <c r="I84" s="1"/>
    </row>
    <row r="85" spans="1:9" ht="15">
      <c r="A85" s="1"/>
      <c r="B85" s="1"/>
      <c r="C85" s="1"/>
      <c r="D85" s="1"/>
      <c r="E85" s="1"/>
      <c r="F85" s="1"/>
      <c r="G85" s="1"/>
      <c r="H85" s="1"/>
      <c r="I85" s="1"/>
    </row>
    <row r="86" spans="1:9" ht="15">
      <c r="A86" s="1"/>
      <c r="B86" s="1"/>
      <c r="C86" s="1"/>
      <c r="D86" s="1"/>
      <c r="E86" s="1"/>
      <c r="F86" s="1"/>
      <c r="G86" s="1"/>
      <c r="H86" s="1"/>
      <c r="I86" s="1"/>
    </row>
    <row r="87" spans="1:9" ht="15">
      <c r="A87" s="1"/>
      <c r="B87" s="1"/>
      <c r="C87" s="1"/>
      <c r="D87" s="1"/>
      <c r="E87" s="1"/>
      <c r="F87" s="1"/>
      <c r="G87" s="1"/>
      <c r="H87" s="1"/>
      <c r="I87" s="1"/>
    </row>
    <row r="88" spans="1:9" ht="15">
      <c r="A88" s="1"/>
      <c r="B88" s="1"/>
      <c r="C88" s="1"/>
      <c r="D88" s="1"/>
      <c r="E88" s="1"/>
      <c r="F88" s="1"/>
      <c r="G88" s="1"/>
      <c r="H88" s="1"/>
      <c r="I88" s="1"/>
    </row>
    <row r="89" spans="1:9" ht="15">
      <c r="A89" s="1"/>
      <c r="B89" s="1"/>
      <c r="C89" s="1"/>
      <c r="D89" s="1"/>
      <c r="E89" s="1"/>
      <c r="F89" s="1"/>
      <c r="G89" s="1"/>
      <c r="H89" s="1"/>
      <c r="I89" s="1"/>
    </row>
    <row r="90" spans="1:9" ht="15">
      <c r="A90" s="1"/>
      <c r="B90" s="1"/>
      <c r="C90" s="1"/>
      <c r="D90" s="1"/>
      <c r="E90" s="1"/>
      <c r="F90" s="1"/>
      <c r="G90" s="1"/>
      <c r="H90" s="1"/>
      <c r="I90" s="1"/>
    </row>
    <row r="91" spans="1:9" ht="15">
      <c r="A91" s="1"/>
      <c r="B91" s="1"/>
      <c r="C91" s="1"/>
      <c r="D91" s="1"/>
      <c r="E91" s="1"/>
      <c r="F91" s="1"/>
      <c r="G91" s="1"/>
      <c r="H91" s="1"/>
      <c r="I91" s="1"/>
    </row>
    <row r="92" spans="1:9" ht="15">
      <c r="A92" s="1"/>
      <c r="B92" s="1"/>
      <c r="C92" s="1"/>
      <c r="D92" s="1"/>
      <c r="E92" s="1"/>
      <c r="F92" s="1"/>
      <c r="G92" s="1"/>
      <c r="H92" s="1"/>
      <c r="I92" s="1"/>
    </row>
    <row r="93" spans="1:9" ht="15">
      <c r="A93" s="1"/>
      <c r="B93" s="1"/>
      <c r="C93" s="1"/>
      <c r="D93" s="1"/>
      <c r="E93" s="1"/>
      <c r="F93" s="1"/>
      <c r="G93" s="1"/>
      <c r="H93" s="1"/>
      <c r="I93" s="1"/>
    </row>
    <row r="94" spans="1:9" ht="15">
      <c r="A94" s="1"/>
      <c r="B94" s="1"/>
      <c r="C94" s="1"/>
      <c r="D94" s="1"/>
      <c r="E94" s="1"/>
      <c r="F94" s="1"/>
      <c r="G94" s="1"/>
      <c r="H94" s="1"/>
      <c r="I94" s="1"/>
    </row>
    <row r="95" spans="1:9" ht="15">
      <c r="A95" s="1"/>
      <c r="B95" s="1"/>
      <c r="C95" s="1"/>
      <c r="D95" s="1"/>
      <c r="E95" s="1"/>
      <c r="F95" s="1"/>
      <c r="G95" s="1"/>
      <c r="H95" s="1"/>
      <c r="I95" s="1"/>
    </row>
    <row r="96" spans="1:9" ht="15">
      <c r="A96" s="1"/>
      <c r="B96" s="1"/>
      <c r="C96" s="1"/>
      <c r="D96" s="1"/>
      <c r="E96" s="1"/>
      <c r="F96" s="1"/>
      <c r="G96" s="1"/>
      <c r="H96" s="1"/>
      <c r="I96" s="1"/>
    </row>
    <row r="97" spans="1:9" ht="15">
      <c r="A97" s="1"/>
      <c r="B97" s="1"/>
      <c r="C97" s="1"/>
      <c r="D97" s="1"/>
      <c r="E97" s="1"/>
      <c r="F97" s="1"/>
      <c r="G97" s="1"/>
      <c r="H97" s="1"/>
      <c r="I97" s="1"/>
    </row>
    <row r="98" spans="1:9" ht="15">
      <c r="A98" s="1"/>
      <c r="B98" s="1"/>
      <c r="C98" s="1"/>
      <c r="D98" s="1"/>
      <c r="E98" s="1"/>
      <c r="F98" s="1"/>
      <c r="G98" s="1"/>
      <c r="H98" s="1"/>
      <c r="I98" s="1"/>
    </row>
    <row r="99" spans="1:9" ht="15">
      <c r="A99" s="1"/>
      <c r="B99" s="1"/>
      <c r="C99" s="1"/>
      <c r="D99" s="1"/>
      <c r="E99" s="1"/>
      <c r="F99" s="1"/>
      <c r="G99" s="1"/>
      <c r="H99" s="1"/>
      <c r="I99" s="1"/>
    </row>
    <row r="100" spans="1:9" ht="15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15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15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15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15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15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15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15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15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15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15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15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15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15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15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15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15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15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15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15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15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15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15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15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15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15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15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15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15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15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15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15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15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15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15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15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15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15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15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15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15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15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15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15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15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15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15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15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15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15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15">
      <c r="A150" s="1"/>
      <c r="B150" s="1"/>
      <c r="C150" s="1"/>
      <c r="D150" s="1"/>
      <c r="E150" s="1"/>
      <c r="F150" s="1"/>
      <c r="G150" s="1"/>
      <c r="H150" s="1"/>
      <c r="I150" s="1"/>
    </row>
  </sheetData>
  <mergeCells count="2">
    <mergeCell ref="C20:D20"/>
    <mergeCell ref="F20:G20"/>
  </mergeCells>
  <phoneticPr fontId="2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Sheet27"/>
  <dimension ref="A1:I153"/>
  <sheetViews>
    <sheetView workbookViewId="0"/>
  </sheetViews>
  <sheetFormatPr defaultRowHeight="12.75"/>
  <cols>
    <col min="2" max="2" width="3.140625" customWidth="1"/>
    <col min="3" max="4" width="18.140625" customWidth="1"/>
    <col min="5" max="5" width="11" bestFit="1" customWidth="1"/>
    <col min="6" max="7" width="17.140625" customWidth="1"/>
    <col min="8" max="8" width="3.140625" customWidth="1"/>
  </cols>
  <sheetData>
    <row r="1" spans="1:9" ht="18">
      <c r="A1" s="1"/>
      <c r="B1" s="1"/>
      <c r="C1" s="61" t="s">
        <v>345</v>
      </c>
      <c r="D1" s="1"/>
      <c r="E1" s="1"/>
      <c r="F1" s="1"/>
      <c r="G1" s="1"/>
      <c r="H1" s="1"/>
      <c r="I1" s="1"/>
    </row>
    <row r="2" spans="1:9" ht="15.75" customHeight="1">
      <c r="A2" s="1"/>
      <c r="B2" s="1"/>
      <c r="C2" s="1" t="s">
        <v>49</v>
      </c>
      <c r="D2" s="1"/>
      <c r="E2" s="1"/>
      <c r="F2" s="1"/>
      <c r="G2" s="1"/>
      <c r="H2" s="1"/>
      <c r="I2" s="1"/>
    </row>
    <row r="3" spans="1:9" ht="15.75" customHeight="1">
      <c r="A3" s="1"/>
      <c r="B3" s="1"/>
      <c r="C3" s="1"/>
      <c r="D3" s="1"/>
      <c r="E3" s="1"/>
      <c r="F3" s="1"/>
      <c r="G3" s="1"/>
      <c r="H3" s="1"/>
      <c r="I3" s="1"/>
    </row>
    <row r="4" spans="1:9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customHeight="1" thickBot="1">
      <c r="A5" s="1"/>
      <c r="B5" s="1"/>
      <c r="C5" s="1"/>
      <c r="D5" s="1"/>
      <c r="E5" s="1"/>
      <c r="F5" s="1"/>
      <c r="G5" s="1"/>
      <c r="H5" s="1"/>
      <c r="I5" s="1"/>
    </row>
    <row r="6" spans="1:9" ht="15.75" customHeight="1">
      <c r="A6" s="1"/>
      <c r="B6" s="3"/>
      <c r="C6" s="4"/>
      <c r="D6" s="81"/>
      <c r="E6" s="5"/>
      <c r="F6" s="1"/>
      <c r="G6" s="1"/>
      <c r="H6" s="1"/>
      <c r="I6" s="1"/>
    </row>
    <row r="7" spans="1:9" ht="15.75" customHeight="1">
      <c r="A7" s="1"/>
      <c r="B7" s="6"/>
      <c r="C7" s="7" t="s">
        <v>310</v>
      </c>
      <c r="D7" s="109">
        <v>1530</v>
      </c>
      <c r="E7" s="8"/>
      <c r="F7" s="1"/>
      <c r="G7" s="1"/>
      <c r="H7" s="1"/>
      <c r="I7" s="1"/>
    </row>
    <row r="8" spans="1:9" ht="15.75" customHeight="1">
      <c r="A8" s="1"/>
      <c r="B8" s="6"/>
      <c r="C8" s="7" t="s">
        <v>284</v>
      </c>
      <c r="D8" s="109">
        <v>1450</v>
      </c>
      <c r="E8" s="8"/>
      <c r="F8" s="1"/>
      <c r="G8" s="1"/>
      <c r="H8" s="1"/>
      <c r="I8" s="1"/>
    </row>
    <row r="9" spans="1:9" ht="15.75" customHeight="1">
      <c r="A9" s="1"/>
      <c r="B9" s="6"/>
      <c r="C9" s="7" t="s">
        <v>311</v>
      </c>
      <c r="D9" s="21">
        <v>1605</v>
      </c>
      <c r="E9" s="8"/>
      <c r="F9" s="1"/>
      <c r="G9" s="1"/>
      <c r="H9" s="1"/>
      <c r="I9" s="1"/>
    </row>
    <row r="10" spans="1:9" ht="15.75" customHeight="1">
      <c r="A10" s="1"/>
      <c r="B10" s="6"/>
      <c r="C10" s="7" t="s">
        <v>312</v>
      </c>
      <c r="D10" s="21">
        <v>1340</v>
      </c>
      <c r="E10" s="8"/>
      <c r="F10" s="1"/>
      <c r="G10" s="1"/>
      <c r="H10" s="1"/>
      <c r="I10" s="1"/>
    </row>
    <row r="11" spans="1:9" ht="15.75" customHeight="1">
      <c r="A11" s="1"/>
      <c r="B11" s="6"/>
      <c r="C11" s="7" t="s">
        <v>7</v>
      </c>
      <c r="D11" s="110">
        <v>6.5000000000000002E-2</v>
      </c>
      <c r="E11" s="8"/>
      <c r="F11" s="1"/>
      <c r="G11" s="1"/>
      <c r="H11" s="1"/>
      <c r="I11" s="1"/>
    </row>
    <row r="12" spans="1:9" ht="15.75" customHeight="1" thickBot="1">
      <c r="A12" s="1"/>
      <c r="B12" s="9"/>
      <c r="C12" s="10"/>
      <c r="D12" s="83"/>
      <c r="E12" s="11"/>
      <c r="F12" s="1"/>
      <c r="G12" s="1"/>
      <c r="H12" s="1"/>
      <c r="I12" s="1"/>
    </row>
    <row r="13" spans="1:9" ht="15.75" customHeight="1">
      <c r="A13" s="1"/>
      <c r="B13" s="1"/>
      <c r="C13" s="1"/>
      <c r="D13" s="1"/>
      <c r="E13" s="1"/>
      <c r="F13" s="1"/>
      <c r="G13" s="1"/>
      <c r="H13" s="1"/>
      <c r="I13" s="1"/>
    </row>
    <row r="14" spans="1:9" ht="15.75" customHeight="1">
      <c r="A14" s="1"/>
      <c r="B14" s="1"/>
      <c r="C14" s="2" t="s">
        <v>2</v>
      </c>
      <c r="D14" s="1"/>
      <c r="E14" s="1"/>
      <c r="F14" s="1"/>
      <c r="G14" s="1"/>
      <c r="H14" s="1"/>
      <c r="I14" s="1"/>
    </row>
    <row r="15" spans="1:9" ht="15.75" customHeight="1" thickBot="1">
      <c r="A15" s="1"/>
      <c r="B15" s="1"/>
      <c r="C15" s="1"/>
      <c r="D15" s="1"/>
      <c r="E15" s="1"/>
      <c r="F15" s="1"/>
      <c r="G15" s="1"/>
      <c r="H15" s="1"/>
      <c r="I15" s="1"/>
    </row>
    <row r="16" spans="1:9" ht="15.75" customHeight="1">
      <c r="A16" s="1"/>
      <c r="B16" s="12"/>
      <c r="C16" s="13"/>
      <c r="D16" s="84"/>
      <c r="E16" s="13"/>
      <c r="F16" s="13"/>
      <c r="G16" s="13"/>
      <c r="H16" s="14"/>
      <c r="I16" s="1"/>
    </row>
    <row r="17" spans="1:9" ht="15.75" customHeight="1">
      <c r="A17" s="1"/>
      <c r="B17" s="74" t="s">
        <v>187</v>
      </c>
      <c r="C17" s="16" t="s">
        <v>313</v>
      </c>
      <c r="D17" s="34"/>
      <c r="E17" s="16"/>
      <c r="F17" s="16"/>
      <c r="G17" s="113">
        <f>D7</f>
        <v>1530</v>
      </c>
      <c r="H17" s="17"/>
      <c r="I17" s="1"/>
    </row>
    <row r="18" spans="1:9" ht="15.75" customHeight="1">
      <c r="A18" s="1"/>
      <c r="B18" s="15"/>
      <c r="C18" s="16" t="s">
        <v>314</v>
      </c>
      <c r="D18" s="34"/>
      <c r="E18" s="16"/>
      <c r="F18" s="16"/>
      <c r="G18" s="16"/>
      <c r="H18" s="17"/>
      <c r="I18" s="1"/>
    </row>
    <row r="19" spans="1:9" ht="15.75" customHeight="1">
      <c r="A19" s="1"/>
      <c r="B19" s="15"/>
      <c r="C19" s="16"/>
      <c r="D19" s="34"/>
      <c r="E19" s="16"/>
      <c r="F19" s="16"/>
      <c r="G19" s="16"/>
      <c r="H19" s="17"/>
      <c r="I19" s="1"/>
    </row>
    <row r="20" spans="1:9" ht="15.75" customHeight="1">
      <c r="A20" s="1"/>
      <c r="B20" s="74" t="s">
        <v>188</v>
      </c>
      <c r="C20" s="16" t="s">
        <v>315</v>
      </c>
      <c r="D20" s="34"/>
      <c r="E20" s="115">
        <f>((1+D11)^(1/4))-1</f>
        <v>1.586828478278357E-2</v>
      </c>
      <c r="F20" s="16"/>
      <c r="G20" s="16"/>
      <c r="H20" s="17"/>
      <c r="I20" s="1"/>
    </row>
    <row r="21" spans="1:9" ht="15.75" customHeight="1">
      <c r="A21" s="1"/>
      <c r="B21" s="15"/>
      <c r="C21" s="16"/>
      <c r="D21" s="34"/>
      <c r="E21" s="16"/>
      <c r="F21" s="16"/>
      <c r="G21" s="16"/>
      <c r="H21" s="17"/>
      <c r="I21" s="1"/>
    </row>
    <row r="22" spans="1:9" ht="18" customHeight="1">
      <c r="A22" s="1"/>
      <c r="B22" s="74"/>
      <c r="C22" s="157" t="s">
        <v>316</v>
      </c>
      <c r="D22" s="157"/>
      <c r="E22" s="16"/>
      <c r="F22" s="157" t="s">
        <v>290</v>
      </c>
      <c r="G22" s="157"/>
      <c r="H22" s="17"/>
      <c r="I22" s="1"/>
    </row>
    <row r="23" spans="1:9" ht="15.75" customHeight="1">
      <c r="A23" s="1"/>
      <c r="B23" s="74"/>
      <c r="C23" s="111" t="s">
        <v>286</v>
      </c>
      <c r="D23" s="111" t="s">
        <v>287</v>
      </c>
      <c r="E23" s="16"/>
      <c r="F23" s="112" t="s">
        <v>286</v>
      </c>
      <c r="G23" s="111" t="s">
        <v>287</v>
      </c>
      <c r="H23" s="17"/>
      <c r="I23" s="1"/>
    </row>
    <row r="24" spans="1:9" ht="18" customHeight="1">
      <c r="A24" s="1"/>
      <c r="B24" s="74"/>
      <c r="C24" s="16"/>
      <c r="D24" s="93"/>
      <c r="E24" s="16"/>
      <c r="F24" s="16"/>
      <c r="G24" s="16"/>
      <c r="H24" s="17"/>
      <c r="I24" s="1"/>
    </row>
    <row r="25" spans="1:9" ht="15.75" customHeight="1">
      <c r="A25" s="1"/>
      <c r="B25" s="15"/>
      <c r="C25" s="60"/>
      <c r="D25" s="70">
        <f>D9</f>
        <v>1605</v>
      </c>
      <c r="E25" s="16"/>
      <c r="F25" s="60"/>
      <c r="G25" s="70">
        <f>MAX(0,D25-D7)</f>
        <v>75</v>
      </c>
      <c r="H25" s="17"/>
      <c r="I25" s="1"/>
    </row>
    <row r="26" spans="1:9" ht="15.75" customHeight="1">
      <c r="A26" s="1"/>
      <c r="B26" s="15"/>
      <c r="C26" s="60"/>
      <c r="D26" s="60"/>
      <c r="E26" s="16"/>
      <c r="F26" s="60"/>
      <c r="G26" s="60"/>
      <c r="H26" s="17"/>
      <c r="I26" s="1"/>
    </row>
    <row r="27" spans="1:9" ht="15.75" customHeight="1">
      <c r="A27" s="1"/>
      <c r="B27" s="15"/>
      <c r="C27" s="113">
        <f>D7</f>
        <v>1530</v>
      </c>
      <c r="D27" s="60"/>
      <c r="E27" s="16"/>
      <c r="F27" s="114" t="s">
        <v>288</v>
      </c>
      <c r="G27" s="60"/>
      <c r="H27" s="17"/>
      <c r="I27" s="1"/>
    </row>
    <row r="28" spans="1:9" ht="15.75" customHeight="1">
      <c r="A28" s="1"/>
      <c r="B28" s="15"/>
      <c r="C28" s="60"/>
      <c r="D28" s="60"/>
      <c r="E28" s="16"/>
      <c r="F28" s="60"/>
      <c r="G28" s="60"/>
      <c r="H28" s="17"/>
      <c r="I28" s="1"/>
    </row>
    <row r="29" spans="1:9" ht="15.75" customHeight="1">
      <c r="A29" s="1"/>
      <c r="B29" s="15"/>
      <c r="C29" s="60"/>
      <c r="D29" s="70">
        <f>D10</f>
        <v>1340</v>
      </c>
      <c r="E29" s="16"/>
      <c r="F29" s="60"/>
      <c r="G29" s="70">
        <f>MAX(0,D29-D7)</f>
        <v>0</v>
      </c>
      <c r="H29" s="17"/>
      <c r="I29" s="1"/>
    </row>
    <row r="30" spans="1:9" ht="15.75" customHeight="1">
      <c r="A30" s="1"/>
      <c r="B30" s="15"/>
      <c r="C30" s="16"/>
      <c r="D30" s="16"/>
      <c r="E30" s="16"/>
      <c r="F30" s="16"/>
      <c r="G30" s="16"/>
      <c r="H30" s="17"/>
      <c r="I30" s="1"/>
    </row>
    <row r="31" spans="1:9" ht="15.75" customHeight="1">
      <c r="A31" s="1"/>
      <c r="B31" s="15"/>
      <c r="C31" s="16" t="s">
        <v>294</v>
      </c>
      <c r="D31" s="16"/>
      <c r="E31" s="115">
        <f>(D9-D8)/D8</f>
        <v>0.10689655172413794</v>
      </c>
      <c r="F31" s="16"/>
      <c r="G31" s="16"/>
      <c r="H31" s="17"/>
      <c r="I31" s="1"/>
    </row>
    <row r="32" spans="1:9" ht="15.75" customHeight="1">
      <c r="A32" s="1"/>
      <c r="B32" s="15"/>
      <c r="C32" s="16" t="s">
        <v>295</v>
      </c>
      <c r="D32" s="16"/>
      <c r="E32" s="115">
        <f>(D10-D8)/D8</f>
        <v>-7.586206896551724E-2</v>
      </c>
      <c r="F32" s="16"/>
      <c r="G32" s="16"/>
      <c r="H32" s="17"/>
      <c r="I32" s="1"/>
    </row>
    <row r="33" spans="1:9" ht="15.75" customHeight="1">
      <c r="A33" s="1"/>
      <c r="B33" s="15"/>
      <c r="C33" s="16"/>
      <c r="D33" s="16"/>
      <c r="E33" s="16"/>
      <c r="F33" s="16"/>
      <c r="G33" s="16"/>
      <c r="H33" s="17"/>
      <c r="I33" s="1"/>
    </row>
    <row r="34" spans="1:9" ht="15.75" customHeight="1">
      <c r="A34" s="1"/>
      <c r="B34" s="15"/>
      <c r="C34" s="118" t="s">
        <v>291</v>
      </c>
      <c r="D34" s="16"/>
      <c r="E34" s="16"/>
      <c r="F34" s="16"/>
      <c r="G34" s="16"/>
      <c r="H34" s="17"/>
      <c r="I34" s="1"/>
    </row>
    <row r="35" spans="1:9" ht="15.75" customHeight="1">
      <c r="A35" s="1"/>
      <c r="B35" s="15"/>
      <c r="C35" s="16" t="s">
        <v>292</v>
      </c>
      <c r="D35" s="119"/>
      <c r="E35" s="116">
        <f>(E20-E32)/(E31-E32)</f>
        <v>0.50192080352843838</v>
      </c>
      <c r="F35" s="16"/>
      <c r="G35" s="16"/>
      <c r="H35" s="17"/>
      <c r="I35" s="1"/>
    </row>
    <row r="36" spans="1:9" ht="15.75" customHeight="1">
      <c r="A36" s="1"/>
      <c r="B36" s="15"/>
      <c r="C36" s="16" t="s">
        <v>293</v>
      </c>
      <c r="D36" s="119"/>
      <c r="E36" s="116">
        <f>1-E35</f>
        <v>0.49807919647156162</v>
      </c>
      <c r="F36" s="16"/>
      <c r="G36" s="16"/>
      <c r="H36" s="17"/>
      <c r="I36" s="1"/>
    </row>
    <row r="37" spans="1:9" ht="15.75" customHeight="1">
      <c r="A37" s="1"/>
      <c r="B37" s="15"/>
      <c r="C37" s="16"/>
      <c r="D37" s="16"/>
      <c r="E37" s="16"/>
      <c r="F37" s="16"/>
      <c r="G37" s="16"/>
      <c r="H37" s="17"/>
      <c r="I37" s="1"/>
    </row>
    <row r="38" spans="1:9" ht="15.75" customHeight="1">
      <c r="A38" s="1"/>
      <c r="B38" s="15"/>
      <c r="C38" s="16" t="s">
        <v>296</v>
      </c>
      <c r="D38" s="16"/>
      <c r="E38" s="69">
        <f>(E35*G25)+(E36*G29)</f>
        <v>37.644060264632877</v>
      </c>
      <c r="F38" s="16"/>
      <c r="G38" s="16"/>
      <c r="H38" s="17"/>
      <c r="I38" s="1"/>
    </row>
    <row r="39" spans="1:9" ht="15.75" customHeight="1">
      <c r="A39" s="1"/>
      <c r="B39" s="15"/>
      <c r="C39" s="16"/>
      <c r="D39" s="16"/>
      <c r="E39" s="16"/>
      <c r="F39" s="16"/>
      <c r="G39" s="16"/>
      <c r="H39" s="17"/>
      <c r="I39" s="1"/>
    </row>
    <row r="40" spans="1:9" ht="15.75" customHeight="1">
      <c r="A40" s="1"/>
      <c r="B40" s="15"/>
      <c r="C40" s="16" t="s">
        <v>297</v>
      </c>
      <c r="D40" s="16"/>
      <c r="E40" s="38">
        <f>E38/(1+E20)</f>
        <v>37.056044399183165</v>
      </c>
      <c r="F40" s="16"/>
      <c r="G40" s="16"/>
      <c r="H40" s="17"/>
      <c r="I40" s="1"/>
    </row>
    <row r="41" spans="1:9" ht="15.75" customHeight="1">
      <c r="A41" s="1"/>
      <c r="B41" s="15"/>
      <c r="C41" s="16"/>
      <c r="D41" s="16"/>
      <c r="E41" s="16"/>
      <c r="F41" s="16"/>
      <c r="G41" s="16"/>
      <c r="H41" s="17"/>
      <c r="I41" s="1"/>
    </row>
    <row r="42" spans="1:9" ht="15.75" customHeight="1">
      <c r="A42" s="1"/>
      <c r="B42" s="74" t="s">
        <v>188</v>
      </c>
      <c r="C42" s="16" t="s">
        <v>298</v>
      </c>
      <c r="D42" s="119"/>
      <c r="E42" s="117">
        <f>(G25-G29)/(D25-D29)</f>
        <v>0.28301886792452829</v>
      </c>
      <c r="F42" s="16"/>
      <c r="G42" s="16"/>
      <c r="H42" s="17"/>
      <c r="I42" s="1"/>
    </row>
    <row r="43" spans="1:9" ht="15.75" customHeight="1">
      <c r="A43" s="1"/>
      <c r="B43" s="15"/>
      <c r="C43" s="16"/>
      <c r="D43" s="16"/>
      <c r="E43" s="16"/>
      <c r="F43" s="16"/>
      <c r="G43" s="16"/>
      <c r="H43" s="17"/>
      <c r="I43" s="1"/>
    </row>
    <row r="44" spans="1:9" ht="15.75" customHeight="1">
      <c r="A44" s="1"/>
      <c r="B44" s="15"/>
      <c r="C44" s="16" t="s">
        <v>299</v>
      </c>
      <c r="D44" s="16"/>
      <c r="E44" s="153">
        <f>E42</f>
        <v>0.28301886792452829</v>
      </c>
      <c r="F44" s="16"/>
      <c r="G44" s="16"/>
      <c r="H44" s="17"/>
      <c r="I44" s="1"/>
    </row>
    <row r="45" spans="1:9" ht="15.75" customHeight="1">
      <c r="A45" s="1"/>
      <c r="B45" s="15"/>
      <c r="C45" s="16"/>
      <c r="D45" s="16"/>
      <c r="E45" s="154"/>
      <c r="F45" s="16"/>
      <c r="G45" s="16"/>
      <c r="H45" s="17"/>
      <c r="I45" s="1"/>
    </row>
    <row r="46" spans="1:9" ht="15.75" customHeight="1">
      <c r="A46" s="1"/>
      <c r="B46" s="15"/>
      <c r="C46" s="16" t="s">
        <v>352</v>
      </c>
      <c r="D46" s="16"/>
      <c r="E46" s="155">
        <f>E44*D8</f>
        <v>410.37735849056605</v>
      </c>
      <c r="F46" s="16"/>
      <c r="G46" s="16"/>
      <c r="H46" s="17"/>
      <c r="I46" s="1"/>
    </row>
    <row r="47" spans="1:9" ht="15.75" customHeight="1">
      <c r="A47" s="1"/>
      <c r="B47" s="15"/>
      <c r="C47" s="16" t="s">
        <v>353</v>
      </c>
      <c r="D47" s="16"/>
      <c r="E47" s="155">
        <f>E44*D9</f>
        <v>454.24528301886789</v>
      </c>
      <c r="F47" s="16"/>
      <c r="G47" s="16"/>
      <c r="H47" s="17"/>
      <c r="I47" s="1"/>
    </row>
    <row r="48" spans="1:9" ht="15.75" customHeight="1">
      <c r="A48" s="1"/>
      <c r="B48" s="15"/>
      <c r="C48" s="16" t="s">
        <v>354</v>
      </c>
      <c r="D48" s="16"/>
      <c r="E48" s="155">
        <f>E44*D10</f>
        <v>379.24528301886789</v>
      </c>
      <c r="F48" s="16"/>
      <c r="G48" s="16"/>
      <c r="H48" s="17"/>
      <c r="I48" s="1"/>
    </row>
    <row r="49" spans="1:9" ht="15.75" customHeight="1">
      <c r="A49" s="1"/>
      <c r="B49" s="15"/>
      <c r="C49" s="16"/>
      <c r="D49" s="16"/>
      <c r="E49" s="16"/>
      <c r="F49" s="16"/>
      <c r="G49" s="16"/>
      <c r="H49" s="17"/>
      <c r="I49" s="1"/>
    </row>
    <row r="50" spans="1:9" ht="15.75" customHeight="1">
      <c r="A50" s="1"/>
      <c r="B50" s="15"/>
      <c r="C50" s="16" t="s">
        <v>300</v>
      </c>
      <c r="D50" s="16"/>
      <c r="E50" s="38">
        <f>(E44*D29)/(1+E20)</f>
        <v>373.32131409138282</v>
      </c>
      <c r="F50" s="16"/>
      <c r="G50" s="16"/>
      <c r="H50" s="17"/>
      <c r="I50" s="1"/>
    </row>
    <row r="51" spans="1:9" ht="15.75" customHeight="1">
      <c r="A51" s="1"/>
      <c r="B51" s="15"/>
      <c r="C51" s="16"/>
      <c r="D51" s="16"/>
      <c r="E51" s="16"/>
      <c r="F51" s="16"/>
      <c r="G51" s="16"/>
      <c r="H51" s="17"/>
      <c r="I51" s="1"/>
    </row>
    <row r="52" spans="1:9" ht="15.75">
      <c r="A52" s="1"/>
      <c r="B52" s="15" t="s">
        <v>189</v>
      </c>
      <c r="C52" s="16" t="s">
        <v>301</v>
      </c>
      <c r="D52" s="16"/>
      <c r="E52" s="38">
        <f>(E44*D8)-E50</f>
        <v>37.056044399183236</v>
      </c>
      <c r="F52" s="16"/>
      <c r="G52" s="16"/>
      <c r="H52" s="17"/>
      <c r="I52" s="1"/>
    </row>
    <row r="53" spans="1:9" ht="15.75" thickBot="1">
      <c r="A53" s="1"/>
      <c r="B53" s="18"/>
      <c r="C53" s="19"/>
      <c r="D53" s="19"/>
      <c r="E53" s="19"/>
      <c r="F53" s="19"/>
      <c r="G53" s="19"/>
      <c r="H53" s="20"/>
      <c r="I53" s="1"/>
    </row>
    <row r="54" spans="1:9" ht="15">
      <c r="A54" s="1"/>
      <c r="B54" s="1"/>
      <c r="C54" s="1"/>
      <c r="D54" s="1"/>
      <c r="E54" s="1"/>
      <c r="F54" s="1"/>
      <c r="G54" s="1"/>
      <c r="H54" s="1"/>
      <c r="I54" s="1"/>
    </row>
    <row r="55" spans="1:9" ht="15">
      <c r="A55" s="1"/>
      <c r="B55" s="1"/>
      <c r="C55" s="1"/>
      <c r="D55" s="1"/>
      <c r="E55" s="1"/>
      <c r="F55" s="1"/>
      <c r="G55" s="1"/>
      <c r="H55" s="1"/>
      <c r="I55" s="1"/>
    </row>
    <row r="56" spans="1:9" ht="15">
      <c r="A56" s="1"/>
      <c r="B56" s="1"/>
      <c r="C56" s="1"/>
      <c r="D56" s="1"/>
      <c r="E56" s="1"/>
      <c r="F56" s="1"/>
      <c r="G56" s="1"/>
      <c r="H56" s="1"/>
      <c r="I56" s="1"/>
    </row>
    <row r="57" spans="1:9" ht="15">
      <c r="A57" s="1"/>
      <c r="B57" s="1"/>
      <c r="C57" s="1"/>
      <c r="D57" s="1"/>
      <c r="E57" s="1"/>
      <c r="F57" s="1"/>
      <c r="G57" s="1"/>
      <c r="H57" s="1"/>
      <c r="I57" s="1"/>
    </row>
    <row r="58" spans="1:9" ht="15">
      <c r="A58" s="1"/>
      <c r="B58" s="1"/>
      <c r="C58" s="1"/>
      <c r="D58" s="1"/>
      <c r="E58" s="1"/>
      <c r="F58" s="1"/>
      <c r="G58" s="1"/>
      <c r="H58" s="1"/>
      <c r="I58" s="1"/>
    </row>
    <row r="59" spans="1:9" ht="15">
      <c r="A59" s="1"/>
      <c r="B59" s="1"/>
      <c r="C59" s="1"/>
      <c r="D59" s="1"/>
      <c r="E59" s="1"/>
      <c r="F59" s="1"/>
      <c r="G59" s="1"/>
      <c r="H59" s="1"/>
      <c r="I59" s="1"/>
    </row>
    <row r="60" spans="1:9" ht="15">
      <c r="A60" s="1"/>
      <c r="B60" s="1"/>
      <c r="C60" s="1"/>
      <c r="D60" s="1"/>
      <c r="E60" s="1"/>
      <c r="F60" s="1"/>
      <c r="G60" s="1"/>
      <c r="H60" s="1"/>
      <c r="I60" s="1"/>
    </row>
    <row r="61" spans="1:9" ht="15">
      <c r="A61" s="1"/>
      <c r="B61" s="1"/>
      <c r="C61" s="1"/>
      <c r="D61" s="1"/>
      <c r="E61" s="1"/>
      <c r="F61" s="1"/>
      <c r="G61" s="1"/>
      <c r="H61" s="1"/>
      <c r="I61" s="1"/>
    </row>
    <row r="62" spans="1:9" ht="15">
      <c r="A62" s="1"/>
      <c r="B62" s="1"/>
      <c r="C62" s="1"/>
      <c r="D62" s="1"/>
      <c r="E62" s="1"/>
      <c r="F62" s="1"/>
      <c r="G62" s="1"/>
      <c r="H62" s="1"/>
      <c r="I62" s="1"/>
    </row>
    <row r="63" spans="1:9" ht="15">
      <c r="A63" s="1"/>
      <c r="B63" s="1"/>
      <c r="C63" s="1"/>
      <c r="D63" s="1"/>
      <c r="E63" s="1"/>
      <c r="F63" s="1"/>
      <c r="G63" s="1"/>
      <c r="H63" s="1"/>
      <c r="I63" s="1"/>
    </row>
    <row r="64" spans="1:9" ht="15">
      <c r="A64" s="1"/>
      <c r="B64" s="1"/>
      <c r="C64" s="1"/>
      <c r="D64" s="1"/>
      <c r="E64" s="1"/>
      <c r="F64" s="1"/>
      <c r="G64" s="1"/>
      <c r="H64" s="1"/>
      <c r="I64" s="1"/>
    </row>
    <row r="65" spans="1:9" ht="15">
      <c r="A65" s="1"/>
      <c r="B65" s="1"/>
      <c r="C65" s="1"/>
      <c r="D65" s="1"/>
      <c r="E65" s="1"/>
      <c r="F65" s="1"/>
      <c r="G65" s="1"/>
      <c r="H65" s="1"/>
      <c r="I65" s="1"/>
    </row>
    <row r="66" spans="1:9" ht="15">
      <c r="A66" s="1"/>
      <c r="B66" s="1"/>
      <c r="C66" s="1"/>
      <c r="D66" s="1"/>
      <c r="E66" s="1"/>
      <c r="F66" s="1"/>
      <c r="G66" s="1"/>
      <c r="H66" s="1"/>
      <c r="I66" s="1"/>
    </row>
    <row r="67" spans="1:9" ht="15">
      <c r="A67" s="1"/>
      <c r="B67" s="1"/>
      <c r="C67" s="1"/>
      <c r="D67" s="1"/>
      <c r="E67" s="1"/>
      <c r="F67" s="1"/>
      <c r="G67" s="1"/>
      <c r="H67" s="1"/>
      <c r="I67" s="1"/>
    </row>
    <row r="68" spans="1:9" ht="15">
      <c r="A68" s="1"/>
      <c r="B68" s="1"/>
      <c r="C68" s="1"/>
      <c r="D68" s="1"/>
      <c r="E68" s="1"/>
      <c r="F68" s="1"/>
      <c r="G68" s="1"/>
      <c r="H68" s="1"/>
      <c r="I68" s="1"/>
    </row>
    <row r="69" spans="1:9" ht="15">
      <c r="A69" s="1"/>
      <c r="B69" s="1"/>
      <c r="C69" s="1"/>
      <c r="D69" s="1"/>
      <c r="E69" s="1"/>
      <c r="F69" s="1"/>
      <c r="G69" s="1"/>
      <c r="H69" s="1"/>
      <c r="I69" s="1"/>
    </row>
    <row r="70" spans="1:9" ht="15">
      <c r="A70" s="1"/>
      <c r="B70" s="1"/>
      <c r="C70" s="1"/>
      <c r="D70" s="1"/>
      <c r="E70" s="1"/>
      <c r="F70" s="1"/>
      <c r="G70" s="1"/>
      <c r="H70" s="1"/>
      <c r="I70" s="1"/>
    </row>
    <row r="71" spans="1:9" ht="15">
      <c r="A71" s="1"/>
      <c r="B71" s="1"/>
      <c r="C71" s="1"/>
      <c r="D71" s="1"/>
      <c r="E71" s="1"/>
      <c r="F71" s="1"/>
      <c r="G71" s="1"/>
      <c r="H71" s="1"/>
      <c r="I71" s="1"/>
    </row>
    <row r="72" spans="1:9" ht="15">
      <c r="A72" s="1"/>
      <c r="B72" s="1"/>
      <c r="C72" s="1"/>
      <c r="D72" s="1"/>
      <c r="E72" s="1"/>
      <c r="F72" s="1"/>
      <c r="G72" s="1"/>
      <c r="H72" s="1"/>
      <c r="I72" s="1"/>
    </row>
    <row r="73" spans="1:9" ht="15">
      <c r="A73" s="1"/>
      <c r="B73" s="1"/>
      <c r="C73" s="1"/>
      <c r="D73" s="1"/>
      <c r="E73" s="1"/>
      <c r="F73" s="1"/>
      <c r="G73" s="1"/>
      <c r="H73" s="1"/>
      <c r="I73" s="1"/>
    </row>
    <row r="74" spans="1:9" ht="15">
      <c r="A74" s="1"/>
      <c r="B74" s="1"/>
      <c r="C74" s="1"/>
      <c r="D74" s="1"/>
      <c r="E74" s="1"/>
      <c r="F74" s="1"/>
      <c r="G74" s="1"/>
      <c r="H74" s="1"/>
      <c r="I74" s="1"/>
    </row>
    <row r="75" spans="1:9" ht="15">
      <c r="A75" s="1"/>
      <c r="B75" s="1"/>
      <c r="C75" s="1"/>
      <c r="D75" s="1"/>
      <c r="E75" s="1"/>
      <c r="F75" s="1"/>
      <c r="G75" s="1"/>
      <c r="H75" s="1"/>
      <c r="I75" s="1"/>
    </row>
    <row r="76" spans="1:9" ht="15">
      <c r="A76" s="1"/>
      <c r="B76" s="1"/>
      <c r="C76" s="1"/>
      <c r="D76" s="1"/>
      <c r="E76" s="1"/>
      <c r="F76" s="1"/>
      <c r="G76" s="1"/>
      <c r="H76" s="1"/>
      <c r="I76" s="1"/>
    </row>
    <row r="77" spans="1:9" ht="15">
      <c r="A77" s="1"/>
      <c r="B77" s="1"/>
      <c r="C77" s="1"/>
      <c r="D77" s="1"/>
      <c r="E77" s="1"/>
      <c r="F77" s="1"/>
      <c r="G77" s="1"/>
      <c r="H77" s="1"/>
      <c r="I77" s="1"/>
    </row>
    <row r="78" spans="1:9" ht="15">
      <c r="A78" s="1"/>
      <c r="B78" s="1"/>
      <c r="C78" s="1"/>
      <c r="D78" s="1"/>
      <c r="E78" s="1"/>
      <c r="F78" s="1"/>
      <c r="G78" s="1"/>
      <c r="H78" s="1"/>
      <c r="I78" s="1"/>
    </row>
    <row r="79" spans="1:9" ht="15">
      <c r="A79" s="1"/>
      <c r="B79" s="1"/>
      <c r="C79" s="1"/>
      <c r="D79" s="1"/>
      <c r="E79" s="1"/>
      <c r="F79" s="1"/>
      <c r="G79" s="1"/>
      <c r="H79" s="1"/>
      <c r="I79" s="1"/>
    </row>
    <row r="80" spans="1:9" ht="15">
      <c r="A80" s="1"/>
      <c r="B80" s="1"/>
      <c r="C80" s="1"/>
      <c r="D80" s="1"/>
      <c r="E80" s="1"/>
      <c r="F80" s="1"/>
      <c r="G80" s="1"/>
      <c r="H80" s="1"/>
      <c r="I80" s="1"/>
    </row>
    <row r="81" spans="1:9" ht="15">
      <c r="A81" s="1"/>
      <c r="B81" s="1"/>
      <c r="C81" s="1"/>
      <c r="D81" s="1"/>
      <c r="E81" s="1"/>
      <c r="F81" s="1"/>
      <c r="G81" s="1"/>
      <c r="H81" s="1"/>
      <c r="I81" s="1"/>
    </row>
    <row r="82" spans="1:9" ht="15">
      <c r="A82" s="1"/>
      <c r="B82" s="1"/>
      <c r="C82" s="1"/>
      <c r="D82" s="1"/>
      <c r="E82" s="1"/>
      <c r="F82" s="1"/>
      <c r="G82" s="1"/>
      <c r="H82" s="1"/>
      <c r="I82" s="1"/>
    </row>
    <row r="83" spans="1:9" ht="15">
      <c r="A83" s="1"/>
      <c r="B83" s="1"/>
      <c r="C83" s="1"/>
      <c r="D83" s="1"/>
      <c r="E83" s="1"/>
      <c r="F83" s="1"/>
      <c r="G83" s="1"/>
      <c r="H83" s="1"/>
      <c r="I83" s="1"/>
    </row>
    <row r="84" spans="1:9" ht="15">
      <c r="A84" s="1"/>
      <c r="B84" s="1"/>
      <c r="C84" s="1"/>
      <c r="D84" s="1"/>
      <c r="E84" s="1"/>
      <c r="F84" s="1"/>
      <c r="G84" s="1"/>
      <c r="H84" s="1"/>
      <c r="I84" s="1"/>
    </row>
    <row r="85" spans="1:9" ht="15">
      <c r="A85" s="1"/>
      <c r="B85" s="1"/>
      <c r="C85" s="1"/>
      <c r="D85" s="1"/>
      <c r="E85" s="1"/>
      <c r="F85" s="1"/>
      <c r="G85" s="1"/>
      <c r="H85" s="1"/>
      <c r="I85" s="1"/>
    </row>
    <row r="86" spans="1:9" ht="15">
      <c r="A86" s="1"/>
      <c r="B86" s="1"/>
      <c r="C86" s="1"/>
      <c r="D86" s="1"/>
      <c r="E86" s="1"/>
      <c r="F86" s="1"/>
      <c r="G86" s="1"/>
      <c r="H86" s="1"/>
      <c r="I86" s="1"/>
    </row>
    <row r="87" spans="1:9" ht="15">
      <c r="A87" s="1"/>
      <c r="B87" s="1"/>
      <c r="C87" s="1"/>
      <c r="D87" s="1"/>
      <c r="E87" s="1"/>
      <c r="F87" s="1"/>
      <c r="G87" s="1"/>
      <c r="H87" s="1"/>
      <c r="I87" s="1"/>
    </row>
    <row r="88" spans="1:9" ht="15">
      <c r="A88" s="1"/>
      <c r="B88" s="1"/>
      <c r="C88" s="1"/>
      <c r="D88" s="1"/>
      <c r="E88" s="1"/>
      <c r="F88" s="1"/>
      <c r="G88" s="1"/>
      <c r="H88" s="1"/>
      <c r="I88" s="1"/>
    </row>
    <row r="89" spans="1:9" ht="15">
      <c r="A89" s="1"/>
      <c r="B89" s="1"/>
      <c r="C89" s="1"/>
      <c r="D89" s="1"/>
      <c r="E89" s="1"/>
      <c r="F89" s="1"/>
      <c r="G89" s="1"/>
      <c r="H89" s="1"/>
      <c r="I89" s="1"/>
    </row>
    <row r="90" spans="1:9" ht="15">
      <c r="A90" s="1"/>
      <c r="B90" s="1"/>
      <c r="C90" s="1"/>
      <c r="D90" s="1"/>
      <c r="E90" s="1"/>
      <c r="F90" s="1"/>
      <c r="G90" s="1"/>
      <c r="H90" s="1"/>
      <c r="I90" s="1"/>
    </row>
    <row r="91" spans="1:9" ht="15">
      <c r="A91" s="1"/>
      <c r="B91" s="1"/>
      <c r="C91" s="1"/>
      <c r="D91" s="1"/>
      <c r="E91" s="1"/>
      <c r="F91" s="1"/>
      <c r="G91" s="1"/>
      <c r="H91" s="1"/>
      <c r="I91" s="1"/>
    </row>
    <row r="92" spans="1:9" ht="15">
      <c r="A92" s="1"/>
      <c r="B92" s="1"/>
      <c r="C92" s="1"/>
      <c r="D92" s="1"/>
      <c r="E92" s="1"/>
      <c r="F92" s="1"/>
      <c r="G92" s="1"/>
      <c r="H92" s="1"/>
      <c r="I92" s="1"/>
    </row>
    <row r="93" spans="1:9" ht="15">
      <c r="A93" s="1"/>
      <c r="B93" s="1"/>
      <c r="C93" s="1"/>
      <c r="D93" s="1"/>
      <c r="E93" s="1"/>
      <c r="F93" s="1"/>
      <c r="G93" s="1"/>
      <c r="H93" s="1"/>
      <c r="I93" s="1"/>
    </row>
    <row r="94" spans="1:9" ht="15">
      <c r="A94" s="1"/>
      <c r="B94" s="1"/>
      <c r="C94" s="1"/>
      <c r="D94" s="1"/>
      <c r="E94" s="1"/>
      <c r="F94" s="1"/>
      <c r="G94" s="1"/>
      <c r="H94" s="1"/>
      <c r="I94" s="1"/>
    </row>
    <row r="95" spans="1:9" ht="15">
      <c r="A95" s="1"/>
      <c r="B95" s="1"/>
      <c r="C95" s="1"/>
      <c r="D95" s="1"/>
      <c r="E95" s="1"/>
      <c r="F95" s="1"/>
      <c r="G95" s="1"/>
      <c r="H95" s="1"/>
      <c r="I95" s="1"/>
    </row>
    <row r="96" spans="1:9" ht="15">
      <c r="A96" s="1"/>
      <c r="B96" s="1"/>
      <c r="C96" s="1"/>
      <c r="D96" s="1"/>
      <c r="E96" s="1"/>
      <c r="F96" s="1"/>
      <c r="G96" s="1"/>
      <c r="H96" s="1"/>
      <c r="I96" s="1"/>
    </row>
    <row r="97" spans="1:9" ht="15">
      <c r="A97" s="1"/>
      <c r="B97" s="1"/>
      <c r="C97" s="1"/>
      <c r="D97" s="1"/>
      <c r="E97" s="1"/>
      <c r="F97" s="1"/>
      <c r="G97" s="1"/>
      <c r="H97" s="1"/>
      <c r="I97" s="1"/>
    </row>
    <row r="98" spans="1:9" ht="15">
      <c r="A98" s="1"/>
      <c r="B98" s="1"/>
      <c r="C98" s="1"/>
      <c r="D98" s="1"/>
      <c r="E98" s="1"/>
      <c r="F98" s="1"/>
      <c r="G98" s="1"/>
      <c r="H98" s="1"/>
      <c r="I98" s="1"/>
    </row>
    <row r="99" spans="1:9" ht="15">
      <c r="A99" s="1"/>
      <c r="B99" s="1"/>
      <c r="C99" s="1"/>
      <c r="D99" s="1"/>
      <c r="E99" s="1"/>
      <c r="F99" s="1"/>
      <c r="G99" s="1"/>
      <c r="H99" s="1"/>
      <c r="I99" s="1"/>
    </row>
    <row r="100" spans="1:9" ht="15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15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15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15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15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15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15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15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15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15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15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15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15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15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15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15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15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15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15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15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15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15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15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15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15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15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15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15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15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15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15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15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15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15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15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15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15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15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15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15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15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15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15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15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15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15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15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15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15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15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15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15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15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15">
      <c r="A153" s="1"/>
      <c r="B153" s="1"/>
      <c r="C153" s="1"/>
      <c r="D153" s="1"/>
      <c r="E153" s="1"/>
      <c r="F153" s="1"/>
      <c r="G153" s="1"/>
      <c r="H153" s="1"/>
      <c r="I153" s="1"/>
    </row>
  </sheetData>
  <mergeCells count="2">
    <mergeCell ref="C22:D22"/>
    <mergeCell ref="F22:G22"/>
  </mergeCells>
  <phoneticPr fontId="2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J162"/>
  <sheetViews>
    <sheetView workbookViewId="0"/>
  </sheetViews>
  <sheetFormatPr defaultRowHeight="12.75"/>
  <cols>
    <col min="2" max="2" width="3.140625" customWidth="1"/>
    <col min="3" max="3" width="15.28515625" customWidth="1"/>
    <col min="4" max="9" width="13.140625" customWidth="1"/>
    <col min="10" max="10" width="4.42578125" customWidth="1"/>
  </cols>
  <sheetData>
    <row r="1" spans="1:10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</row>
    <row r="2" spans="1:10" ht="15.75" customHeight="1">
      <c r="A2" s="1"/>
      <c r="B2" s="1"/>
      <c r="C2" s="1" t="s">
        <v>3</v>
      </c>
      <c r="D2" s="1"/>
      <c r="E2" s="1"/>
      <c r="F2" s="1"/>
      <c r="G2" s="1"/>
      <c r="H2" s="1"/>
      <c r="I2" s="1"/>
      <c r="J2" s="1"/>
    </row>
    <row r="3" spans="1:10" ht="15.7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3"/>
      <c r="C6" s="4"/>
      <c r="D6" s="81"/>
      <c r="E6" s="4"/>
      <c r="F6" s="86" t="s">
        <v>239</v>
      </c>
      <c r="G6" s="4"/>
      <c r="H6" s="86" t="s">
        <v>240</v>
      </c>
      <c r="I6" s="4"/>
      <c r="J6" s="5"/>
    </row>
    <row r="7" spans="1:10" ht="15.75" customHeight="1">
      <c r="A7" s="1"/>
      <c r="B7" s="6"/>
      <c r="C7" s="87" t="s">
        <v>241</v>
      </c>
      <c r="D7" s="88" t="s">
        <v>242</v>
      </c>
      <c r="E7" s="87" t="s">
        <v>243</v>
      </c>
      <c r="F7" s="87" t="s">
        <v>244</v>
      </c>
      <c r="G7" s="87" t="s">
        <v>245</v>
      </c>
      <c r="H7" s="87" t="s">
        <v>244</v>
      </c>
      <c r="I7" s="87" t="s">
        <v>245</v>
      </c>
      <c r="J7" s="8"/>
    </row>
    <row r="8" spans="1:10" ht="15.75" customHeight="1">
      <c r="A8" s="1"/>
      <c r="B8" s="6"/>
      <c r="C8" s="7" t="s">
        <v>246</v>
      </c>
      <c r="D8" s="89"/>
      <c r="E8" s="7"/>
      <c r="F8" s="7"/>
      <c r="G8" s="7"/>
      <c r="H8" s="7"/>
      <c r="I8" s="7"/>
      <c r="J8" s="8"/>
    </row>
    <row r="9" spans="1:10" ht="15.75" customHeight="1">
      <c r="A9" s="1"/>
      <c r="B9" s="6"/>
      <c r="C9" s="90">
        <v>83</v>
      </c>
      <c r="D9" s="91">
        <v>80</v>
      </c>
      <c r="E9" s="90" t="s">
        <v>247</v>
      </c>
      <c r="F9" s="90">
        <v>230</v>
      </c>
      <c r="G9" s="92">
        <v>2.8</v>
      </c>
      <c r="H9" s="90">
        <v>160</v>
      </c>
      <c r="I9" s="92">
        <v>0.8</v>
      </c>
      <c r="J9" s="8"/>
    </row>
    <row r="10" spans="1:10" ht="15.75" customHeight="1">
      <c r="A10" s="1"/>
      <c r="B10" s="6"/>
      <c r="C10" s="90">
        <v>83</v>
      </c>
      <c r="D10" s="91">
        <v>80</v>
      </c>
      <c r="E10" s="90" t="s">
        <v>248</v>
      </c>
      <c r="F10" s="90">
        <v>170</v>
      </c>
      <c r="G10" s="92">
        <v>6</v>
      </c>
      <c r="H10" s="90">
        <v>127</v>
      </c>
      <c r="I10" s="92">
        <v>1.4</v>
      </c>
      <c r="J10" s="8"/>
    </row>
    <row r="11" spans="1:10" ht="15.75" customHeight="1">
      <c r="A11" s="1"/>
      <c r="B11" s="6"/>
      <c r="C11" s="90">
        <v>83</v>
      </c>
      <c r="D11" s="91">
        <v>80</v>
      </c>
      <c r="E11" s="90" t="s">
        <v>249</v>
      </c>
      <c r="F11" s="90">
        <v>139</v>
      </c>
      <c r="G11" s="90">
        <v>8.0500000000000007</v>
      </c>
      <c r="H11" s="90">
        <v>43</v>
      </c>
      <c r="I11" s="92">
        <v>3.9</v>
      </c>
      <c r="J11" s="8"/>
    </row>
    <row r="12" spans="1:10" ht="15.75" customHeight="1">
      <c r="A12" s="1"/>
      <c r="B12" s="6"/>
      <c r="C12" s="90">
        <v>83</v>
      </c>
      <c r="D12" s="91">
        <v>80</v>
      </c>
      <c r="E12" s="90" t="s">
        <v>250</v>
      </c>
      <c r="F12" s="90">
        <v>60</v>
      </c>
      <c r="G12" s="92">
        <v>10.199999999999999</v>
      </c>
      <c r="H12" s="90">
        <v>11</v>
      </c>
      <c r="I12" s="90">
        <v>3.65</v>
      </c>
      <c r="J12" s="8"/>
    </row>
    <row r="13" spans="1:10" ht="15.75" customHeight="1" thickBot="1">
      <c r="A13" s="1"/>
      <c r="B13" s="9"/>
      <c r="C13" s="10"/>
      <c r="D13" s="83"/>
      <c r="E13" s="10"/>
      <c r="F13" s="10"/>
      <c r="G13" s="10"/>
      <c r="H13" s="10"/>
      <c r="I13" s="10"/>
      <c r="J13" s="11"/>
    </row>
    <row r="14" spans="1:10" ht="15.75" customHeight="1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ht="15.75" customHeight="1">
      <c r="A15" s="1"/>
      <c r="B15" s="1"/>
      <c r="C15" s="2" t="s">
        <v>2</v>
      </c>
      <c r="D15" s="1"/>
      <c r="E15" s="1"/>
      <c r="F15" s="1"/>
      <c r="G15" s="1"/>
      <c r="H15" s="1"/>
      <c r="I15" s="1"/>
      <c r="J15" s="1"/>
    </row>
    <row r="16" spans="1:10" ht="15.75" customHeight="1" thickBot="1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5.75" customHeight="1">
      <c r="A17" s="1"/>
      <c r="B17" s="12"/>
      <c r="C17" s="13"/>
      <c r="D17" s="84"/>
      <c r="E17" s="13"/>
      <c r="F17" s="13"/>
      <c r="G17" s="13"/>
      <c r="H17" s="13"/>
      <c r="I17" s="13"/>
      <c r="J17" s="14"/>
    </row>
    <row r="18" spans="1:10" ht="15.75" customHeight="1">
      <c r="A18" s="1"/>
      <c r="B18" s="74" t="s">
        <v>187</v>
      </c>
      <c r="C18" s="16" t="s">
        <v>251</v>
      </c>
      <c r="D18" s="93" t="str">
        <f>IF(D9&lt;C9,"in the money.","out of the money.")</f>
        <v>in the money.</v>
      </c>
      <c r="E18" s="16"/>
      <c r="F18" s="16" t="s">
        <v>252</v>
      </c>
      <c r="G18" s="16"/>
      <c r="H18" s="94">
        <f>MAX((C9-D9),0)</f>
        <v>3</v>
      </c>
      <c r="I18" s="16"/>
      <c r="J18" s="17"/>
    </row>
    <row r="19" spans="1:10" ht="15.75" customHeight="1">
      <c r="A19" s="1"/>
      <c r="B19" s="74"/>
      <c r="C19" s="16"/>
      <c r="D19" s="34"/>
      <c r="E19" s="16"/>
      <c r="F19" s="16"/>
      <c r="G19" s="16"/>
      <c r="H19" s="95"/>
      <c r="I19" s="16"/>
      <c r="J19" s="17"/>
    </row>
    <row r="20" spans="1:10" ht="15.75" customHeight="1">
      <c r="A20" s="1"/>
      <c r="B20" s="74" t="s">
        <v>188</v>
      </c>
      <c r="C20" s="16" t="s">
        <v>253</v>
      </c>
      <c r="D20" s="96" t="str">
        <f>IF(D9&gt;C9,"in the money.","out of the money.")</f>
        <v>out of the money.</v>
      </c>
      <c r="E20" s="16"/>
      <c r="F20" s="16" t="s">
        <v>254</v>
      </c>
      <c r="G20" s="16"/>
      <c r="H20" s="97">
        <f>MAX((D9-C9),0)</f>
        <v>0</v>
      </c>
      <c r="I20" s="16"/>
      <c r="J20" s="17"/>
    </row>
    <row r="21" spans="1:10" ht="15.75" customHeight="1">
      <c r="A21" s="1"/>
      <c r="B21" s="74"/>
      <c r="C21" s="16"/>
      <c r="D21" s="93"/>
      <c r="E21" s="16"/>
      <c r="F21" s="16"/>
      <c r="G21" s="16"/>
      <c r="H21" s="16"/>
      <c r="I21" s="16"/>
      <c r="J21" s="17"/>
    </row>
    <row r="22" spans="1:10" ht="15.75" customHeight="1">
      <c r="A22" s="1"/>
      <c r="B22" s="74" t="s">
        <v>189</v>
      </c>
      <c r="C22" s="16" t="s">
        <v>255</v>
      </c>
      <c r="D22" s="34"/>
      <c r="E22" s="16"/>
      <c r="F22" s="16"/>
      <c r="G22" s="16"/>
      <c r="H22" s="16"/>
      <c r="I22" s="16"/>
      <c r="J22" s="17"/>
    </row>
    <row r="23" spans="1:10" ht="15.75" customHeight="1">
      <c r="A23" s="1"/>
      <c r="B23" s="15"/>
      <c r="C23" s="16" t="s">
        <v>256</v>
      </c>
      <c r="D23" s="34"/>
      <c r="E23" s="16"/>
      <c r="F23" s="16"/>
      <c r="G23" s="16"/>
      <c r="H23" s="16"/>
      <c r="I23" s="16"/>
      <c r="J23" s="17"/>
    </row>
    <row r="24" spans="1:10" ht="15.75" customHeight="1">
      <c r="A24" s="1"/>
      <c r="B24" s="15"/>
      <c r="C24" s="16" t="s">
        <v>257</v>
      </c>
      <c r="D24" s="93"/>
      <c r="E24" s="16"/>
      <c r="F24" s="16"/>
      <c r="G24" s="16"/>
      <c r="H24" s="16"/>
      <c r="I24" s="16"/>
      <c r="J24" s="17"/>
    </row>
    <row r="25" spans="1:10" ht="15.75" customHeight="1">
      <c r="A25" s="1"/>
      <c r="B25" s="15"/>
      <c r="C25" s="16" t="s">
        <v>258</v>
      </c>
      <c r="D25" s="34"/>
      <c r="E25" s="16"/>
      <c r="F25" s="16"/>
      <c r="G25" s="16"/>
      <c r="H25" s="16"/>
      <c r="I25" s="16"/>
      <c r="J25" s="17"/>
    </row>
    <row r="26" spans="1:10" ht="15.75" customHeight="1">
      <c r="A26" s="1"/>
      <c r="B26" s="15"/>
      <c r="C26" s="16" t="s">
        <v>259</v>
      </c>
      <c r="D26" s="34"/>
      <c r="E26" s="16"/>
      <c r="F26" s="16"/>
      <c r="G26" s="16"/>
      <c r="H26" s="16"/>
      <c r="I26" s="16"/>
      <c r="J26" s="17"/>
    </row>
    <row r="27" spans="1:10" ht="15.75" customHeight="1">
      <c r="A27" s="1"/>
      <c r="B27" s="15"/>
      <c r="C27" s="16" t="s">
        <v>260</v>
      </c>
      <c r="D27" s="34"/>
      <c r="E27" s="16"/>
      <c r="F27" s="16"/>
      <c r="G27" s="16"/>
      <c r="H27" s="16"/>
      <c r="I27" s="16"/>
      <c r="J27" s="17"/>
    </row>
    <row r="28" spans="1:10" ht="15.75" customHeight="1">
      <c r="A28" s="1"/>
      <c r="B28" s="15"/>
      <c r="C28" s="16" t="s">
        <v>261</v>
      </c>
      <c r="D28" s="34"/>
      <c r="E28" s="16"/>
      <c r="F28" s="16"/>
      <c r="G28" s="16"/>
      <c r="H28" s="16"/>
      <c r="I28" s="16"/>
      <c r="J28" s="17"/>
    </row>
    <row r="29" spans="1:10" ht="15.75" customHeight="1" thickBot="1">
      <c r="A29" s="1"/>
      <c r="B29" s="18"/>
      <c r="C29" s="19"/>
      <c r="D29" s="85"/>
      <c r="E29" s="19"/>
      <c r="F29" s="19"/>
      <c r="G29" s="19"/>
      <c r="H29" s="19"/>
      <c r="I29" s="19"/>
      <c r="J29" s="20"/>
    </row>
    <row r="30" spans="1:1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ht="1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ht="1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ht="1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ht="1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ht="1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ht="1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ht="1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ht="1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ht="1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ht="1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ht="1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ht="1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ht="15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ht="15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ht="15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ht="15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ht="15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ht="15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ht="15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ht="15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ht="15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ht="15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ht="15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ht="15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ht="15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ht="15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ht="15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ht="15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ht="15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ht="15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ht="15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ht="15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ht="15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ht="15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ht="15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ht="15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ht="15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ht="15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ht="15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ht="15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ht="15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ht="15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ht="15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ht="15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ht="15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ht="15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ht="15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ht="15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ht="15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ht="15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ht="15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ht="15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ht="15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ht="15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ht="15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ht="15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ht="15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ht="15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ht="15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ht="15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ht="15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ht="15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ht="15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ht="15">
      <c r="A162" s="1"/>
      <c r="B162" s="1"/>
      <c r="C162" s="1"/>
      <c r="D162" s="1"/>
      <c r="E162" s="1"/>
      <c r="F162" s="1"/>
      <c r="G162" s="1"/>
      <c r="H162" s="1"/>
      <c r="I162" s="1"/>
      <c r="J162" s="1"/>
    </row>
  </sheetData>
  <phoneticPr fontId="2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Sheet28"/>
  <dimension ref="A1:K65"/>
  <sheetViews>
    <sheetView workbookViewId="0"/>
  </sheetViews>
  <sheetFormatPr defaultRowHeight="12.75"/>
  <cols>
    <col min="2" max="2" width="3.140625" customWidth="1"/>
    <col min="3" max="3" width="19.5703125" customWidth="1"/>
    <col min="4" max="4" width="18.1406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50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.75" customHeight="1">
      <c r="A7" s="1"/>
      <c r="B7" s="6"/>
      <c r="C7" s="7" t="s">
        <v>10</v>
      </c>
      <c r="D7" s="27">
        <v>6</v>
      </c>
      <c r="E7" s="8"/>
      <c r="F7" s="1"/>
      <c r="G7" s="1"/>
      <c r="H7" s="1"/>
      <c r="I7" s="1"/>
      <c r="J7" s="1"/>
      <c r="K7" s="1"/>
    </row>
    <row r="8" spans="1:11" ht="15.75" customHeight="1">
      <c r="A8" s="1"/>
      <c r="B8" s="6"/>
      <c r="C8" s="7" t="s">
        <v>317</v>
      </c>
      <c r="D8" s="109">
        <v>55</v>
      </c>
      <c r="E8" s="8"/>
      <c r="F8" s="1"/>
      <c r="G8" s="1"/>
      <c r="H8" s="1"/>
      <c r="I8" s="1"/>
      <c r="J8" s="1"/>
      <c r="K8" s="1"/>
    </row>
    <row r="9" spans="1:11" ht="15.75" customHeight="1">
      <c r="A9" s="1"/>
      <c r="B9" s="6"/>
      <c r="C9" s="7" t="s">
        <v>318</v>
      </c>
      <c r="D9" s="21">
        <v>95</v>
      </c>
      <c r="E9" s="8"/>
      <c r="F9" s="1"/>
      <c r="G9" s="1"/>
      <c r="H9" s="1"/>
      <c r="I9" s="1"/>
      <c r="J9" s="1"/>
      <c r="K9" s="1"/>
    </row>
    <row r="10" spans="1:11" ht="15.75" customHeight="1">
      <c r="A10" s="1"/>
      <c r="B10" s="6"/>
      <c r="C10" s="7" t="s">
        <v>5</v>
      </c>
      <c r="D10" s="36">
        <v>70</v>
      </c>
      <c r="E10" s="8"/>
      <c r="F10" s="1"/>
      <c r="G10" s="1"/>
      <c r="H10" s="1"/>
      <c r="I10" s="1"/>
      <c r="J10" s="1"/>
      <c r="K10" s="1"/>
    </row>
    <row r="11" spans="1:11" ht="15.75" customHeight="1">
      <c r="A11" s="1"/>
      <c r="B11" s="6"/>
      <c r="C11" s="7" t="s">
        <v>7</v>
      </c>
      <c r="D11" s="23">
        <v>7.0000000000000007E-2</v>
      </c>
      <c r="E11" s="8"/>
      <c r="F11" s="1"/>
      <c r="G11" s="1"/>
      <c r="H11" s="1"/>
      <c r="I11" s="1"/>
      <c r="J11" s="1"/>
      <c r="K11" s="1"/>
    </row>
    <row r="12" spans="1:11" ht="15.75" customHeight="1">
      <c r="A12" s="1"/>
      <c r="B12" s="6"/>
      <c r="C12" s="7" t="s">
        <v>16</v>
      </c>
      <c r="D12" s="23">
        <v>0.5</v>
      </c>
      <c r="E12" s="8"/>
      <c r="F12" s="1"/>
      <c r="G12" s="1"/>
      <c r="H12" s="1"/>
      <c r="I12" s="1"/>
      <c r="J12" s="1"/>
      <c r="K12" s="1"/>
    </row>
    <row r="13" spans="1:11" ht="15.75" customHeight="1" thickBot="1">
      <c r="A13" s="1"/>
      <c r="B13" s="9"/>
      <c r="C13" s="10"/>
      <c r="D13" s="10"/>
      <c r="E13" s="11"/>
      <c r="F13" s="1"/>
      <c r="G13" s="1"/>
      <c r="H13" s="1"/>
      <c r="I13" s="1"/>
      <c r="J13" s="1"/>
      <c r="K13" s="1"/>
    </row>
    <row r="14" spans="1:11" ht="15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5.75" customHeight="1">
      <c r="A15" s="1"/>
      <c r="B15" s="1"/>
      <c r="C15" s="2" t="s">
        <v>2</v>
      </c>
      <c r="D15" s="1"/>
      <c r="E15" s="1"/>
      <c r="F15" s="1"/>
      <c r="G15" s="1"/>
      <c r="H15" s="1"/>
      <c r="I15" s="1"/>
      <c r="J15" s="1"/>
      <c r="K15" s="1"/>
    </row>
    <row r="16" spans="1:11" ht="15.75" customHeight="1" thickBo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5.75" customHeight="1">
      <c r="A17" s="1"/>
      <c r="B17" s="12"/>
      <c r="C17" s="13"/>
      <c r="D17" s="13"/>
      <c r="E17" s="14"/>
      <c r="F17" s="1"/>
      <c r="G17" s="1"/>
      <c r="H17" s="1"/>
      <c r="I17" s="1"/>
      <c r="J17" s="1"/>
      <c r="K17" s="1"/>
    </row>
    <row r="18" spans="1:11" ht="15.75" customHeight="1">
      <c r="A18" s="1"/>
      <c r="B18" s="15"/>
      <c r="C18" s="118" t="s">
        <v>320</v>
      </c>
      <c r="D18" s="16"/>
      <c r="E18" s="17"/>
      <c r="F18" s="1"/>
      <c r="G18" s="1"/>
      <c r="H18" s="1"/>
      <c r="I18" s="1"/>
      <c r="J18" s="1"/>
      <c r="K18" s="1"/>
    </row>
    <row r="19" spans="1:11" ht="15.75" customHeight="1">
      <c r="A19" s="1"/>
      <c r="B19" s="15"/>
      <c r="C19" s="16" t="s">
        <v>177</v>
      </c>
      <c r="D19" s="57">
        <f>((((LN($D$10/$D$9))+(($D$11+(POWER($D$12,2)/2))*($D$7/12))))/($D$12*SQRT(($D$7/12))))</f>
        <v>-0.5879780963275445</v>
      </c>
      <c r="E19" s="17"/>
      <c r="F19" s="1"/>
      <c r="G19" s="1"/>
      <c r="H19" s="1"/>
      <c r="I19" s="1"/>
      <c r="J19" s="1"/>
      <c r="K19" s="1"/>
    </row>
    <row r="20" spans="1:11" ht="15.75" customHeight="1">
      <c r="A20" s="1"/>
      <c r="B20" s="15"/>
      <c r="C20" s="16" t="s">
        <v>178</v>
      </c>
      <c r="D20" s="57">
        <f>$D$19-$D$12*SQRT($D$7/12)</f>
        <v>-0.94153148692081823</v>
      </c>
      <c r="E20" s="17"/>
      <c r="F20" s="1"/>
      <c r="G20" s="1"/>
      <c r="H20" s="1"/>
      <c r="I20" s="1"/>
      <c r="J20" s="1"/>
      <c r="K20" s="1"/>
    </row>
    <row r="21" spans="1:11" ht="15.75" customHeight="1">
      <c r="A21" s="1"/>
      <c r="B21" s="15"/>
      <c r="C21" s="16" t="s">
        <v>179</v>
      </c>
      <c r="D21" s="57">
        <f>NORMSDIST(D19)</f>
        <v>0.27827349751420383</v>
      </c>
      <c r="E21" s="17"/>
      <c r="F21" s="1"/>
      <c r="G21" s="1"/>
      <c r="H21" s="1"/>
      <c r="I21" s="1"/>
      <c r="J21" s="1"/>
      <c r="K21" s="1"/>
    </row>
    <row r="22" spans="1:11" ht="15.75" customHeight="1">
      <c r="A22" s="1"/>
      <c r="B22" s="15"/>
      <c r="C22" s="16" t="s">
        <v>180</v>
      </c>
      <c r="D22" s="57">
        <f>NORMSDIST(D20)</f>
        <v>0.17321628064774641</v>
      </c>
      <c r="E22" s="17"/>
      <c r="F22" s="1"/>
      <c r="G22" s="1"/>
      <c r="H22" s="1"/>
      <c r="I22" s="1"/>
      <c r="J22" s="1"/>
      <c r="K22" s="1"/>
    </row>
    <row r="23" spans="1:11" ht="15.75" customHeight="1">
      <c r="A23" s="1"/>
      <c r="B23" s="15"/>
      <c r="C23" s="16"/>
      <c r="D23" s="34"/>
      <c r="E23" s="17"/>
      <c r="F23" s="1"/>
      <c r="G23" s="1"/>
      <c r="H23" s="1"/>
      <c r="I23" s="1"/>
      <c r="J23" s="1"/>
      <c r="K23" s="1"/>
    </row>
    <row r="24" spans="1:11" ht="15.75" customHeight="1">
      <c r="A24" s="1"/>
      <c r="B24" s="15"/>
      <c r="C24" s="16" t="str">
        <f>"Call price @ $"&amp;D9</f>
        <v>Call price @ $95</v>
      </c>
      <c r="D24" s="71">
        <f>($D$10*$D$21)-(($D$9*EXP(-$D$11*($D$7/12))*$D$22))</f>
        <v>3.5895798421360787</v>
      </c>
      <c r="E24" s="17"/>
      <c r="F24" s="1"/>
      <c r="G24" s="1"/>
      <c r="H24" s="1"/>
      <c r="I24" s="1"/>
      <c r="J24" s="1"/>
      <c r="K24" s="1"/>
    </row>
    <row r="25" spans="1:11" ht="15.75" customHeight="1">
      <c r="A25" s="1"/>
      <c r="B25" s="15"/>
      <c r="C25" s="16"/>
      <c r="D25" s="16"/>
      <c r="E25" s="17"/>
      <c r="F25" s="1"/>
      <c r="G25" s="1"/>
      <c r="H25" s="1"/>
      <c r="I25" s="1"/>
      <c r="J25" s="1"/>
      <c r="K25" s="1"/>
    </row>
    <row r="26" spans="1:11" ht="15.75" customHeight="1">
      <c r="A26" s="1"/>
      <c r="B26" s="15"/>
      <c r="C26" s="118" t="s">
        <v>319</v>
      </c>
      <c r="D26" s="16"/>
      <c r="E26" s="17"/>
      <c r="F26" s="1"/>
      <c r="G26" s="1"/>
      <c r="H26" s="1"/>
      <c r="I26" s="1"/>
      <c r="J26" s="1"/>
      <c r="K26" s="1"/>
    </row>
    <row r="27" spans="1:11" ht="15.75" customHeight="1">
      <c r="A27" s="1"/>
      <c r="B27" s="15"/>
      <c r="C27" s="16" t="s">
        <v>177</v>
      </c>
      <c r="D27" s="57">
        <f>((((LN(D10/D8))+((D11+(POWER(D12,2)/2))*(D7/12))))/(D12*SQRT((D7/12))))</f>
        <v>0.95788094762322151</v>
      </c>
      <c r="E27" s="17"/>
      <c r="F27" s="1"/>
      <c r="G27" s="1"/>
      <c r="H27" s="1"/>
      <c r="I27" s="1"/>
      <c r="J27" s="1"/>
      <c r="K27" s="1"/>
    </row>
    <row r="28" spans="1:11" ht="15.75" customHeight="1">
      <c r="A28" s="1"/>
      <c r="B28" s="15"/>
      <c r="C28" s="16" t="s">
        <v>178</v>
      </c>
      <c r="D28" s="57">
        <f>D27-D12*SQRT(D7/12)</f>
        <v>0.60432755702994778</v>
      </c>
      <c r="E28" s="17"/>
      <c r="F28" s="1"/>
      <c r="G28" s="1"/>
      <c r="H28" s="1"/>
      <c r="I28" s="1"/>
      <c r="J28" s="1"/>
      <c r="K28" s="1"/>
    </row>
    <row r="29" spans="1:11" ht="15.75" customHeight="1">
      <c r="A29" s="1"/>
      <c r="B29" s="15"/>
      <c r="C29" s="16" t="s">
        <v>179</v>
      </c>
      <c r="D29" s="57">
        <f>NORMSDIST(D27)</f>
        <v>0.83093860263562191</v>
      </c>
      <c r="E29" s="17"/>
      <c r="F29" s="1"/>
      <c r="G29" s="1"/>
      <c r="H29" s="1"/>
      <c r="I29" s="1"/>
      <c r="J29" s="1"/>
      <c r="K29" s="1"/>
    </row>
    <row r="30" spans="1:11" ht="15.75" customHeight="1">
      <c r="A30" s="1"/>
      <c r="B30" s="15"/>
      <c r="C30" s="16" t="s">
        <v>180</v>
      </c>
      <c r="D30" s="57">
        <f>NORMSDIST(D28)</f>
        <v>0.72718705568566366</v>
      </c>
      <c r="E30" s="17"/>
      <c r="F30" s="1"/>
      <c r="G30" s="1"/>
      <c r="H30" s="1"/>
      <c r="I30" s="1"/>
      <c r="J30" s="1"/>
      <c r="K30" s="1"/>
    </row>
    <row r="31" spans="1:11" ht="15.75" customHeight="1">
      <c r="A31" s="1"/>
      <c r="B31" s="15"/>
      <c r="C31" s="16"/>
      <c r="D31" s="34"/>
      <c r="E31" s="17"/>
      <c r="F31" s="1"/>
      <c r="G31" s="1"/>
      <c r="H31" s="1"/>
      <c r="I31" s="1"/>
      <c r="J31" s="1"/>
      <c r="K31" s="1"/>
    </row>
    <row r="32" spans="1:11" ht="15.75" customHeight="1">
      <c r="A32" s="1"/>
      <c r="B32" s="15"/>
      <c r="C32" s="16" t="str">
        <f>"Call price @ $"&amp;D8</f>
        <v>Call price @ $55</v>
      </c>
      <c r="D32" s="71">
        <f>(D10*D29)-((D8*EXP(-D11*(D7/12))*D30))</f>
        <v>19.546035406357717</v>
      </c>
      <c r="E32" s="17"/>
      <c r="F32" s="1"/>
      <c r="G32" s="1"/>
      <c r="H32" s="1"/>
      <c r="I32" s="1"/>
      <c r="J32" s="1"/>
      <c r="K32" s="1"/>
    </row>
    <row r="33" spans="1:11" ht="15.75" customHeight="1">
      <c r="A33" s="1"/>
      <c r="B33" s="15"/>
      <c r="C33" s="16" t="str">
        <f>"Put price @ $"&amp;D8</f>
        <v>Put price @ $55</v>
      </c>
      <c r="D33" s="69">
        <f>D32-D10+(D8*EXP(-D11*(D7/12)))</f>
        <v>2.6543333005238736</v>
      </c>
      <c r="E33" s="17"/>
      <c r="F33" s="1"/>
      <c r="G33" s="1"/>
      <c r="H33" s="1"/>
      <c r="I33" s="1"/>
      <c r="J33" s="1"/>
      <c r="K33" s="1"/>
    </row>
    <row r="34" spans="1:11" ht="15.75" customHeight="1">
      <c r="A34" s="1"/>
      <c r="B34" s="15"/>
      <c r="C34" s="16"/>
      <c r="D34" s="93"/>
      <c r="E34" s="17"/>
      <c r="F34" s="1"/>
      <c r="G34" s="1"/>
      <c r="H34" s="1"/>
      <c r="I34" s="1"/>
      <c r="J34" s="1"/>
      <c r="K34" s="1"/>
    </row>
    <row r="35" spans="1:11" ht="15.75" customHeight="1">
      <c r="A35" s="1"/>
      <c r="B35" s="15"/>
      <c r="C35" s="16" t="s">
        <v>321</v>
      </c>
      <c r="D35" s="30">
        <f>D10-D24+D33</f>
        <v>69.064753458387798</v>
      </c>
      <c r="E35" s="17"/>
      <c r="F35" s="1"/>
      <c r="G35" s="1"/>
      <c r="H35" s="1"/>
      <c r="I35" s="1"/>
      <c r="J35" s="1"/>
      <c r="K35" s="1"/>
    </row>
    <row r="36" spans="1:11" ht="15.75" customHeight="1" thickBot="1">
      <c r="A36" s="1"/>
      <c r="B36" s="18"/>
      <c r="C36" s="19"/>
      <c r="D36" s="19"/>
      <c r="E36" s="20"/>
      <c r="F36" s="1"/>
      <c r="G36" s="1"/>
      <c r="H36" s="1"/>
      <c r="I36" s="1"/>
      <c r="J36" s="1"/>
      <c r="K36" s="1"/>
    </row>
    <row r="37" spans="1:11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75" customHeight="1"/>
    <row r="51" spans="1:11" ht="15.75" customHeight="1"/>
    <row r="52" spans="1:11" ht="15.75" customHeight="1"/>
    <row r="53" spans="1:11" ht="15.75" customHeight="1"/>
    <row r="54" spans="1:11" ht="15.75" customHeight="1"/>
    <row r="55" spans="1:11" ht="15.75" customHeight="1"/>
    <row r="56" spans="1:11" ht="15.75" customHeight="1"/>
    <row r="57" spans="1:11" ht="15.75" customHeight="1"/>
    <row r="58" spans="1:11" ht="15.75" customHeight="1"/>
    <row r="59" spans="1:11" ht="15.75" customHeight="1"/>
    <row r="60" spans="1:11" ht="15.75" customHeight="1"/>
    <row r="61" spans="1:11" ht="15.75" customHeight="1"/>
    <row r="62" spans="1:11" ht="15.75" customHeight="1"/>
    <row r="63" spans="1:11" ht="15.75" customHeight="1"/>
    <row r="64" spans="1:11" ht="15.75" customHeight="1"/>
    <row r="65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Sheet29"/>
  <dimension ref="A1:K65"/>
  <sheetViews>
    <sheetView zoomScaleNormal="100" workbookViewId="0"/>
  </sheetViews>
  <sheetFormatPr defaultRowHeight="12.75"/>
  <cols>
    <col min="2" max="2" width="3.140625" customWidth="1"/>
    <col min="3" max="3" width="23.28515625" customWidth="1"/>
    <col min="4" max="4" width="18.1406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52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32</v>
      </c>
      <c r="D7" s="27">
        <v>2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199</v>
      </c>
      <c r="D8" s="21">
        <v>50000</v>
      </c>
      <c r="E8" s="8"/>
      <c r="F8" s="1"/>
      <c r="G8" s="1"/>
      <c r="H8" s="1"/>
      <c r="I8" s="1"/>
      <c r="J8" s="1"/>
      <c r="K8" s="1"/>
    </row>
    <row r="9" spans="1:11" ht="15">
      <c r="A9" s="1"/>
      <c r="B9" s="6"/>
      <c r="C9" s="7" t="s">
        <v>33</v>
      </c>
      <c r="D9" s="21">
        <v>29000</v>
      </c>
      <c r="E9" s="8"/>
      <c r="F9" s="1"/>
      <c r="G9" s="1"/>
      <c r="H9" s="1"/>
      <c r="I9" s="1"/>
      <c r="J9" s="1"/>
      <c r="K9" s="1"/>
    </row>
    <row r="10" spans="1:11" ht="15">
      <c r="A10" s="1"/>
      <c r="B10" s="6"/>
      <c r="C10" s="7" t="s">
        <v>16</v>
      </c>
      <c r="D10" s="23">
        <v>0.6</v>
      </c>
      <c r="E10" s="8"/>
      <c r="F10" s="1"/>
      <c r="G10" s="1"/>
      <c r="H10" s="1"/>
      <c r="I10" s="1"/>
      <c r="J10" s="1"/>
      <c r="K10" s="1"/>
    </row>
    <row r="11" spans="1:11" ht="15">
      <c r="A11" s="1"/>
      <c r="B11" s="6"/>
      <c r="C11" s="7" t="s">
        <v>7</v>
      </c>
      <c r="D11" s="23">
        <v>0.05</v>
      </c>
      <c r="E11" s="8"/>
      <c r="F11" s="1"/>
      <c r="G11" s="1"/>
      <c r="H11" s="1"/>
      <c r="I11" s="1"/>
      <c r="J11" s="1"/>
      <c r="K11" s="1"/>
    </row>
    <row r="12" spans="1:11" ht="15">
      <c r="A12" s="1"/>
      <c r="B12" s="82" t="s">
        <v>201</v>
      </c>
      <c r="C12" s="7" t="s">
        <v>359</v>
      </c>
      <c r="D12" s="27">
        <v>5</v>
      </c>
      <c r="E12" s="8"/>
      <c r="F12" s="1"/>
      <c r="G12" s="1"/>
      <c r="H12" s="1"/>
      <c r="I12" s="1"/>
      <c r="J12" s="1"/>
      <c r="K12" s="1"/>
    </row>
    <row r="13" spans="1:11" ht="15.75" thickBot="1">
      <c r="A13" s="1"/>
      <c r="B13" s="9"/>
      <c r="C13" s="10"/>
      <c r="D13" s="10"/>
      <c r="E13" s="11"/>
      <c r="F13" s="1"/>
      <c r="G13" s="1"/>
      <c r="H13" s="1"/>
      <c r="I13" s="1"/>
      <c r="J13" s="1"/>
      <c r="K13" s="1"/>
    </row>
    <row r="14" spans="1:11" ht="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5">
      <c r="A15" s="1"/>
      <c r="B15" s="1"/>
      <c r="C15" s="2" t="s">
        <v>2</v>
      </c>
      <c r="D15" s="1"/>
      <c r="E15" s="1"/>
      <c r="F15" s="1"/>
      <c r="G15" s="1"/>
      <c r="H15" s="1"/>
      <c r="I15" s="1"/>
      <c r="J15" s="1"/>
      <c r="K15" s="1"/>
    </row>
    <row r="16" spans="1:11" ht="15.75" thickBo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5">
      <c r="A17" s="1"/>
      <c r="B17" s="12"/>
      <c r="C17" s="13"/>
      <c r="D17" s="13"/>
      <c r="E17" s="14"/>
      <c r="F17" s="1"/>
      <c r="G17" s="1"/>
      <c r="H17" s="1"/>
      <c r="I17" s="1"/>
      <c r="J17" s="1"/>
      <c r="K17" s="1"/>
    </row>
    <row r="18" spans="1:11" ht="15.75">
      <c r="A18" s="1"/>
      <c r="B18" s="74" t="s">
        <v>187</v>
      </c>
      <c r="C18" s="16" t="s">
        <v>53</v>
      </c>
      <c r="D18" s="30">
        <f>$D$8*EXP(-$D$11*$D$7)</f>
        <v>45241.870901797978</v>
      </c>
      <c r="E18" s="17"/>
      <c r="F18" s="1"/>
      <c r="G18" s="1"/>
      <c r="H18" s="1"/>
      <c r="I18" s="1"/>
      <c r="J18" s="1"/>
      <c r="K18" s="1"/>
    </row>
    <row r="19" spans="1:11" ht="15">
      <c r="A19" s="1"/>
      <c r="B19" s="74"/>
      <c r="C19" s="16"/>
      <c r="D19" s="34"/>
      <c r="E19" s="17"/>
      <c r="F19" s="1"/>
      <c r="G19" s="1"/>
      <c r="H19" s="1"/>
      <c r="I19" s="1"/>
      <c r="J19" s="1"/>
      <c r="K19" s="1"/>
    </row>
    <row r="20" spans="1:11" ht="19.5">
      <c r="A20" s="1"/>
      <c r="B20" s="74" t="s">
        <v>188</v>
      </c>
      <c r="C20" s="16" t="s">
        <v>177</v>
      </c>
      <c r="D20" s="57">
        <f>((((LN($D$9/$D$8))+(($D$11+(POWER($D$10,2)/2))*($D$7))))/($D$10*SQRT(($D$7))))</f>
        <v>-9.9851933842647858E-2</v>
      </c>
      <c r="E20" s="17"/>
      <c r="F20" s="1"/>
      <c r="G20" s="1"/>
      <c r="H20" s="1"/>
      <c r="I20" s="1"/>
      <c r="J20" s="1"/>
      <c r="K20" s="1"/>
    </row>
    <row r="21" spans="1:11" ht="19.5">
      <c r="A21" s="1"/>
      <c r="B21" s="74"/>
      <c r="C21" s="16" t="s">
        <v>178</v>
      </c>
      <c r="D21" s="57">
        <f>$D$20-$D$10*SQRT($D$7)</f>
        <v>-0.94838007126650492</v>
      </c>
      <c r="E21" s="17"/>
      <c r="F21" s="1"/>
      <c r="G21" s="1"/>
      <c r="H21" s="1"/>
      <c r="I21" s="1"/>
      <c r="J21" s="1"/>
      <c r="K21" s="1"/>
    </row>
    <row r="22" spans="1:11" ht="19.5">
      <c r="A22" s="1"/>
      <c r="B22" s="74"/>
      <c r="C22" s="16" t="s">
        <v>179</v>
      </c>
      <c r="D22" s="57">
        <f>NORMSDIST(D20)</f>
        <v>0.46023093839624563</v>
      </c>
      <c r="E22" s="17"/>
      <c r="F22" s="1"/>
      <c r="G22" s="1"/>
      <c r="H22" s="1"/>
      <c r="I22" s="1"/>
      <c r="J22" s="1"/>
      <c r="K22" s="1"/>
    </row>
    <row r="23" spans="1:11" ht="19.5">
      <c r="A23" s="1"/>
      <c r="B23" s="74"/>
      <c r="C23" s="16" t="s">
        <v>180</v>
      </c>
      <c r="D23" s="57">
        <f>NORMSDIST(D21)</f>
        <v>0.17146800053598055</v>
      </c>
      <c r="E23" s="17"/>
      <c r="F23" s="1"/>
      <c r="G23" s="1"/>
      <c r="H23" s="1"/>
      <c r="I23" s="1"/>
      <c r="J23" s="1"/>
      <c r="K23" s="1"/>
    </row>
    <row r="24" spans="1:11" ht="15">
      <c r="A24" s="1"/>
      <c r="B24" s="74"/>
      <c r="C24" s="16" t="s">
        <v>197</v>
      </c>
      <c r="D24" s="79">
        <f>(($D$9)*($D$22))-($D$8*EXP(-$D$11*$D$7)*$D$23)</f>
        <v>5589.1640694528642</v>
      </c>
      <c r="E24" s="17"/>
      <c r="F24" s="1"/>
      <c r="G24" s="1"/>
      <c r="H24" s="1"/>
      <c r="I24" s="1"/>
      <c r="J24" s="1"/>
      <c r="K24" s="1"/>
    </row>
    <row r="25" spans="1:11" ht="15.75">
      <c r="A25" s="1"/>
      <c r="B25" s="74"/>
      <c r="C25" s="16" t="s">
        <v>175</v>
      </c>
      <c r="D25" s="30">
        <f>($D$8*EXP(-$D$11*($D$7)))+$D$24-$D$9</f>
        <v>21831.03497125084</v>
      </c>
      <c r="E25" s="17"/>
      <c r="F25" s="1"/>
      <c r="G25" s="1"/>
      <c r="H25" s="1"/>
      <c r="I25" s="1"/>
      <c r="J25" s="1"/>
      <c r="K25" s="1"/>
    </row>
    <row r="26" spans="1:11" ht="15">
      <c r="A26" s="1"/>
      <c r="B26" s="74"/>
      <c r="C26" s="16"/>
      <c r="D26" s="34"/>
      <c r="E26" s="17"/>
      <c r="F26" s="1"/>
      <c r="G26" s="1"/>
      <c r="H26" s="1"/>
      <c r="I26" s="1"/>
      <c r="J26" s="1"/>
      <c r="K26" s="1"/>
    </row>
    <row r="27" spans="1:11" ht="15.75">
      <c r="A27" s="1"/>
      <c r="B27" s="74" t="s">
        <v>189</v>
      </c>
      <c r="C27" s="16" t="s">
        <v>107</v>
      </c>
      <c r="D27" s="30">
        <f>D18-D25</f>
        <v>23410.835930547139</v>
      </c>
      <c r="E27" s="17"/>
      <c r="F27" s="1"/>
      <c r="G27" s="1"/>
      <c r="H27" s="1"/>
      <c r="I27" s="1"/>
      <c r="J27" s="1"/>
      <c r="K27" s="1"/>
    </row>
    <row r="28" spans="1:11" ht="15.75">
      <c r="A28" s="1"/>
      <c r="B28" s="74"/>
      <c r="C28" s="16" t="s">
        <v>91</v>
      </c>
      <c r="D28" s="42">
        <f>(-1/$D$7)*LN($D$27/$D$8)</f>
        <v>0.37941200814756981</v>
      </c>
      <c r="E28" s="17"/>
      <c r="F28" s="1"/>
      <c r="G28" s="1"/>
      <c r="H28" s="1"/>
      <c r="I28" s="1"/>
      <c r="J28" s="1"/>
      <c r="K28" s="1"/>
    </row>
    <row r="29" spans="1:11" ht="15">
      <c r="A29" s="1"/>
      <c r="B29" s="74"/>
      <c r="C29" s="16"/>
      <c r="D29" s="34"/>
      <c r="E29" s="17"/>
      <c r="F29" s="1"/>
      <c r="G29" s="1"/>
      <c r="H29" s="1"/>
      <c r="I29" s="1"/>
      <c r="J29" s="1"/>
      <c r="K29" s="1"/>
    </row>
    <row r="30" spans="1:11" ht="15">
      <c r="A30" s="1"/>
      <c r="B30" s="74" t="s">
        <v>201</v>
      </c>
      <c r="C30" s="16" t="s">
        <v>53</v>
      </c>
      <c r="D30" s="71">
        <f>$D$8*EXP(-$D$11*$D$12)</f>
        <v>38940.039153570244</v>
      </c>
      <c r="E30" s="17"/>
      <c r="F30" s="1"/>
      <c r="G30" s="1"/>
      <c r="H30" s="1"/>
      <c r="I30" s="1"/>
      <c r="J30" s="1"/>
      <c r="K30" s="1"/>
    </row>
    <row r="31" spans="1:11" ht="19.5">
      <c r="A31" s="1"/>
      <c r="B31" s="74"/>
      <c r="C31" s="16" t="s">
        <v>177</v>
      </c>
      <c r="D31" s="57">
        <f>((((LN($D$9/$D$8))+(($D$11+(POWER($D$10,2)/2))*($D$12))))/($D$10*SQRT(($D$12))))</f>
        <v>0.45114372688190835</v>
      </c>
      <c r="E31" s="17"/>
      <c r="F31" s="1"/>
      <c r="G31" s="1"/>
      <c r="H31" s="1"/>
      <c r="I31" s="1"/>
      <c r="J31" s="1"/>
      <c r="K31" s="1"/>
    </row>
    <row r="32" spans="1:11" ht="19.5">
      <c r="A32" s="1"/>
      <c r="B32" s="74"/>
      <c r="C32" s="16" t="s">
        <v>178</v>
      </c>
      <c r="D32" s="57">
        <f>$D$31-$D$10*SQRT($D$12)</f>
        <v>-0.89049705961796555</v>
      </c>
      <c r="E32" s="17"/>
      <c r="F32" s="1"/>
      <c r="G32" s="1"/>
      <c r="H32" s="1"/>
      <c r="I32" s="1"/>
      <c r="J32" s="1"/>
      <c r="K32" s="1"/>
    </row>
    <row r="33" spans="1:11" ht="19.5">
      <c r="A33" s="1"/>
      <c r="B33" s="74"/>
      <c r="C33" s="16" t="s">
        <v>179</v>
      </c>
      <c r="D33" s="57">
        <f>NORMSDIST(D31)</f>
        <v>0.6740570179069344</v>
      </c>
      <c r="E33" s="17"/>
      <c r="F33" s="1"/>
      <c r="G33" s="1"/>
      <c r="H33" s="1"/>
      <c r="I33" s="1"/>
      <c r="J33" s="1"/>
      <c r="K33" s="1"/>
    </row>
    <row r="34" spans="1:11" ht="19.5">
      <c r="A34" s="1"/>
      <c r="B34" s="74"/>
      <c r="C34" s="16" t="s">
        <v>180</v>
      </c>
      <c r="D34" s="57">
        <f>NORMSDIST(D32)</f>
        <v>0.18659952328139329</v>
      </c>
      <c r="E34" s="17"/>
      <c r="F34" s="1"/>
      <c r="G34" s="1"/>
      <c r="H34" s="1"/>
      <c r="I34" s="1"/>
      <c r="J34" s="1"/>
      <c r="K34" s="1"/>
    </row>
    <row r="35" spans="1:11" ht="15">
      <c r="A35" s="1"/>
      <c r="B35" s="74"/>
      <c r="C35" s="16" t="s">
        <v>197</v>
      </c>
      <c r="D35" s="71">
        <f>(($D$9)*($D$33))-($D$8*EXP(-$D$11*$D$12)*$D$34)</f>
        <v>12281.460776686101</v>
      </c>
      <c r="E35" s="17"/>
      <c r="F35" s="1"/>
      <c r="G35" s="1"/>
      <c r="H35" s="1"/>
      <c r="I35" s="1"/>
      <c r="J35" s="1"/>
      <c r="K35" s="1"/>
    </row>
    <row r="36" spans="1:11" ht="15">
      <c r="A36" s="1"/>
      <c r="B36" s="74"/>
      <c r="C36" s="16" t="s">
        <v>175</v>
      </c>
      <c r="D36" s="71">
        <f>($D$8*EXP(-$D$11*($D$12)))+$D$35-$D$9</f>
        <v>22221.499930256345</v>
      </c>
      <c r="E36" s="17"/>
      <c r="F36" s="1"/>
      <c r="G36" s="1"/>
      <c r="H36" s="1"/>
      <c r="I36" s="1"/>
      <c r="J36" s="1"/>
      <c r="K36" s="1"/>
    </row>
    <row r="37" spans="1:11" ht="15.75">
      <c r="A37" s="1"/>
      <c r="B37" s="74"/>
      <c r="C37" s="16" t="s">
        <v>107</v>
      </c>
      <c r="D37" s="30">
        <f>D30-D36</f>
        <v>16718.539223313899</v>
      </c>
      <c r="E37" s="17"/>
      <c r="F37" s="1"/>
      <c r="G37" s="1"/>
      <c r="H37" s="1"/>
      <c r="I37" s="1"/>
      <c r="J37" s="1"/>
      <c r="K37" s="1"/>
    </row>
    <row r="38" spans="1:11" ht="15.75">
      <c r="A38" s="1"/>
      <c r="B38" s="74"/>
      <c r="C38" s="16" t="s">
        <v>91</v>
      </c>
      <c r="D38" s="42">
        <f>(-1/$D$12)*LN($D$37/$D$8)</f>
        <v>0.21910095372299843</v>
      </c>
      <c r="E38" s="17"/>
      <c r="F38" s="1"/>
      <c r="G38" s="1"/>
      <c r="H38" s="1"/>
      <c r="I38" s="1"/>
      <c r="J38" s="1"/>
      <c r="K38" s="1"/>
    </row>
    <row r="39" spans="1:11" ht="15">
      <c r="A39" s="1"/>
      <c r="B39" s="74"/>
      <c r="C39" s="16" t="s">
        <v>108</v>
      </c>
      <c r="D39" s="16"/>
      <c r="E39" s="17"/>
      <c r="F39" s="1"/>
      <c r="G39" s="1"/>
      <c r="H39" s="1"/>
      <c r="I39" s="1"/>
      <c r="J39" s="1"/>
      <c r="K39" s="1"/>
    </row>
    <row r="40" spans="1:11" ht="15">
      <c r="A40" s="1"/>
      <c r="B40" s="74"/>
      <c r="C40" s="16" t="s">
        <v>109</v>
      </c>
      <c r="D40" s="16"/>
      <c r="E40" s="17"/>
      <c r="F40" s="1"/>
      <c r="G40" s="1"/>
      <c r="H40" s="1"/>
      <c r="I40" s="1"/>
      <c r="J40" s="1"/>
      <c r="K40" s="1"/>
    </row>
    <row r="41" spans="1:11" ht="15">
      <c r="A41" s="1"/>
      <c r="B41" s="74"/>
      <c r="C41" s="16" t="s">
        <v>110</v>
      </c>
      <c r="D41" s="16"/>
      <c r="E41" s="17"/>
      <c r="F41" s="1"/>
      <c r="G41" s="1"/>
      <c r="H41" s="1"/>
      <c r="I41" s="1"/>
      <c r="J41" s="1"/>
      <c r="K41" s="1"/>
    </row>
    <row r="42" spans="1:11" ht="15">
      <c r="A42" s="1"/>
      <c r="B42" s="74"/>
      <c r="C42" s="16" t="s">
        <v>111</v>
      </c>
      <c r="D42" s="16"/>
      <c r="E42" s="17"/>
      <c r="F42" s="1"/>
      <c r="G42" s="1"/>
      <c r="H42" s="1"/>
      <c r="I42" s="1"/>
      <c r="J42" s="1"/>
      <c r="K42" s="1"/>
    </row>
    <row r="43" spans="1:11" ht="15">
      <c r="A43" s="1"/>
      <c r="B43" s="74"/>
      <c r="C43" s="16" t="s">
        <v>112</v>
      </c>
      <c r="D43" s="16"/>
      <c r="E43" s="17"/>
      <c r="F43" s="1"/>
      <c r="G43" s="1"/>
      <c r="H43" s="1"/>
      <c r="I43" s="1"/>
      <c r="J43" s="1"/>
      <c r="K43" s="1"/>
    </row>
    <row r="44" spans="1:11" ht="15">
      <c r="A44" s="1"/>
      <c r="B44" s="15"/>
      <c r="C44" s="16" t="s">
        <v>113</v>
      </c>
      <c r="D44" s="16"/>
      <c r="E44" s="17"/>
      <c r="F44" s="1"/>
      <c r="G44" s="1"/>
      <c r="H44" s="1"/>
      <c r="I44" s="1"/>
      <c r="J44" s="1"/>
      <c r="K44" s="1"/>
    </row>
    <row r="45" spans="1:11" ht="15">
      <c r="A45" s="1"/>
      <c r="B45" s="15"/>
      <c r="C45" s="16" t="s">
        <v>360</v>
      </c>
      <c r="D45" s="16"/>
      <c r="E45" s="17"/>
      <c r="F45" s="1"/>
      <c r="G45" s="1"/>
      <c r="H45" s="1"/>
      <c r="I45" s="1"/>
      <c r="J45" s="1"/>
      <c r="K45" s="1"/>
    </row>
    <row r="46" spans="1:11" ht="15">
      <c r="A46" s="1"/>
      <c r="B46" s="15"/>
      <c r="C46" s="16" t="s">
        <v>114</v>
      </c>
      <c r="D46" s="16"/>
      <c r="E46" s="17"/>
      <c r="F46" s="1"/>
      <c r="G46" s="1"/>
      <c r="H46" s="1"/>
      <c r="I46" s="1"/>
      <c r="J46" s="1"/>
      <c r="K46" s="1"/>
    </row>
    <row r="47" spans="1:11" ht="15">
      <c r="A47" s="1"/>
      <c r="B47" s="15"/>
      <c r="C47" s="16" t="s">
        <v>115</v>
      </c>
      <c r="D47" s="16"/>
      <c r="E47" s="17"/>
      <c r="F47" s="1"/>
      <c r="G47" s="1"/>
      <c r="H47" s="1"/>
      <c r="I47" s="1"/>
      <c r="J47" s="1"/>
      <c r="K47" s="1"/>
    </row>
    <row r="48" spans="1:11" ht="15">
      <c r="A48" s="1"/>
      <c r="B48" s="15"/>
      <c r="C48" s="16" t="s">
        <v>116</v>
      </c>
      <c r="D48" s="16"/>
      <c r="E48" s="17"/>
      <c r="F48" s="1"/>
      <c r="G48" s="1"/>
      <c r="H48" s="1"/>
      <c r="I48" s="1"/>
      <c r="J48" s="1"/>
      <c r="K48" s="1"/>
    </row>
    <row r="49" spans="1:11" ht="15">
      <c r="A49" s="1"/>
      <c r="B49" s="15"/>
      <c r="C49" s="16" t="s">
        <v>117</v>
      </c>
      <c r="D49" s="16"/>
      <c r="E49" s="17"/>
      <c r="F49" s="1"/>
      <c r="G49" s="1"/>
      <c r="H49" s="1"/>
      <c r="I49" s="1"/>
      <c r="J49" s="1"/>
      <c r="K49" s="1"/>
    </row>
    <row r="50" spans="1:11" ht="15">
      <c r="A50" s="1"/>
      <c r="B50" s="15"/>
      <c r="C50" s="16" t="s">
        <v>118</v>
      </c>
      <c r="D50" s="16"/>
      <c r="E50" s="17"/>
      <c r="F50" s="1"/>
      <c r="G50" s="1"/>
      <c r="H50" s="1"/>
      <c r="I50" s="1"/>
      <c r="J50" s="1"/>
      <c r="K50" s="1"/>
    </row>
    <row r="51" spans="1:11" ht="15">
      <c r="A51" s="1"/>
      <c r="B51" s="15"/>
      <c r="C51" s="16" t="s">
        <v>119</v>
      </c>
      <c r="D51" s="16"/>
      <c r="E51" s="17"/>
      <c r="F51" s="1"/>
      <c r="G51" s="1"/>
      <c r="H51" s="1"/>
      <c r="I51" s="1"/>
      <c r="J51" s="1"/>
      <c r="K51" s="1"/>
    </row>
    <row r="52" spans="1:11" ht="15.75" thickBot="1">
      <c r="A52" s="1"/>
      <c r="B52" s="18"/>
      <c r="C52" s="19"/>
      <c r="D52" s="19"/>
      <c r="E52" s="20"/>
      <c r="F52" s="1"/>
      <c r="G52" s="1"/>
      <c r="H52" s="1"/>
      <c r="I52" s="1"/>
      <c r="J52" s="1"/>
      <c r="K52" s="1"/>
    </row>
    <row r="53" spans="1:11" ht="15">
      <c r="A53" s="1"/>
      <c r="B53" s="1"/>
      <c r="C53" s="43"/>
      <c r="D53" s="1"/>
      <c r="E53" s="1"/>
      <c r="F53" s="1"/>
      <c r="G53" s="1"/>
      <c r="H53" s="1"/>
      <c r="I53" s="1"/>
      <c r="J53" s="1"/>
      <c r="K53" s="1"/>
    </row>
    <row r="54" spans="1:11" ht="15">
      <c r="A54" s="1"/>
      <c r="B54" s="1"/>
      <c r="C54" s="43"/>
      <c r="D54" s="1"/>
      <c r="E54" s="1"/>
      <c r="F54" s="1"/>
      <c r="G54" s="1"/>
      <c r="H54" s="1"/>
      <c r="I54" s="1"/>
      <c r="J54" s="1"/>
      <c r="K54" s="1"/>
    </row>
    <row r="55" spans="1:11" ht="15">
      <c r="A55" s="1"/>
      <c r="B55" s="1"/>
      <c r="C55" s="43"/>
      <c r="D55" s="1"/>
      <c r="E55" s="1"/>
      <c r="F55" s="1"/>
      <c r="G55" s="1"/>
      <c r="H55" s="1"/>
      <c r="I55" s="1"/>
      <c r="J55" s="1"/>
      <c r="K55" s="1"/>
    </row>
    <row r="56" spans="1:11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</sheetData>
  <phoneticPr fontId="0" type="noConversion"/>
  <pageMargins left="0.75" right="0.75" top="1" bottom="1" header="0.5" footer="0.5"/>
  <pageSetup scale="79" orientation="portrait" horizontalDpi="360" verticalDpi="36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Sheet30"/>
  <dimension ref="A1:K66"/>
  <sheetViews>
    <sheetView zoomScaleNormal="100" workbookViewId="0"/>
  </sheetViews>
  <sheetFormatPr defaultRowHeight="12.75"/>
  <cols>
    <col min="2" max="2" width="3.140625" customWidth="1"/>
    <col min="3" max="3" width="26.28515625" customWidth="1"/>
    <col min="4" max="4" width="18.1406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228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32</v>
      </c>
      <c r="D7" s="27">
        <v>5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199</v>
      </c>
      <c r="D8" s="21">
        <v>60000</v>
      </c>
      <c r="E8" s="8"/>
      <c r="F8" s="1"/>
      <c r="G8" s="1"/>
      <c r="H8" s="1"/>
      <c r="I8" s="1"/>
      <c r="J8" s="1"/>
      <c r="K8" s="1"/>
    </row>
    <row r="9" spans="1:11" ht="15">
      <c r="A9" s="1"/>
      <c r="B9" s="6"/>
      <c r="C9" s="7" t="s">
        <v>33</v>
      </c>
      <c r="D9" s="21">
        <v>57000</v>
      </c>
      <c r="E9" s="8"/>
      <c r="F9" s="1"/>
      <c r="G9" s="1"/>
      <c r="H9" s="1"/>
      <c r="I9" s="1"/>
      <c r="J9" s="1"/>
      <c r="K9" s="1"/>
    </row>
    <row r="10" spans="1:11" ht="15">
      <c r="A10" s="1"/>
      <c r="B10" s="6"/>
      <c r="C10" s="7" t="s">
        <v>16</v>
      </c>
      <c r="D10" s="23">
        <v>0.5</v>
      </c>
      <c r="E10" s="8"/>
      <c r="F10" s="1"/>
      <c r="G10" s="1"/>
      <c r="H10" s="1"/>
      <c r="I10" s="1"/>
      <c r="J10" s="1"/>
      <c r="K10" s="1"/>
    </row>
    <row r="11" spans="1:11" ht="15">
      <c r="A11" s="1"/>
      <c r="B11" s="6"/>
      <c r="C11" s="7" t="s">
        <v>7</v>
      </c>
      <c r="D11" s="23">
        <v>0.06</v>
      </c>
      <c r="E11" s="8"/>
      <c r="F11" s="1"/>
      <c r="G11" s="1"/>
      <c r="H11" s="1"/>
      <c r="I11" s="1"/>
      <c r="J11" s="1"/>
      <c r="K11" s="1"/>
    </row>
    <row r="12" spans="1:11" ht="15">
      <c r="A12" s="1"/>
      <c r="B12" s="82" t="s">
        <v>201</v>
      </c>
      <c r="C12" s="7" t="s">
        <v>43</v>
      </c>
      <c r="D12" s="23">
        <v>0.6</v>
      </c>
      <c r="E12" s="8"/>
      <c r="F12" s="1"/>
      <c r="G12" s="1"/>
      <c r="H12" s="1"/>
      <c r="I12" s="1"/>
      <c r="J12" s="1"/>
      <c r="K12" s="1"/>
    </row>
    <row r="13" spans="1:11" ht="15.75" thickBot="1">
      <c r="A13" s="1"/>
      <c r="B13" s="9"/>
      <c r="C13" s="10"/>
      <c r="D13" s="10"/>
      <c r="E13" s="11"/>
      <c r="F13" s="1"/>
      <c r="G13" s="1"/>
      <c r="H13" s="1"/>
      <c r="I13" s="1"/>
      <c r="J13" s="1"/>
      <c r="K13" s="1"/>
    </row>
    <row r="14" spans="1:11" ht="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5">
      <c r="A15" s="1"/>
      <c r="B15" s="1"/>
      <c r="C15" s="2" t="s">
        <v>2</v>
      </c>
      <c r="D15" s="1"/>
      <c r="E15" s="1"/>
      <c r="F15" s="1"/>
      <c r="G15" s="1"/>
      <c r="H15" s="1"/>
      <c r="I15" s="1"/>
      <c r="J15" s="1"/>
      <c r="K15" s="1"/>
    </row>
    <row r="16" spans="1:11" ht="15.75" thickBo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5">
      <c r="A17" s="1"/>
      <c r="B17" s="12"/>
      <c r="C17" s="13"/>
      <c r="D17" s="13"/>
      <c r="E17" s="14"/>
      <c r="F17" s="1"/>
      <c r="G17" s="1"/>
      <c r="H17" s="1"/>
      <c r="I17" s="1"/>
      <c r="J17" s="1"/>
      <c r="K17" s="1"/>
    </row>
    <row r="18" spans="1:11" ht="15.75">
      <c r="A18" s="1"/>
      <c r="B18" s="74" t="s">
        <v>187</v>
      </c>
      <c r="C18" s="16" t="s">
        <v>53</v>
      </c>
      <c r="D18" s="80">
        <f>$D$8*EXP(-$D$11*$D$7)</f>
        <v>44449.093240903072</v>
      </c>
      <c r="E18" s="17"/>
      <c r="F18" s="1"/>
      <c r="G18" s="1"/>
      <c r="H18" s="1"/>
      <c r="I18" s="1"/>
      <c r="J18" s="1"/>
      <c r="K18" s="1"/>
    </row>
    <row r="19" spans="1:11" ht="15">
      <c r="A19" s="1"/>
      <c r="B19" s="74"/>
      <c r="C19" s="16"/>
      <c r="D19" s="34"/>
      <c r="E19" s="17"/>
      <c r="F19" s="1"/>
      <c r="G19" s="1"/>
      <c r="H19" s="1"/>
      <c r="I19" s="1"/>
      <c r="J19" s="1"/>
      <c r="K19" s="1"/>
    </row>
    <row r="20" spans="1:11" ht="19.5">
      <c r="A20" s="1"/>
      <c r="B20" s="74" t="s">
        <v>188</v>
      </c>
      <c r="C20" s="16" t="s">
        <v>177</v>
      </c>
      <c r="D20" s="57">
        <f>((((LN($D$9/$D$8))+(($D$11+(POWER($D$10,2)/2))*($D$7))))/($D$10*SQRT(($D$7))))</f>
        <v>0.78146703445873356</v>
      </c>
      <c r="E20" s="17"/>
      <c r="F20" s="1"/>
      <c r="G20" s="1"/>
      <c r="H20" s="1"/>
      <c r="I20" s="1"/>
      <c r="J20" s="1"/>
      <c r="K20" s="1"/>
    </row>
    <row r="21" spans="1:11" ht="19.5">
      <c r="A21" s="1"/>
      <c r="B21" s="74"/>
      <c r="C21" s="16" t="s">
        <v>178</v>
      </c>
      <c r="D21" s="57">
        <f>$D$20-$D$10*SQRT($D$7)</f>
        <v>-0.33656695429116135</v>
      </c>
      <c r="E21" s="17"/>
      <c r="F21" s="1"/>
      <c r="G21" s="1"/>
      <c r="H21" s="1"/>
      <c r="I21" s="1"/>
      <c r="J21" s="1"/>
      <c r="K21" s="1"/>
    </row>
    <row r="22" spans="1:11" ht="19.5">
      <c r="A22" s="1"/>
      <c r="B22" s="74"/>
      <c r="C22" s="16" t="s">
        <v>179</v>
      </c>
      <c r="D22" s="57">
        <f>NORMSDIST(D20)</f>
        <v>0.78273607094765851</v>
      </c>
      <c r="E22" s="17"/>
      <c r="F22" s="1"/>
      <c r="G22" s="1"/>
      <c r="H22" s="1"/>
      <c r="I22" s="1"/>
      <c r="J22" s="1"/>
      <c r="K22" s="1"/>
    </row>
    <row r="23" spans="1:11" ht="19.5">
      <c r="A23" s="1"/>
      <c r="B23" s="74"/>
      <c r="C23" s="16" t="s">
        <v>180</v>
      </c>
      <c r="D23" s="57">
        <f>NORMSDIST(D21)</f>
        <v>0.36822168542859535</v>
      </c>
      <c r="E23" s="17"/>
      <c r="F23" s="1"/>
      <c r="G23" s="1"/>
      <c r="H23" s="1"/>
      <c r="I23" s="1"/>
      <c r="J23" s="1"/>
      <c r="K23" s="1"/>
    </row>
    <row r="24" spans="1:11" ht="15">
      <c r="A24" s="1"/>
      <c r="B24" s="74"/>
      <c r="C24" s="16" t="s">
        <v>197</v>
      </c>
      <c r="D24" s="79">
        <f>(($D$9)*($D$22))-($D$8*EXP(-$D$11*$D$7)*$D$23)</f>
        <v>28248.836015078421</v>
      </c>
      <c r="E24" s="17"/>
      <c r="F24" s="1"/>
      <c r="G24" s="1"/>
      <c r="H24" s="1"/>
      <c r="I24" s="1"/>
      <c r="J24" s="1"/>
      <c r="K24" s="1"/>
    </row>
    <row r="25" spans="1:11" ht="15.75">
      <c r="A25" s="1"/>
      <c r="B25" s="74"/>
      <c r="C25" s="16" t="s">
        <v>175</v>
      </c>
      <c r="D25" s="30">
        <f>($D$8*EXP(-$D$11*($D$7)))+$D$24-$D$9</f>
        <v>15697.929255981493</v>
      </c>
      <c r="E25" s="17"/>
      <c r="F25" s="1"/>
      <c r="G25" s="1"/>
      <c r="H25" s="1"/>
      <c r="I25" s="1"/>
      <c r="J25" s="1"/>
      <c r="K25" s="1"/>
    </row>
    <row r="26" spans="1:11" ht="15">
      <c r="A26" s="1"/>
      <c r="B26" s="74"/>
      <c r="C26" s="16"/>
      <c r="D26" s="41"/>
      <c r="E26" s="17"/>
      <c r="F26" s="1"/>
      <c r="G26" s="1"/>
      <c r="H26" s="1"/>
      <c r="I26" s="1"/>
      <c r="J26" s="1"/>
      <c r="K26" s="1"/>
    </row>
    <row r="27" spans="1:11" ht="15.75">
      <c r="A27" s="1"/>
      <c r="B27" s="74" t="s">
        <v>189</v>
      </c>
      <c r="C27" s="16" t="s">
        <v>107</v>
      </c>
      <c r="D27" s="30">
        <f>D18-D25</f>
        <v>28751.163984921579</v>
      </c>
      <c r="E27" s="17"/>
      <c r="F27" s="1"/>
      <c r="G27" s="1"/>
      <c r="H27" s="1"/>
      <c r="I27" s="1"/>
      <c r="J27" s="1"/>
      <c r="K27" s="1"/>
    </row>
    <row r="28" spans="1:11" ht="15.75">
      <c r="A28" s="1"/>
      <c r="B28" s="74"/>
      <c r="C28" s="16" t="s">
        <v>91</v>
      </c>
      <c r="D28" s="42">
        <f>(-1/$D$7)*LN($D$27/$D$8)</f>
        <v>0.14713326187324796</v>
      </c>
      <c r="E28" s="17"/>
      <c r="F28" s="1"/>
      <c r="G28" s="1"/>
      <c r="H28" s="1"/>
      <c r="I28" s="1"/>
      <c r="J28" s="1"/>
      <c r="K28" s="1"/>
    </row>
    <row r="29" spans="1:11" ht="15">
      <c r="A29" s="1"/>
      <c r="B29" s="74"/>
      <c r="C29" s="16"/>
      <c r="D29" s="34"/>
      <c r="E29" s="17"/>
      <c r="F29" s="1"/>
      <c r="G29" s="1"/>
      <c r="H29" s="1"/>
      <c r="I29" s="1"/>
      <c r="J29" s="1"/>
      <c r="K29" s="1"/>
    </row>
    <row r="30" spans="1:11" ht="15">
      <c r="A30" s="1"/>
      <c r="B30" s="74" t="s">
        <v>201</v>
      </c>
      <c r="C30" s="16" t="s">
        <v>53</v>
      </c>
      <c r="D30" s="71">
        <f>$D$8*EXP(-$D$11*$D$7)</f>
        <v>44449.093240903072</v>
      </c>
      <c r="E30" s="17"/>
      <c r="F30" s="1"/>
      <c r="G30" s="1"/>
      <c r="H30" s="1"/>
      <c r="I30" s="1"/>
      <c r="J30" s="1"/>
      <c r="K30" s="1"/>
    </row>
    <row r="31" spans="1:11" ht="19.5">
      <c r="A31" s="1"/>
      <c r="B31" s="74"/>
      <c r="C31" s="16" t="s">
        <v>177</v>
      </c>
      <c r="D31" s="57">
        <f>((((LN($D$9/$D$8))+(($D$11+(POWER($D$12,2)/2))*($D$7))))/($D$12*SQRT(($D$7))))</f>
        <v>0.85619542665309201</v>
      </c>
      <c r="E31" s="17"/>
      <c r="F31" s="1"/>
      <c r="G31" s="1"/>
      <c r="H31" s="1"/>
      <c r="I31" s="1"/>
      <c r="J31" s="1"/>
      <c r="K31" s="1"/>
    </row>
    <row r="32" spans="1:11" ht="19.5">
      <c r="A32" s="1"/>
      <c r="B32" s="74"/>
      <c r="C32" s="16" t="s">
        <v>178</v>
      </c>
      <c r="D32" s="57">
        <f>$D$31-$D$12*SQRT($D$7)</f>
        <v>-0.48544535984678183</v>
      </c>
      <c r="E32" s="17"/>
      <c r="F32" s="1"/>
      <c r="G32" s="1"/>
      <c r="H32" s="1"/>
      <c r="I32" s="1"/>
      <c r="J32" s="1"/>
      <c r="K32" s="1"/>
    </row>
    <row r="33" spans="1:11" ht="19.5">
      <c r="A33" s="1"/>
      <c r="B33" s="74"/>
      <c r="C33" s="16" t="s">
        <v>179</v>
      </c>
      <c r="D33" s="57">
        <f>NORMSDIST(D31)</f>
        <v>0.80405515408396544</v>
      </c>
      <c r="E33" s="17"/>
      <c r="F33" s="1"/>
      <c r="G33" s="1"/>
      <c r="H33" s="1"/>
      <c r="I33" s="1"/>
      <c r="J33" s="1"/>
      <c r="K33" s="1"/>
    </row>
    <row r="34" spans="1:11" ht="19.5">
      <c r="A34" s="1"/>
      <c r="B34" s="74"/>
      <c r="C34" s="16" t="s">
        <v>180</v>
      </c>
      <c r="D34" s="57">
        <f>NORMSDIST(D32)</f>
        <v>0.3136802314425774</v>
      </c>
      <c r="E34" s="17"/>
      <c r="F34" s="1"/>
      <c r="G34" s="1"/>
      <c r="H34" s="1"/>
      <c r="I34" s="1"/>
      <c r="J34" s="1"/>
      <c r="K34" s="1"/>
    </row>
    <row r="35" spans="1:11" ht="15">
      <c r="A35" s="1"/>
      <c r="B35" s="74"/>
      <c r="C35" s="16" t="s">
        <v>197</v>
      </c>
      <c r="D35" s="71">
        <f>(($D$9)*($D$33))-($D$8*EXP(-$D$11*$D$7)*$D$34)</f>
        <v>31888.341927566849</v>
      </c>
      <c r="E35" s="17"/>
      <c r="F35" s="1"/>
      <c r="G35" s="1"/>
      <c r="H35" s="1"/>
      <c r="I35" s="1"/>
      <c r="J35" s="1"/>
      <c r="K35" s="1"/>
    </row>
    <row r="36" spans="1:11" ht="15">
      <c r="A36" s="1"/>
      <c r="B36" s="74"/>
      <c r="C36" s="16" t="s">
        <v>175</v>
      </c>
      <c r="D36" s="71">
        <f>($D$8*EXP(-$D$11*($D$7)))+$D$35-$D$9</f>
        <v>19337.435168469921</v>
      </c>
      <c r="E36" s="17"/>
      <c r="F36" s="1"/>
      <c r="G36" s="1"/>
      <c r="H36" s="1"/>
      <c r="I36" s="1"/>
      <c r="J36" s="1"/>
      <c r="K36" s="1"/>
    </row>
    <row r="37" spans="1:11" ht="15">
      <c r="A37" s="1"/>
      <c r="B37" s="74"/>
      <c r="C37" s="16"/>
      <c r="D37" s="41"/>
      <c r="E37" s="17"/>
      <c r="F37" s="1"/>
      <c r="G37" s="1"/>
      <c r="H37" s="1"/>
      <c r="I37" s="1"/>
      <c r="J37" s="1"/>
      <c r="K37" s="1"/>
    </row>
    <row r="38" spans="1:11" ht="15.75">
      <c r="A38" s="1"/>
      <c r="B38" s="74"/>
      <c r="C38" s="16" t="s">
        <v>107</v>
      </c>
      <c r="D38" s="30">
        <f>D30-D36</f>
        <v>25111.658072433151</v>
      </c>
      <c r="E38" s="17"/>
      <c r="F38" s="1"/>
      <c r="G38" s="1"/>
      <c r="H38" s="1"/>
      <c r="I38" s="1"/>
      <c r="J38" s="1"/>
      <c r="K38" s="1"/>
    </row>
    <row r="39" spans="1:11" ht="15.75">
      <c r="A39" s="1"/>
      <c r="B39" s="74"/>
      <c r="C39" s="16" t="s">
        <v>91</v>
      </c>
      <c r="D39" s="42">
        <f>(-1/$D$7)*LN($D$38/$D$8)</f>
        <v>0.17420247177553658</v>
      </c>
      <c r="E39" s="17"/>
      <c r="F39" s="1"/>
      <c r="G39" s="1"/>
      <c r="H39" s="1"/>
      <c r="I39" s="1"/>
      <c r="J39" s="1"/>
      <c r="K39" s="1"/>
    </row>
    <row r="40" spans="1:11" ht="15">
      <c r="A40" s="1"/>
      <c r="B40" s="74"/>
      <c r="C40" s="16" t="s">
        <v>120</v>
      </c>
      <c r="D40" s="16"/>
      <c r="E40" s="17"/>
      <c r="F40" s="1"/>
      <c r="G40" s="1"/>
      <c r="H40" s="1"/>
      <c r="I40" s="1"/>
      <c r="J40" s="1"/>
      <c r="K40" s="1"/>
    </row>
    <row r="41" spans="1:11" ht="15">
      <c r="A41" s="1"/>
      <c r="B41" s="74"/>
      <c r="C41" s="16" t="s">
        <v>121</v>
      </c>
      <c r="D41" s="16"/>
      <c r="E41" s="17"/>
      <c r="F41" s="1"/>
      <c r="G41" s="1"/>
      <c r="H41" s="1"/>
      <c r="I41" s="1"/>
      <c r="J41" s="1"/>
      <c r="K41" s="1"/>
    </row>
    <row r="42" spans="1:11" ht="15">
      <c r="A42" s="1"/>
      <c r="B42" s="74"/>
      <c r="C42" s="16" t="s">
        <v>122</v>
      </c>
      <c r="D42" s="16"/>
      <c r="E42" s="17"/>
      <c r="F42" s="1"/>
      <c r="G42" s="1"/>
      <c r="H42" s="1"/>
      <c r="I42" s="1"/>
      <c r="J42" s="1"/>
      <c r="K42" s="1"/>
    </row>
    <row r="43" spans="1:11" ht="15">
      <c r="A43" s="1"/>
      <c r="B43" s="74"/>
      <c r="C43" s="16" t="s">
        <v>123</v>
      </c>
      <c r="D43" s="16"/>
      <c r="E43" s="17"/>
      <c r="F43" s="1"/>
      <c r="G43" s="1"/>
      <c r="H43" s="1"/>
      <c r="I43" s="1"/>
      <c r="J43" s="1"/>
      <c r="K43" s="1"/>
    </row>
    <row r="44" spans="1:11" ht="15">
      <c r="A44" s="1"/>
      <c r="B44" s="74"/>
      <c r="C44" s="16" t="s">
        <v>124</v>
      </c>
      <c r="D44" s="16"/>
      <c r="E44" s="17"/>
      <c r="F44" s="1"/>
      <c r="G44" s="1"/>
      <c r="H44" s="1"/>
      <c r="I44" s="1"/>
      <c r="J44" s="1"/>
      <c r="K44" s="1"/>
    </row>
    <row r="45" spans="1:11" ht="15">
      <c r="A45" s="1"/>
      <c r="B45" s="74"/>
      <c r="C45" s="16"/>
      <c r="D45" s="16"/>
      <c r="E45" s="17"/>
      <c r="F45" s="1"/>
      <c r="G45" s="1"/>
      <c r="H45" s="1"/>
      <c r="I45" s="1"/>
      <c r="J45" s="1"/>
      <c r="K45" s="1"/>
    </row>
    <row r="46" spans="1:11" ht="15.75">
      <c r="A46" s="1"/>
      <c r="B46" s="74" t="s">
        <v>208</v>
      </c>
      <c r="C46" s="16" t="s">
        <v>210</v>
      </c>
      <c r="D46" s="38">
        <f>D38-D27</f>
        <v>-3639.5059124884283</v>
      </c>
      <c r="E46" s="17"/>
      <c r="F46" s="1"/>
      <c r="G46" s="1"/>
      <c r="H46" s="1"/>
      <c r="I46" s="1"/>
      <c r="J46" s="1"/>
      <c r="K46" s="1"/>
    </row>
    <row r="47" spans="1:11" ht="15.75">
      <c r="A47" s="1"/>
      <c r="B47" s="74"/>
      <c r="C47" s="16" t="s">
        <v>209</v>
      </c>
      <c r="D47" s="38">
        <f>D35-D24</f>
        <v>3639.5059124884283</v>
      </c>
      <c r="E47" s="17"/>
      <c r="F47" s="1"/>
      <c r="G47" s="1"/>
      <c r="H47" s="1"/>
      <c r="I47" s="1"/>
      <c r="J47" s="1"/>
      <c r="K47" s="1"/>
    </row>
    <row r="48" spans="1:11" ht="15">
      <c r="A48" s="1"/>
      <c r="B48" s="74"/>
      <c r="C48" s="16" t="s">
        <v>125</v>
      </c>
      <c r="D48" s="16"/>
      <c r="E48" s="17"/>
      <c r="F48" s="1"/>
      <c r="G48" s="1"/>
      <c r="H48" s="1"/>
      <c r="I48" s="1"/>
      <c r="J48" s="1"/>
      <c r="K48" s="1"/>
    </row>
    <row r="49" spans="1:11" ht="15">
      <c r="A49" s="1"/>
      <c r="B49" s="74"/>
      <c r="C49" s="16" t="s">
        <v>126</v>
      </c>
      <c r="D49" s="16"/>
      <c r="E49" s="17"/>
      <c r="F49" s="1"/>
      <c r="G49" s="1"/>
      <c r="H49" s="1"/>
      <c r="I49" s="1"/>
      <c r="J49" s="1"/>
      <c r="K49" s="1"/>
    </row>
    <row r="50" spans="1:11" ht="15">
      <c r="A50" s="1"/>
      <c r="B50" s="74"/>
      <c r="C50" s="16" t="s">
        <v>127</v>
      </c>
      <c r="D50" s="16"/>
      <c r="E50" s="17"/>
      <c r="F50" s="1"/>
      <c r="G50" s="1"/>
      <c r="H50" s="1"/>
      <c r="I50" s="1"/>
      <c r="J50" s="1"/>
      <c r="K50" s="1"/>
    </row>
    <row r="51" spans="1:11" ht="15">
      <c r="A51" s="1"/>
      <c r="B51" s="15"/>
      <c r="C51" s="16" t="s">
        <v>128</v>
      </c>
      <c r="D51" s="16"/>
      <c r="E51" s="17"/>
      <c r="F51" s="1"/>
      <c r="G51" s="1"/>
      <c r="H51" s="1"/>
      <c r="I51" s="1"/>
      <c r="J51" s="1"/>
      <c r="K51" s="1"/>
    </row>
    <row r="52" spans="1:11" ht="15">
      <c r="A52" s="1"/>
      <c r="B52" s="15"/>
      <c r="C52" s="16" t="s">
        <v>129</v>
      </c>
      <c r="D52" s="16"/>
      <c r="E52" s="17"/>
      <c r="F52" s="1"/>
      <c r="G52" s="1"/>
      <c r="H52" s="1"/>
      <c r="I52" s="1"/>
      <c r="J52" s="1"/>
      <c r="K52" s="1"/>
    </row>
    <row r="53" spans="1:11" ht="15.75" thickBot="1">
      <c r="A53" s="1"/>
      <c r="B53" s="18"/>
      <c r="C53" s="19"/>
      <c r="D53" s="19"/>
      <c r="E53" s="20"/>
      <c r="F53" s="1"/>
      <c r="G53" s="1"/>
      <c r="H53" s="1"/>
      <c r="I53" s="1"/>
      <c r="J53" s="1"/>
      <c r="K53" s="1"/>
    </row>
    <row r="54" spans="1:11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  <rowBreaks count="1" manualBreakCount="1">
    <brk id="39" max="16383" man="1"/>
  </row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Sheet37"/>
  <dimension ref="A1:I168"/>
  <sheetViews>
    <sheetView workbookViewId="0"/>
  </sheetViews>
  <sheetFormatPr defaultRowHeight="12.75"/>
  <cols>
    <col min="2" max="2" width="3.140625" customWidth="1"/>
    <col min="3" max="3" width="20.28515625" customWidth="1"/>
    <col min="4" max="4" width="18.140625" customWidth="1"/>
    <col min="5" max="5" width="20.140625" bestFit="1" customWidth="1"/>
    <col min="6" max="7" width="17.140625" customWidth="1"/>
    <col min="8" max="8" width="3.140625" customWidth="1"/>
  </cols>
  <sheetData>
    <row r="1" spans="1:9" ht="18">
      <c r="A1" s="1"/>
      <c r="B1" s="1"/>
      <c r="C1" s="61" t="s">
        <v>345</v>
      </c>
      <c r="D1" s="1"/>
      <c r="E1" s="1"/>
      <c r="F1" s="1"/>
      <c r="G1" s="1"/>
      <c r="H1" s="1"/>
      <c r="I1" s="1"/>
    </row>
    <row r="2" spans="1:9" ht="15.75" customHeight="1">
      <c r="A2" s="1"/>
      <c r="B2" s="1"/>
      <c r="C2" s="1" t="s">
        <v>227</v>
      </c>
      <c r="D2" s="1"/>
      <c r="E2" s="1"/>
      <c r="F2" s="1"/>
      <c r="G2" s="1"/>
      <c r="H2" s="1"/>
      <c r="I2" s="1"/>
    </row>
    <row r="3" spans="1:9" ht="15.75" customHeight="1">
      <c r="A3" s="1"/>
      <c r="B3" s="1"/>
      <c r="C3" s="1"/>
      <c r="D3" s="1"/>
      <c r="E3" s="1"/>
      <c r="F3" s="1"/>
      <c r="G3" s="1"/>
      <c r="H3" s="1"/>
      <c r="I3" s="1"/>
    </row>
    <row r="4" spans="1:9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customHeight="1" thickBot="1">
      <c r="A5" s="1"/>
      <c r="B5" s="1"/>
      <c r="C5" s="1"/>
      <c r="D5" s="1"/>
      <c r="E5" s="1"/>
      <c r="F5" s="1"/>
      <c r="G5" s="1"/>
      <c r="H5" s="1"/>
      <c r="I5" s="1"/>
    </row>
    <row r="6" spans="1:9" ht="15.75" customHeight="1">
      <c r="A6" s="1"/>
      <c r="B6" s="3"/>
      <c r="C6" s="4"/>
      <c r="D6" s="81"/>
      <c r="E6" s="5"/>
      <c r="F6" s="1"/>
      <c r="G6" s="1"/>
      <c r="H6" s="1"/>
      <c r="I6" s="1"/>
    </row>
    <row r="7" spans="1:9" ht="15.75" customHeight="1">
      <c r="A7" s="1"/>
      <c r="B7" s="6"/>
      <c r="C7" s="7" t="s">
        <v>322</v>
      </c>
      <c r="D7" s="21">
        <v>280000000</v>
      </c>
      <c r="E7" s="8"/>
      <c r="F7" s="1"/>
      <c r="G7" s="1"/>
      <c r="H7" s="1"/>
      <c r="I7" s="1"/>
    </row>
    <row r="8" spans="1:9" ht="15.75" customHeight="1">
      <c r="A8" s="1"/>
      <c r="B8" s="6"/>
      <c r="C8" s="7" t="s">
        <v>323</v>
      </c>
      <c r="D8" s="21">
        <v>190000000</v>
      </c>
      <c r="E8" s="8"/>
      <c r="F8" s="1"/>
      <c r="G8" s="1"/>
      <c r="H8" s="1"/>
      <c r="I8" s="1"/>
    </row>
    <row r="9" spans="1:9" ht="15.75" customHeight="1">
      <c r="A9" s="1"/>
      <c r="B9" s="6"/>
      <c r="C9" s="7" t="s">
        <v>324</v>
      </c>
      <c r="D9" s="21">
        <v>230000000</v>
      </c>
      <c r="E9" s="8"/>
      <c r="F9" s="1"/>
      <c r="G9" s="1"/>
      <c r="H9" s="1"/>
      <c r="I9" s="1"/>
    </row>
    <row r="10" spans="1:9" ht="15.75" customHeight="1">
      <c r="A10" s="1"/>
      <c r="B10" s="6"/>
      <c r="C10" s="7" t="s">
        <v>200</v>
      </c>
      <c r="D10" s="109">
        <v>260000000</v>
      </c>
      <c r="E10" s="8"/>
      <c r="F10" s="1"/>
      <c r="G10" s="1"/>
      <c r="H10" s="1"/>
      <c r="I10" s="1"/>
    </row>
    <row r="11" spans="1:9" ht="15.75" customHeight="1">
      <c r="A11" s="1"/>
      <c r="B11" s="6"/>
      <c r="C11" s="7" t="s">
        <v>7</v>
      </c>
      <c r="D11" s="110">
        <v>7.0000000000000007E-2</v>
      </c>
      <c r="E11" s="8"/>
      <c r="F11" s="1"/>
      <c r="G11" s="1"/>
      <c r="H11" s="1"/>
      <c r="I11" s="1"/>
    </row>
    <row r="12" spans="1:9" ht="15.75" customHeight="1">
      <c r="A12" s="1"/>
      <c r="B12" s="6"/>
      <c r="C12" s="7"/>
      <c r="D12" s="110"/>
      <c r="E12" s="8"/>
      <c r="F12" s="1"/>
      <c r="G12" s="1"/>
      <c r="H12" s="1"/>
      <c r="I12" s="1"/>
    </row>
    <row r="13" spans="1:9" ht="15.75" customHeight="1">
      <c r="A13" s="1"/>
      <c r="B13" s="82" t="s">
        <v>188</v>
      </c>
      <c r="C13" s="7" t="s">
        <v>328</v>
      </c>
      <c r="D13" s="56">
        <v>500000</v>
      </c>
      <c r="E13" s="8"/>
      <c r="F13" s="1"/>
      <c r="G13" s="1"/>
      <c r="H13" s="1"/>
      <c r="I13" s="1"/>
    </row>
    <row r="14" spans="1:9" ht="15.75" customHeight="1">
      <c r="A14" s="1"/>
      <c r="B14" s="82"/>
      <c r="C14" s="101"/>
      <c r="D14" s="101"/>
      <c r="E14" s="8"/>
      <c r="F14" s="1"/>
      <c r="G14" s="1"/>
      <c r="H14" s="1"/>
      <c r="I14" s="1"/>
    </row>
    <row r="15" spans="1:9" ht="15.75" customHeight="1">
      <c r="A15" s="1"/>
      <c r="B15" s="82" t="s">
        <v>201</v>
      </c>
      <c r="C15" s="122" t="s">
        <v>330</v>
      </c>
      <c r="D15" s="101"/>
      <c r="E15" s="8"/>
      <c r="F15" s="1"/>
      <c r="G15" s="1"/>
      <c r="H15" s="1"/>
      <c r="I15" s="1"/>
    </row>
    <row r="16" spans="1:9" ht="15.75" customHeight="1">
      <c r="A16" s="1"/>
      <c r="B16" s="6"/>
      <c r="C16" s="7" t="s">
        <v>331</v>
      </c>
      <c r="D16" s="21">
        <v>315000000</v>
      </c>
      <c r="E16" s="8"/>
      <c r="F16" s="1"/>
      <c r="G16" s="1"/>
      <c r="H16" s="1"/>
      <c r="I16" s="1"/>
    </row>
    <row r="17" spans="1:9" ht="15.75" customHeight="1">
      <c r="A17" s="1"/>
      <c r="B17" s="6"/>
      <c r="C17" s="7" t="s">
        <v>332</v>
      </c>
      <c r="D17" s="21">
        <v>175000000</v>
      </c>
      <c r="E17" s="8"/>
      <c r="F17" s="1"/>
      <c r="G17" s="1"/>
      <c r="H17" s="1"/>
      <c r="I17" s="1"/>
    </row>
    <row r="18" spans="1:9" ht="15.75" customHeight="1" thickBot="1">
      <c r="A18" s="1"/>
      <c r="B18" s="9"/>
      <c r="C18" s="10"/>
      <c r="D18" s="83"/>
      <c r="E18" s="11"/>
      <c r="F18" s="1"/>
      <c r="G18" s="1"/>
      <c r="H18" s="1"/>
      <c r="I18" s="1"/>
    </row>
    <row r="19" spans="1:9" ht="15.75" customHeight="1">
      <c r="A19" s="1"/>
      <c r="B19" s="1"/>
      <c r="C19" s="1"/>
      <c r="D19" s="1"/>
      <c r="E19" s="1"/>
      <c r="F19" s="1"/>
      <c r="G19" s="1"/>
      <c r="H19" s="1"/>
      <c r="I19" s="1"/>
    </row>
    <row r="20" spans="1:9" ht="15.75" customHeight="1">
      <c r="A20" s="1"/>
      <c r="B20" s="1"/>
      <c r="C20" s="2" t="s">
        <v>2</v>
      </c>
      <c r="D20" s="1"/>
      <c r="E20" s="1"/>
      <c r="F20" s="1"/>
      <c r="G20" s="1"/>
      <c r="H20" s="1"/>
      <c r="I20" s="1"/>
    </row>
    <row r="21" spans="1:9" ht="15.75" customHeight="1" thickBot="1">
      <c r="A21" s="1"/>
      <c r="B21" s="1"/>
      <c r="C21" s="1"/>
      <c r="D21" s="1"/>
      <c r="E21" s="1"/>
      <c r="F21" s="1"/>
      <c r="G21" s="1"/>
      <c r="H21" s="1"/>
      <c r="I21" s="1"/>
    </row>
    <row r="22" spans="1:9" ht="15.75" customHeight="1">
      <c r="A22" s="1"/>
      <c r="B22" s="12"/>
      <c r="C22" s="13"/>
      <c r="D22" s="84"/>
      <c r="E22" s="13"/>
      <c r="F22" s="13"/>
      <c r="G22" s="13"/>
      <c r="H22" s="14"/>
      <c r="I22" s="1"/>
    </row>
    <row r="23" spans="1:9" ht="18" customHeight="1">
      <c r="A23" s="1"/>
      <c r="B23" s="74" t="s">
        <v>187</v>
      </c>
      <c r="C23" s="157" t="s">
        <v>289</v>
      </c>
      <c r="D23" s="157"/>
      <c r="E23" s="16"/>
      <c r="F23" s="157" t="s">
        <v>290</v>
      </c>
      <c r="G23" s="157"/>
      <c r="H23" s="17"/>
      <c r="I23" s="1"/>
    </row>
    <row r="24" spans="1:9" ht="15.75" customHeight="1">
      <c r="A24" s="1"/>
      <c r="B24" s="74"/>
      <c r="C24" s="111" t="s">
        <v>286</v>
      </c>
      <c r="D24" s="111" t="s">
        <v>302</v>
      </c>
      <c r="E24" s="16"/>
      <c r="F24" s="112" t="s">
        <v>286</v>
      </c>
      <c r="G24" s="111" t="s">
        <v>302</v>
      </c>
      <c r="H24" s="17"/>
      <c r="I24" s="1"/>
    </row>
    <row r="25" spans="1:9" ht="18" customHeight="1">
      <c r="A25" s="1"/>
      <c r="B25" s="74"/>
      <c r="C25" s="16"/>
      <c r="D25" s="93"/>
      <c r="E25" s="16"/>
      <c r="F25" s="16"/>
      <c r="G25" s="16"/>
      <c r="H25" s="17"/>
      <c r="I25" s="1"/>
    </row>
    <row r="26" spans="1:9" ht="15.75" customHeight="1">
      <c r="A26" s="1"/>
      <c r="B26" s="15"/>
      <c r="C26" s="60"/>
      <c r="D26" s="70">
        <f>D7</f>
        <v>280000000</v>
      </c>
      <c r="E26" s="16"/>
      <c r="F26" s="60"/>
      <c r="G26" s="70">
        <f>MAX(0,D26-D10)</f>
        <v>20000000</v>
      </c>
      <c r="H26" s="17"/>
      <c r="I26" s="1"/>
    </row>
    <row r="27" spans="1:9" ht="15.75" customHeight="1">
      <c r="A27" s="1"/>
      <c r="B27" s="15"/>
      <c r="C27" s="60"/>
      <c r="D27" s="60"/>
      <c r="E27" s="16"/>
      <c r="F27" s="60"/>
      <c r="G27" s="60"/>
      <c r="H27" s="17"/>
      <c r="I27" s="1"/>
    </row>
    <row r="28" spans="1:9" ht="15.75" customHeight="1">
      <c r="A28" s="1"/>
      <c r="B28" s="15"/>
      <c r="C28" s="113">
        <f>D10</f>
        <v>260000000</v>
      </c>
      <c r="D28" s="60"/>
      <c r="E28" s="16"/>
      <c r="F28" s="114" t="s">
        <v>288</v>
      </c>
      <c r="G28" s="60"/>
      <c r="H28" s="17"/>
      <c r="I28" s="1"/>
    </row>
    <row r="29" spans="1:9" ht="15.75" customHeight="1">
      <c r="A29" s="1"/>
      <c r="B29" s="15"/>
      <c r="C29" s="60"/>
      <c r="D29" s="60"/>
      <c r="E29" s="16"/>
      <c r="F29" s="60"/>
      <c r="G29" s="60"/>
      <c r="H29" s="17"/>
      <c r="I29" s="1"/>
    </row>
    <row r="30" spans="1:9" ht="15.75" customHeight="1">
      <c r="A30" s="1"/>
      <c r="B30" s="15"/>
      <c r="C30" s="60"/>
      <c r="D30" s="70">
        <f>D8</f>
        <v>190000000</v>
      </c>
      <c r="E30" s="16"/>
      <c r="F30" s="60"/>
      <c r="G30" s="70">
        <f>MAX(0,D30-D10)</f>
        <v>0</v>
      </c>
      <c r="H30" s="17"/>
      <c r="I30" s="1"/>
    </row>
    <row r="31" spans="1:9" ht="15.75" customHeight="1">
      <c r="A31" s="1"/>
      <c r="B31" s="15"/>
      <c r="C31" s="16"/>
      <c r="D31" s="16"/>
      <c r="E31" s="16"/>
      <c r="F31" s="16"/>
      <c r="G31" s="16"/>
      <c r="H31" s="17"/>
      <c r="I31" s="1"/>
    </row>
    <row r="32" spans="1:9" ht="15.75" customHeight="1">
      <c r="A32" s="1"/>
      <c r="B32" s="15"/>
      <c r="C32" s="16" t="s">
        <v>294</v>
      </c>
      <c r="D32" s="16"/>
      <c r="E32" s="115">
        <f>(D7-D9)/D9</f>
        <v>0.21739130434782608</v>
      </c>
      <c r="F32" s="16"/>
      <c r="G32" s="16"/>
      <c r="H32" s="17"/>
      <c r="I32" s="1"/>
    </row>
    <row r="33" spans="1:9" ht="15.75" customHeight="1">
      <c r="A33" s="1"/>
      <c r="B33" s="15"/>
      <c r="C33" s="16" t="s">
        <v>295</v>
      </c>
      <c r="D33" s="16"/>
      <c r="E33" s="115">
        <f>(D8-D9)/D9</f>
        <v>-0.17391304347826086</v>
      </c>
      <c r="F33" s="16"/>
      <c r="G33" s="16"/>
      <c r="H33" s="17"/>
      <c r="I33" s="1"/>
    </row>
    <row r="34" spans="1:9" ht="15.75" customHeight="1">
      <c r="A34" s="1"/>
      <c r="B34" s="15"/>
      <c r="C34" s="16"/>
      <c r="D34" s="16"/>
      <c r="E34" s="16"/>
      <c r="F34" s="16"/>
      <c r="G34" s="16"/>
      <c r="H34" s="17"/>
      <c r="I34" s="1"/>
    </row>
    <row r="35" spans="1:9" ht="15.75" customHeight="1">
      <c r="A35" s="1"/>
      <c r="B35" s="15"/>
      <c r="C35" s="118" t="s">
        <v>291</v>
      </c>
      <c r="D35" s="16"/>
      <c r="E35" s="16"/>
      <c r="F35" s="16"/>
      <c r="G35" s="16"/>
      <c r="H35" s="17"/>
      <c r="I35" s="1"/>
    </row>
    <row r="36" spans="1:9" ht="15.75" customHeight="1">
      <c r="A36" s="1"/>
      <c r="B36" s="15"/>
      <c r="C36" s="16" t="s">
        <v>292</v>
      </c>
      <c r="D36" s="119"/>
      <c r="E36" s="116">
        <f>(D11-E33)/(E32-E33)</f>
        <v>0.62333333333333341</v>
      </c>
      <c r="F36" s="16"/>
      <c r="G36" s="16"/>
      <c r="H36" s="17"/>
      <c r="I36" s="1"/>
    </row>
    <row r="37" spans="1:9" ht="15.75" customHeight="1">
      <c r="A37" s="1"/>
      <c r="B37" s="15"/>
      <c r="C37" s="16" t="s">
        <v>293</v>
      </c>
      <c r="D37" s="119"/>
      <c r="E37" s="116">
        <f>1-E36</f>
        <v>0.37666666666666659</v>
      </c>
      <c r="F37" s="16"/>
      <c r="G37" s="16"/>
      <c r="H37" s="17"/>
      <c r="I37" s="1"/>
    </row>
    <row r="38" spans="1:9" ht="15.75" customHeight="1">
      <c r="A38" s="1"/>
      <c r="B38" s="15"/>
      <c r="C38" s="16"/>
      <c r="D38" s="16"/>
      <c r="E38" s="16"/>
      <c r="F38" s="16"/>
      <c r="G38" s="16"/>
      <c r="H38" s="17"/>
      <c r="I38" s="1"/>
    </row>
    <row r="39" spans="1:9" ht="15.75" customHeight="1">
      <c r="A39" s="1"/>
      <c r="B39" s="15"/>
      <c r="C39" s="16" t="s">
        <v>296</v>
      </c>
      <c r="D39" s="16"/>
      <c r="E39" s="69">
        <f>(E36*G26)+(E37*G30)</f>
        <v>12466666.666666668</v>
      </c>
      <c r="F39" s="16"/>
      <c r="G39" s="16"/>
      <c r="H39" s="17"/>
      <c r="I39" s="1"/>
    </row>
    <row r="40" spans="1:9" ht="15.75" customHeight="1">
      <c r="A40" s="1"/>
      <c r="B40" s="15"/>
      <c r="C40" s="16"/>
      <c r="D40" s="16"/>
      <c r="E40" s="16"/>
      <c r="F40" s="16"/>
      <c r="G40" s="16"/>
      <c r="H40" s="17"/>
      <c r="I40" s="1"/>
    </row>
    <row r="41" spans="1:9" ht="15.75" customHeight="1">
      <c r="A41" s="1"/>
      <c r="B41" s="15"/>
      <c r="C41" s="16" t="s">
        <v>325</v>
      </c>
      <c r="D41" s="16"/>
      <c r="E41" s="38">
        <f>E39/(1+D11)</f>
        <v>11651090.342679128</v>
      </c>
      <c r="F41" s="16"/>
      <c r="G41" s="16"/>
      <c r="H41" s="17"/>
      <c r="I41" s="1"/>
    </row>
    <row r="42" spans="1:9" ht="15.75" customHeight="1">
      <c r="A42" s="1"/>
      <c r="B42" s="15"/>
      <c r="C42" s="16" t="s">
        <v>326</v>
      </c>
      <c r="D42" s="16"/>
      <c r="E42" s="38">
        <f>D9-E41</f>
        <v>218348909.65732086</v>
      </c>
      <c r="F42" s="16"/>
      <c r="G42" s="16"/>
      <c r="H42" s="17"/>
      <c r="I42" s="1"/>
    </row>
    <row r="43" spans="1:9" ht="15.75" customHeight="1">
      <c r="A43" s="1"/>
      <c r="B43" s="15"/>
      <c r="C43" s="16"/>
      <c r="D43" s="16"/>
      <c r="E43" s="16"/>
      <c r="F43" s="16"/>
      <c r="G43" s="16"/>
      <c r="H43" s="17"/>
      <c r="I43" s="1"/>
    </row>
    <row r="44" spans="1:9" ht="15.75" customHeight="1">
      <c r="A44" s="1"/>
      <c r="B44" s="74" t="s">
        <v>188</v>
      </c>
      <c r="C44" s="16" t="s">
        <v>327</v>
      </c>
      <c r="D44" s="119"/>
      <c r="E44" s="38">
        <f>E41/D13</f>
        <v>23.302180685358255</v>
      </c>
      <c r="F44" s="16"/>
      <c r="G44" s="16"/>
      <c r="H44" s="17"/>
      <c r="I44" s="1"/>
    </row>
    <row r="45" spans="1:9" ht="15.75" customHeight="1">
      <c r="A45" s="1"/>
      <c r="B45" s="15"/>
      <c r="C45" s="16"/>
      <c r="D45" s="16"/>
      <c r="E45" s="16"/>
      <c r="F45" s="16"/>
      <c r="G45" s="16"/>
      <c r="H45" s="17"/>
      <c r="I45" s="1"/>
    </row>
    <row r="46" spans="1:9" ht="15.75" customHeight="1">
      <c r="A46" s="1"/>
      <c r="B46" s="74" t="s">
        <v>189</v>
      </c>
      <c r="C46" s="16" t="s">
        <v>329</v>
      </c>
      <c r="D46" s="16"/>
      <c r="E46" s="38">
        <f>D10/(1+D11)</f>
        <v>242990654.20560747</v>
      </c>
      <c r="F46" s="16"/>
      <c r="G46" s="16"/>
      <c r="H46" s="17"/>
      <c r="I46" s="1"/>
    </row>
    <row r="47" spans="1:9" ht="15.75" customHeight="1">
      <c r="A47" s="1"/>
      <c r="B47" s="74"/>
      <c r="C47" s="16"/>
      <c r="D47" s="16"/>
      <c r="E47" s="121"/>
      <c r="F47" s="16"/>
      <c r="G47" s="16"/>
      <c r="H47" s="17"/>
      <c r="I47" s="1"/>
    </row>
    <row r="48" spans="1:9" ht="15.75" customHeight="1">
      <c r="A48" s="1"/>
      <c r="B48" s="74" t="s">
        <v>201</v>
      </c>
      <c r="C48" s="157" t="s">
        <v>289</v>
      </c>
      <c r="D48" s="157"/>
      <c r="E48" s="16"/>
      <c r="F48" s="157" t="s">
        <v>290</v>
      </c>
      <c r="G48" s="157"/>
      <c r="H48" s="17"/>
      <c r="I48" s="1"/>
    </row>
    <row r="49" spans="1:9" ht="15.75" customHeight="1">
      <c r="A49" s="1"/>
      <c r="B49" s="74"/>
      <c r="C49" s="111" t="s">
        <v>286</v>
      </c>
      <c r="D49" s="111" t="s">
        <v>302</v>
      </c>
      <c r="E49" s="16"/>
      <c r="F49" s="112" t="s">
        <v>286</v>
      </c>
      <c r="G49" s="111" t="s">
        <v>302</v>
      </c>
      <c r="H49" s="17"/>
      <c r="I49" s="1"/>
    </row>
    <row r="50" spans="1:9" ht="15.75" customHeight="1">
      <c r="A50" s="1"/>
      <c r="B50" s="74"/>
      <c r="C50" s="16"/>
      <c r="D50" s="93"/>
      <c r="E50" s="16"/>
      <c r="F50" s="16"/>
      <c r="G50" s="16"/>
      <c r="H50" s="17"/>
      <c r="I50" s="1"/>
    </row>
    <row r="51" spans="1:9" ht="15.75" customHeight="1">
      <c r="A51" s="1"/>
      <c r="B51" s="15"/>
      <c r="C51" s="60"/>
      <c r="D51" s="70">
        <f>D16</f>
        <v>315000000</v>
      </c>
      <c r="E51" s="16"/>
      <c r="F51" s="60"/>
      <c r="G51" s="70">
        <f>MAX(0,D51-D10)</f>
        <v>55000000</v>
      </c>
      <c r="H51" s="17"/>
      <c r="I51" s="1"/>
    </row>
    <row r="52" spans="1:9" ht="15.75" customHeight="1">
      <c r="A52" s="1"/>
      <c r="B52" s="15"/>
      <c r="C52" s="60"/>
      <c r="D52" s="60"/>
      <c r="E52" s="16"/>
      <c r="F52" s="60"/>
      <c r="G52" s="60"/>
      <c r="H52" s="17"/>
      <c r="I52" s="1"/>
    </row>
    <row r="53" spans="1:9" ht="15.75" customHeight="1">
      <c r="A53" s="1"/>
      <c r="B53" s="15"/>
      <c r="C53" s="113">
        <f>D9</f>
        <v>230000000</v>
      </c>
      <c r="D53" s="60"/>
      <c r="E53" s="16"/>
      <c r="F53" s="114" t="s">
        <v>288</v>
      </c>
      <c r="G53" s="60"/>
      <c r="H53" s="17"/>
      <c r="I53" s="1"/>
    </row>
    <row r="54" spans="1:9" ht="15.75" customHeight="1">
      <c r="A54" s="1"/>
      <c r="B54" s="15"/>
      <c r="C54" s="60"/>
      <c r="D54" s="60"/>
      <c r="E54" s="16"/>
      <c r="F54" s="60"/>
      <c r="G54" s="60"/>
      <c r="H54" s="17"/>
      <c r="I54" s="1"/>
    </row>
    <row r="55" spans="1:9" ht="15.75" customHeight="1">
      <c r="A55" s="1"/>
      <c r="B55" s="15"/>
      <c r="C55" s="60"/>
      <c r="D55" s="70">
        <f>D17</f>
        <v>175000000</v>
      </c>
      <c r="E55" s="16"/>
      <c r="F55" s="60"/>
      <c r="G55" s="70">
        <f>MAX(0,D55-D10)</f>
        <v>0</v>
      </c>
      <c r="H55" s="17"/>
      <c r="I55" s="1"/>
    </row>
    <row r="56" spans="1:9" ht="15.75" customHeight="1">
      <c r="A56" s="1"/>
      <c r="B56" s="15"/>
      <c r="C56" s="16"/>
      <c r="D56" s="16"/>
      <c r="E56" s="16"/>
      <c r="F56" s="16"/>
      <c r="G56" s="16"/>
      <c r="H56" s="17"/>
      <c r="I56" s="1"/>
    </row>
    <row r="57" spans="1:9" ht="15.75" customHeight="1">
      <c r="A57" s="1"/>
      <c r="B57" s="15"/>
      <c r="C57" s="16" t="s">
        <v>294</v>
      </c>
      <c r="D57" s="16"/>
      <c r="E57" s="115">
        <f>(D16-D9)/D9</f>
        <v>0.36956521739130432</v>
      </c>
      <c r="F57" s="16"/>
      <c r="G57" s="16"/>
      <c r="H57" s="17"/>
      <c r="I57" s="1"/>
    </row>
    <row r="58" spans="1:9" ht="15.75" customHeight="1">
      <c r="A58" s="1"/>
      <c r="B58" s="15"/>
      <c r="C58" s="16" t="s">
        <v>295</v>
      </c>
      <c r="D58" s="16"/>
      <c r="E58" s="115">
        <f>(D17-D9)/D9</f>
        <v>-0.2391304347826087</v>
      </c>
      <c r="F58" s="16"/>
      <c r="G58" s="16"/>
      <c r="H58" s="17"/>
      <c r="I58" s="1"/>
    </row>
    <row r="59" spans="1:9" ht="15.75" customHeight="1">
      <c r="A59" s="1"/>
      <c r="B59" s="15"/>
      <c r="C59" s="16"/>
      <c r="D59" s="16"/>
      <c r="E59" s="16"/>
      <c r="F59" s="16"/>
      <c r="G59" s="16"/>
      <c r="H59" s="17"/>
      <c r="I59" s="1"/>
    </row>
    <row r="60" spans="1:9" ht="15.75" customHeight="1">
      <c r="A60" s="1"/>
      <c r="B60" s="15"/>
      <c r="C60" s="118" t="s">
        <v>291</v>
      </c>
      <c r="D60" s="16"/>
      <c r="E60" s="16"/>
      <c r="F60" s="16"/>
      <c r="G60" s="16"/>
      <c r="H60" s="17"/>
      <c r="I60" s="1"/>
    </row>
    <row r="61" spans="1:9" ht="15.75" customHeight="1">
      <c r="A61" s="1"/>
      <c r="B61" s="15"/>
      <c r="C61" s="16" t="s">
        <v>292</v>
      </c>
      <c r="D61" s="119"/>
      <c r="E61" s="116">
        <f>(D11-E58)/(E57-E58)</f>
        <v>0.5078571428571429</v>
      </c>
      <c r="F61" s="16"/>
      <c r="G61" s="16"/>
      <c r="H61" s="17"/>
      <c r="I61" s="1"/>
    </row>
    <row r="62" spans="1:9" ht="15.75" customHeight="1">
      <c r="A62" s="1"/>
      <c r="B62" s="15"/>
      <c r="C62" s="16" t="s">
        <v>293</v>
      </c>
      <c r="D62" s="119"/>
      <c r="E62" s="116">
        <f>1-E61</f>
        <v>0.4921428571428571</v>
      </c>
      <c r="F62" s="16"/>
      <c r="G62" s="16"/>
      <c r="H62" s="17"/>
      <c r="I62" s="1"/>
    </row>
    <row r="63" spans="1:9" ht="15.75" customHeight="1">
      <c r="A63" s="1"/>
      <c r="B63" s="15"/>
      <c r="C63" s="16"/>
      <c r="D63" s="16"/>
      <c r="E63" s="16"/>
      <c r="F63" s="16"/>
      <c r="G63" s="16"/>
      <c r="H63" s="17"/>
      <c r="I63" s="1"/>
    </row>
    <row r="64" spans="1:9" ht="15.75" customHeight="1">
      <c r="A64" s="1"/>
      <c r="B64" s="15"/>
      <c r="C64" s="16" t="s">
        <v>296</v>
      </c>
      <c r="D64" s="16"/>
      <c r="E64" s="69">
        <f>(E61*G51)+(E62*G55)</f>
        <v>27932142.857142858</v>
      </c>
      <c r="F64" s="16"/>
      <c r="G64" s="16"/>
      <c r="H64" s="17"/>
      <c r="I64" s="1"/>
    </row>
    <row r="65" spans="1:9" ht="15.75" customHeight="1">
      <c r="A65" s="1"/>
      <c r="B65" s="15"/>
      <c r="C65" s="16"/>
      <c r="D65" s="16"/>
      <c r="E65" s="16"/>
      <c r="F65" s="16"/>
      <c r="G65" s="16"/>
      <c r="H65" s="17"/>
      <c r="I65" s="1"/>
    </row>
    <row r="66" spans="1:9" ht="15.75" customHeight="1">
      <c r="A66" s="1"/>
      <c r="B66" s="15"/>
      <c r="C66" s="16" t="s">
        <v>325</v>
      </c>
      <c r="D66" s="16"/>
      <c r="E66" s="38">
        <f>E64/(1+D11)</f>
        <v>26104806.408544727</v>
      </c>
      <c r="F66" s="16"/>
      <c r="G66" s="16"/>
      <c r="H66" s="17"/>
      <c r="I66" s="1"/>
    </row>
    <row r="67" spans="1:9" ht="15.75" customHeight="1">
      <c r="A67" s="1"/>
      <c r="B67" s="15"/>
      <c r="C67" s="16" t="s">
        <v>326</v>
      </c>
      <c r="D67" s="16"/>
      <c r="E67" s="38">
        <f>D9-E66</f>
        <v>203895193.59145528</v>
      </c>
      <c r="F67" s="16"/>
      <c r="G67" s="16"/>
      <c r="H67" s="17"/>
      <c r="I67" s="1"/>
    </row>
    <row r="68" spans="1:9" ht="15.75" thickBot="1">
      <c r="A68" s="1"/>
      <c r="B68" s="18"/>
      <c r="C68" s="19"/>
      <c r="D68" s="19"/>
      <c r="E68" s="19"/>
      <c r="F68" s="19"/>
      <c r="G68" s="19"/>
      <c r="H68" s="20"/>
      <c r="I68" s="1"/>
    </row>
    <row r="69" spans="1:9" ht="15">
      <c r="A69" s="1"/>
      <c r="B69" s="1"/>
      <c r="C69" s="1"/>
      <c r="D69" s="1"/>
      <c r="E69" s="1"/>
      <c r="F69" s="1"/>
      <c r="G69" s="1"/>
      <c r="H69" s="1"/>
      <c r="I69" s="1"/>
    </row>
    <row r="70" spans="1:9" ht="15">
      <c r="A70" s="1"/>
      <c r="B70" s="1"/>
      <c r="C70" s="1"/>
      <c r="D70" s="1"/>
      <c r="E70" s="1"/>
      <c r="F70" s="1"/>
      <c r="G70" s="1"/>
      <c r="H70" s="1"/>
      <c r="I70" s="1"/>
    </row>
    <row r="71" spans="1:9" ht="15">
      <c r="A71" s="1"/>
      <c r="B71" s="1"/>
      <c r="C71" s="1"/>
      <c r="D71" s="1"/>
      <c r="E71" s="1"/>
      <c r="F71" s="1"/>
      <c r="G71" s="1"/>
      <c r="H71" s="1"/>
      <c r="I71" s="1"/>
    </row>
    <row r="72" spans="1:9" ht="15">
      <c r="A72" s="1"/>
      <c r="B72" s="1"/>
      <c r="C72" s="1"/>
      <c r="D72" s="1"/>
      <c r="E72" s="1"/>
      <c r="F72" s="1"/>
      <c r="G72" s="1"/>
      <c r="H72" s="1"/>
      <c r="I72" s="1"/>
    </row>
    <row r="73" spans="1:9" ht="15">
      <c r="A73" s="1"/>
      <c r="B73" s="1"/>
      <c r="C73" s="1"/>
      <c r="D73" s="1"/>
      <c r="E73" s="1"/>
      <c r="F73" s="1"/>
      <c r="G73" s="1"/>
      <c r="H73" s="1"/>
      <c r="I73" s="1"/>
    </row>
    <row r="74" spans="1:9" ht="15">
      <c r="A74" s="1"/>
      <c r="B74" s="1"/>
      <c r="C74" s="1"/>
      <c r="D74" s="1"/>
      <c r="E74" s="1"/>
      <c r="F74" s="1"/>
      <c r="G74" s="1"/>
      <c r="H74" s="1"/>
      <c r="I74" s="1"/>
    </row>
    <row r="75" spans="1:9" ht="15">
      <c r="A75" s="1"/>
      <c r="B75" s="1"/>
      <c r="C75" s="1"/>
      <c r="D75" s="1"/>
      <c r="E75" s="1"/>
      <c r="F75" s="1"/>
      <c r="G75" s="1"/>
      <c r="H75" s="1"/>
      <c r="I75" s="1"/>
    </row>
    <row r="76" spans="1:9" ht="15">
      <c r="A76" s="1"/>
      <c r="B76" s="1"/>
      <c r="C76" s="1"/>
      <c r="D76" s="1"/>
      <c r="E76" s="1"/>
      <c r="F76" s="1"/>
      <c r="G76" s="1"/>
      <c r="H76" s="1"/>
      <c r="I76" s="1"/>
    </row>
    <row r="77" spans="1:9" ht="15">
      <c r="A77" s="1"/>
      <c r="B77" s="1"/>
      <c r="C77" s="1"/>
      <c r="D77" s="1"/>
      <c r="E77" s="1"/>
      <c r="F77" s="1"/>
      <c r="G77" s="1"/>
      <c r="H77" s="1"/>
      <c r="I77" s="1"/>
    </row>
    <row r="78" spans="1:9" ht="15">
      <c r="A78" s="1"/>
      <c r="B78" s="1"/>
      <c r="C78" s="1"/>
      <c r="D78" s="1"/>
      <c r="E78" s="1"/>
      <c r="F78" s="1"/>
      <c r="G78" s="1"/>
      <c r="H78" s="1"/>
      <c r="I78" s="1"/>
    </row>
    <row r="79" spans="1:9" ht="15">
      <c r="A79" s="1"/>
      <c r="B79" s="1"/>
      <c r="C79" s="1"/>
      <c r="D79" s="1"/>
      <c r="E79" s="1"/>
      <c r="F79" s="1"/>
      <c r="G79" s="1"/>
      <c r="H79" s="1"/>
      <c r="I79" s="1"/>
    </row>
    <row r="80" spans="1:9" ht="15">
      <c r="A80" s="1"/>
      <c r="B80" s="1"/>
      <c r="C80" s="1"/>
      <c r="D80" s="1"/>
      <c r="E80" s="1"/>
      <c r="F80" s="1"/>
      <c r="G80" s="1"/>
      <c r="H80" s="1"/>
      <c r="I80" s="1"/>
    </row>
    <row r="81" spans="1:9" ht="15">
      <c r="A81" s="1"/>
      <c r="B81" s="1"/>
      <c r="C81" s="1"/>
      <c r="D81" s="1"/>
      <c r="E81" s="1"/>
      <c r="F81" s="1"/>
      <c r="G81" s="1"/>
      <c r="H81" s="1"/>
      <c r="I81" s="1"/>
    </row>
    <row r="82" spans="1:9" ht="15">
      <c r="A82" s="1"/>
      <c r="B82" s="1"/>
      <c r="C82" s="1"/>
      <c r="D82" s="1"/>
      <c r="E82" s="1"/>
      <c r="F82" s="1"/>
      <c r="G82" s="1"/>
      <c r="H82" s="1"/>
      <c r="I82" s="1"/>
    </row>
    <row r="83" spans="1:9" ht="15">
      <c r="A83" s="1"/>
      <c r="B83" s="1"/>
      <c r="C83" s="1"/>
      <c r="D83" s="1"/>
      <c r="E83" s="1"/>
      <c r="F83" s="1"/>
      <c r="G83" s="1"/>
      <c r="H83" s="1"/>
      <c r="I83" s="1"/>
    </row>
    <row r="84" spans="1:9" ht="15">
      <c r="A84" s="1"/>
      <c r="B84" s="1"/>
      <c r="C84" s="1"/>
      <c r="D84" s="1"/>
      <c r="E84" s="1"/>
      <c r="F84" s="1"/>
      <c r="G84" s="1"/>
      <c r="H84" s="1"/>
      <c r="I84" s="1"/>
    </row>
    <row r="85" spans="1:9" ht="15">
      <c r="A85" s="1"/>
      <c r="B85" s="1"/>
      <c r="C85" s="1"/>
      <c r="D85" s="1"/>
      <c r="E85" s="1"/>
      <c r="F85" s="1"/>
      <c r="G85" s="1"/>
      <c r="H85" s="1"/>
      <c r="I85" s="1"/>
    </row>
    <row r="86" spans="1:9" ht="15">
      <c r="A86" s="1"/>
      <c r="B86" s="1"/>
      <c r="C86" s="1"/>
      <c r="D86" s="1"/>
      <c r="E86" s="1"/>
      <c r="F86" s="1"/>
      <c r="G86" s="1"/>
      <c r="H86" s="1"/>
      <c r="I86" s="1"/>
    </row>
    <row r="87" spans="1:9" ht="15">
      <c r="A87" s="1"/>
      <c r="B87" s="1"/>
      <c r="C87" s="1"/>
      <c r="D87" s="1"/>
      <c r="E87" s="1"/>
      <c r="F87" s="1"/>
      <c r="G87" s="1"/>
      <c r="H87" s="1"/>
      <c r="I87" s="1"/>
    </row>
    <row r="88" spans="1:9" ht="15">
      <c r="A88" s="1"/>
      <c r="B88" s="1"/>
      <c r="C88" s="1"/>
      <c r="D88" s="1"/>
      <c r="E88" s="1"/>
      <c r="F88" s="1"/>
      <c r="G88" s="1"/>
      <c r="H88" s="1"/>
      <c r="I88" s="1"/>
    </row>
    <row r="89" spans="1:9" ht="15">
      <c r="A89" s="1"/>
      <c r="B89" s="1"/>
      <c r="C89" s="1"/>
      <c r="D89" s="1"/>
      <c r="E89" s="1"/>
      <c r="F89" s="1"/>
      <c r="G89" s="1"/>
      <c r="H89" s="1"/>
      <c r="I89" s="1"/>
    </row>
    <row r="90" spans="1:9" ht="15">
      <c r="A90" s="1"/>
      <c r="B90" s="1"/>
      <c r="C90" s="1"/>
      <c r="D90" s="1"/>
      <c r="E90" s="1"/>
      <c r="F90" s="1"/>
      <c r="G90" s="1"/>
      <c r="H90" s="1"/>
      <c r="I90" s="1"/>
    </row>
    <row r="91" spans="1:9" ht="15">
      <c r="A91" s="1"/>
      <c r="B91" s="1"/>
      <c r="C91" s="1"/>
      <c r="D91" s="1"/>
      <c r="E91" s="1"/>
      <c r="F91" s="1"/>
      <c r="G91" s="1"/>
      <c r="H91" s="1"/>
      <c r="I91" s="1"/>
    </row>
    <row r="92" spans="1:9" ht="15">
      <c r="A92" s="1"/>
      <c r="B92" s="1"/>
      <c r="C92" s="1"/>
      <c r="D92" s="1"/>
      <c r="E92" s="1"/>
      <c r="F92" s="1"/>
      <c r="G92" s="1"/>
      <c r="H92" s="1"/>
      <c r="I92" s="1"/>
    </row>
    <row r="93" spans="1:9" ht="15">
      <c r="A93" s="1"/>
      <c r="B93" s="1"/>
      <c r="C93" s="1"/>
      <c r="D93" s="1"/>
      <c r="E93" s="1"/>
      <c r="F93" s="1"/>
      <c r="G93" s="1"/>
      <c r="H93" s="1"/>
      <c r="I93" s="1"/>
    </row>
    <row r="94" spans="1:9" ht="15">
      <c r="A94" s="1"/>
      <c r="B94" s="1"/>
      <c r="C94" s="1"/>
      <c r="D94" s="1"/>
      <c r="E94" s="1"/>
      <c r="F94" s="1"/>
      <c r="G94" s="1"/>
      <c r="H94" s="1"/>
      <c r="I94" s="1"/>
    </row>
    <row r="95" spans="1:9" ht="15">
      <c r="A95" s="1"/>
      <c r="B95" s="1"/>
      <c r="C95" s="1"/>
      <c r="D95" s="1"/>
      <c r="E95" s="1"/>
      <c r="F95" s="1"/>
      <c r="G95" s="1"/>
      <c r="H95" s="1"/>
      <c r="I95" s="1"/>
    </row>
    <row r="96" spans="1:9" ht="15">
      <c r="A96" s="1"/>
      <c r="B96" s="1"/>
      <c r="C96" s="1"/>
      <c r="D96" s="1"/>
      <c r="E96" s="1"/>
      <c r="F96" s="1"/>
      <c r="G96" s="1"/>
      <c r="H96" s="1"/>
      <c r="I96" s="1"/>
    </row>
    <row r="97" spans="1:9" ht="15">
      <c r="A97" s="1"/>
      <c r="B97" s="1"/>
      <c r="C97" s="1"/>
      <c r="D97" s="1"/>
      <c r="E97" s="1"/>
      <c r="F97" s="1"/>
      <c r="G97" s="1"/>
      <c r="H97" s="1"/>
      <c r="I97" s="1"/>
    </row>
    <row r="98" spans="1:9" ht="15">
      <c r="A98" s="1"/>
      <c r="B98" s="1"/>
      <c r="C98" s="1"/>
      <c r="D98" s="1"/>
      <c r="E98" s="1"/>
      <c r="F98" s="1"/>
      <c r="G98" s="1"/>
      <c r="H98" s="1"/>
      <c r="I98" s="1"/>
    </row>
    <row r="99" spans="1:9" ht="15">
      <c r="A99" s="1"/>
      <c r="B99" s="1"/>
      <c r="C99" s="1"/>
      <c r="D99" s="1"/>
      <c r="E99" s="1"/>
      <c r="F99" s="1"/>
      <c r="G99" s="1"/>
      <c r="H99" s="1"/>
      <c r="I99" s="1"/>
    </row>
    <row r="100" spans="1:9" ht="15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15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15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15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15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15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15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15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15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15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15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15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15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15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15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15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15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15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15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15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15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15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15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15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15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15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15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15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15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15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15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15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15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15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15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15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15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15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15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15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15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15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15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15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15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15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15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15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15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15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15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15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15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15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15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15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15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15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15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15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15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15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15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15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15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15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15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15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15">
      <c r="A168" s="1"/>
      <c r="B168" s="1"/>
      <c r="C168" s="1"/>
      <c r="D168" s="1"/>
      <c r="E168" s="1"/>
      <c r="F168" s="1"/>
      <c r="G168" s="1"/>
      <c r="H168" s="1"/>
      <c r="I168" s="1"/>
    </row>
  </sheetData>
  <mergeCells count="4">
    <mergeCell ref="C23:D23"/>
    <mergeCell ref="F23:G23"/>
    <mergeCell ref="C48:D48"/>
    <mergeCell ref="F48:G48"/>
  </mergeCells>
  <phoneticPr fontId="2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Sheet31"/>
  <dimension ref="A1:K46"/>
  <sheetViews>
    <sheetView workbookViewId="0"/>
  </sheetViews>
  <sheetFormatPr defaultRowHeight="12.75"/>
  <cols>
    <col min="2" max="2" width="3.140625" customWidth="1"/>
    <col min="3" max="3" width="25" customWidth="1"/>
    <col min="4" max="4" width="19.1406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226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5</v>
      </c>
      <c r="D7" s="21">
        <v>93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16</v>
      </c>
      <c r="D8" s="23">
        <v>0.5</v>
      </c>
      <c r="E8" s="8"/>
      <c r="F8" s="1"/>
      <c r="G8" s="1"/>
      <c r="H8" s="1"/>
      <c r="I8" s="1"/>
      <c r="J8" s="1"/>
      <c r="K8" s="1"/>
    </row>
    <row r="9" spans="1:11" ht="15">
      <c r="A9" s="1"/>
      <c r="B9" s="6"/>
      <c r="C9" s="7" t="s">
        <v>7</v>
      </c>
      <c r="D9" s="23">
        <v>0.05</v>
      </c>
      <c r="E9" s="8"/>
      <c r="F9" s="1"/>
      <c r="G9" s="1"/>
      <c r="H9" s="1"/>
      <c r="I9" s="1"/>
      <c r="J9" s="1"/>
      <c r="K9" s="1"/>
    </row>
    <row r="10" spans="1:11" ht="15">
      <c r="A10" s="1"/>
      <c r="B10" s="6"/>
      <c r="C10" s="7" t="s">
        <v>46</v>
      </c>
      <c r="D10" s="21">
        <v>90</v>
      </c>
      <c r="E10" s="8"/>
      <c r="F10" s="1"/>
      <c r="G10" s="1"/>
      <c r="H10" s="1"/>
      <c r="I10" s="1"/>
      <c r="J10" s="1"/>
      <c r="K10" s="1"/>
    </row>
    <row r="11" spans="1:11" ht="15">
      <c r="A11" s="1"/>
      <c r="B11" s="6"/>
      <c r="C11" s="7" t="s">
        <v>10</v>
      </c>
      <c r="D11" s="27">
        <v>6</v>
      </c>
      <c r="E11" s="8"/>
      <c r="F11" s="1"/>
      <c r="G11" s="1"/>
      <c r="H11" s="1"/>
      <c r="I11" s="1"/>
      <c r="J11" s="1"/>
      <c r="K11" s="1"/>
    </row>
    <row r="12" spans="1:11" ht="15">
      <c r="A12" s="1"/>
      <c r="B12" s="6"/>
      <c r="C12" s="7" t="s">
        <v>45</v>
      </c>
      <c r="D12" s="23">
        <v>0.02</v>
      </c>
      <c r="E12" s="8"/>
      <c r="F12" s="1"/>
      <c r="G12" s="1"/>
      <c r="H12" s="1"/>
      <c r="I12" s="1"/>
      <c r="J12" s="1"/>
      <c r="K12" s="1"/>
    </row>
    <row r="13" spans="1:11" ht="15.75" thickBot="1">
      <c r="A13" s="1"/>
      <c r="B13" s="9"/>
      <c r="C13" s="10"/>
      <c r="D13" s="10"/>
      <c r="E13" s="11"/>
      <c r="F13" s="1"/>
      <c r="G13" s="1"/>
      <c r="H13" s="1"/>
      <c r="I13" s="1"/>
      <c r="J13" s="1"/>
      <c r="K13" s="1"/>
    </row>
    <row r="14" spans="1:11" ht="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5">
      <c r="A15" s="1"/>
      <c r="B15" s="1"/>
      <c r="C15" s="2" t="s">
        <v>2</v>
      </c>
      <c r="D15" s="1"/>
      <c r="E15" s="1"/>
      <c r="F15" s="1"/>
      <c r="G15" s="1"/>
      <c r="H15" s="1"/>
      <c r="I15" s="1"/>
      <c r="J15" s="1"/>
      <c r="K15" s="1"/>
    </row>
    <row r="16" spans="1:11" ht="15.75" thickBo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5">
      <c r="A17" s="1"/>
      <c r="B17" s="12"/>
      <c r="C17" s="13"/>
      <c r="D17" s="13"/>
      <c r="E17" s="14"/>
      <c r="F17" s="1"/>
      <c r="G17" s="1"/>
      <c r="H17" s="1"/>
      <c r="I17" s="1"/>
      <c r="J17" s="1"/>
      <c r="K17" s="1"/>
    </row>
    <row r="18" spans="1:11" ht="15">
      <c r="A18" s="1"/>
      <c r="B18" s="15"/>
      <c r="C18" s="16" t="s">
        <v>222</v>
      </c>
      <c r="D18" s="16"/>
      <c r="E18" s="17"/>
      <c r="F18" s="1"/>
      <c r="G18" s="1"/>
      <c r="H18" s="1"/>
      <c r="I18" s="1"/>
      <c r="J18" s="1"/>
      <c r="K18" s="1"/>
    </row>
    <row r="19" spans="1:11" ht="15">
      <c r="A19" s="1"/>
      <c r="B19" s="15"/>
      <c r="C19" s="16" t="s">
        <v>130</v>
      </c>
      <c r="D19" s="16"/>
      <c r="E19" s="17"/>
      <c r="F19" s="1"/>
      <c r="G19" s="1"/>
      <c r="H19" s="1"/>
      <c r="I19" s="1"/>
      <c r="J19" s="1"/>
      <c r="K19" s="1"/>
    </row>
    <row r="20" spans="1:11" ht="15">
      <c r="A20" s="1"/>
      <c r="B20" s="15"/>
      <c r="C20" s="16" t="s">
        <v>131</v>
      </c>
      <c r="D20" s="16"/>
      <c r="E20" s="17"/>
      <c r="F20" s="1"/>
      <c r="G20" s="1"/>
      <c r="H20" s="1"/>
      <c r="I20" s="1"/>
      <c r="J20" s="1"/>
      <c r="K20" s="1"/>
    </row>
    <row r="21" spans="1:11" ht="15">
      <c r="A21" s="1"/>
      <c r="B21" s="15"/>
      <c r="C21" s="16" t="s">
        <v>132</v>
      </c>
      <c r="D21" s="16"/>
      <c r="E21" s="17"/>
      <c r="F21" s="1"/>
      <c r="G21" s="1"/>
      <c r="H21" s="1"/>
      <c r="I21" s="1"/>
      <c r="J21" s="1"/>
      <c r="K21" s="1"/>
    </row>
    <row r="22" spans="1:11" ht="15">
      <c r="A22" s="1"/>
      <c r="B22" s="15"/>
      <c r="C22" s="16" t="s">
        <v>133</v>
      </c>
      <c r="D22" s="16"/>
      <c r="E22" s="17"/>
      <c r="F22" s="1"/>
      <c r="G22" s="1"/>
      <c r="H22" s="1"/>
      <c r="I22" s="1"/>
      <c r="J22" s="1"/>
      <c r="K22" s="1"/>
    </row>
    <row r="23" spans="1:11" ht="15">
      <c r="A23" s="1"/>
      <c r="B23" s="15"/>
      <c r="C23" s="16" t="s">
        <v>134</v>
      </c>
      <c r="D23" s="16"/>
      <c r="E23" s="17"/>
      <c r="F23" s="1"/>
      <c r="G23" s="1"/>
      <c r="H23" s="1"/>
      <c r="I23" s="1"/>
      <c r="J23" s="1"/>
      <c r="K23" s="1"/>
    </row>
    <row r="24" spans="1:11" ht="15">
      <c r="A24" s="1"/>
      <c r="B24" s="15"/>
      <c r="C24" s="16" t="s">
        <v>211</v>
      </c>
      <c r="D24" s="16"/>
      <c r="E24" s="17"/>
      <c r="F24" s="1"/>
      <c r="G24" s="1"/>
      <c r="H24" s="1"/>
      <c r="I24" s="1"/>
      <c r="J24" s="1"/>
      <c r="K24" s="1"/>
    </row>
    <row r="25" spans="1:11" ht="15">
      <c r="A25" s="1"/>
      <c r="B25" s="15"/>
      <c r="C25" s="16" t="s">
        <v>135</v>
      </c>
      <c r="D25" s="16"/>
      <c r="E25" s="17"/>
      <c r="F25" s="1"/>
      <c r="G25" s="1"/>
      <c r="H25" s="1"/>
      <c r="I25" s="1"/>
      <c r="J25" s="1"/>
      <c r="K25" s="1"/>
    </row>
    <row r="26" spans="1:11" ht="15">
      <c r="A26" s="1"/>
      <c r="B26" s="15"/>
      <c r="C26" s="16" t="s">
        <v>136</v>
      </c>
      <c r="D26" s="16"/>
      <c r="E26" s="17"/>
      <c r="F26" s="1"/>
      <c r="G26" s="1"/>
      <c r="H26" s="1"/>
      <c r="I26" s="1"/>
      <c r="J26" s="1"/>
      <c r="K26" s="1"/>
    </row>
    <row r="27" spans="1:11" ht="15">
      <c r="A27" s="1"/>
      <c r="B27" s="15"/>
      <c r="C27" s="16"/>
      <c r="D27" s="16"/>
      <c r="E27" s="17"/>
      <c r="F27" s="1"/>
      <c r="G27" s="1"/>
      <c r="H27" s="1"/>
      <c r="I27" s="1"/>
      <c r="J27" s="1"/>
      <c r="K27" s="1"/>
    </row>
    <row r="28" spans="1:11" ht="19.5">
      <c r="A28" s="1"/>
      <c r="B28" s="15"/>
      <c r="C28" s="16" t="s">
        <v>177</v>
      </c>
      <c r="D28" s="57">
        <f>((LN($D$7/$D$10))+(($D$9-D12+((D8^2)/2))*($D$11/12)))/($D$8*SQRT($D$11/12))</f>
        <v>0.31194672645599902</v>
      </c>
      <c r="E28" s="17"/>
      <c r="F28" s="1"/>
      <c r="G28" s="1"/>
      <c r="H28" s="1"/>
      <c r="I28" s="1"/>
      <c r="J28" s="1"/>
      <c r="K28" s="1"/>
    </row>
    <row r="29" spans="1:11" ht="19.5">
      <c r="A29" s="1"/>
      <c r="B29" s="15"/>
      <c r="C29" s="16" t="s">
        <v>178</v>
      </c>
      <c r="D29" s="57">
        <f>D28-($D$8*SQRT($D$11/12))</f>
        <v>-4.1606664137274763E-2</v>
      </c>
      <c r="E29" s="17"/>
      <c r="F29" s="1"/>
      <c r="G29" s="1"/>
      <c r="H29" s="1"/>
      <c r="I29" s="1"/>
      <c r="J29" s="1"/>
      <c r="K29" s="1"/>
    </row>
    <row r="30" spans="1:11" ht="19.5">
      <c r="A30" s="1"/>
      <c r="B30" s="15"/>
      <c r="C30" s="16" t="s">
        <v>179</v>
      </c>
      <c r="D30" s="57">
        <f>NORMSDIST(D28)</f>
        <v>0.62245949475481155</v>
      </c>
      <c r="E30" s="17"/>
      <c r="F30" s="1"/>
      <c r="G30" s="1"/>
      <c r="H30" s="1"/>
      <c r="I30" s="1"/>
      <c r="J30" s="1"/>
      <c r="K30" s="1"/>
    </row>
    <row r="31" spans="1:11" ht="19.5">
      <c r="A31" s="1"/>
      <c r="B31" s="15"/>
      <c r="C31" s="16" t="s">
        <v>180</v>
      </c>
      <c r="D31" s="57">
        <f>NORMSDIST(D29)</f>
        <v>0.48340613031532143</v>
      </c>
      <c r="E31" s="17"/>
      <c r="F31" s="1"/>
      <c r="G31" s="1"/>
      <c r="H31" s="1"/>
      <c r="I31" s="1"/>
      <c r="J31" s="1"/>
      <c r="K31" s="1"/>
    </row>
    <row r="32" spans="1:11" ht="15.75">
      <c r="A32" s="1"/>
      <c r="B32" s="15"/>
      <c r="C32" s="16" t="s">
        <v>176</v>
      </c>
      <c r="D32" s="30">
        <f>((D7)*(EXP(-D12*(D11/12)))*D30)-(D10*(EXP(-D9*(D11/12))*D31))</f>
        <v>14.88035935581474</v>
      </c>
      <c r="E32" s="17"/>
      <c r="F32" s="1"/>
      <c r="G32" s="1"/>
      <c r="H32" s="1"/>
      <c r="I32" s="1"/>
      <c r="J32" s="1"/>
      <c r="K32" s="1"/>
    </row>
    <row r="33" spans="1:11" ht="15.75" thickBot="1">
      <c r="A33" s="1"/>
      <c r="B33" s="18"/>
      <c r="C33" s="19"/>
      <c r="D33" s="19"/>
      <c r="E33" s="20"/>
      <c r="F33" s="1"/>
      <c r="G33" s="1"/>
      <c r="H33" s="1"/>
      <c r="I33" s="1"/>
      <c r="J33" s="1"/>
      <c r="K33" s="1"/>
    </row>
    <row r="34" spans="1:11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sheetPr codeName="Sheet32"/>
  <dimension ref="A1:K41"/>
  <sheetViews>
    <sheetView workbookViewId="0"/>
  </sheetViews>
  <sheetFormatPr defaultRowHeight="12.75"/>
  <cols>
    <col min="2" max="2" width="3.140625" customWidth="1"/>
    <col min="3" max="3" width="24" customWidth="1"/>
    <col min="4" max="4" width="20.1406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225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5</v>
      </c>
      <c r="D7" s="65">
        <f ca="1">'#33'!D7</f>
        <v>93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16</v>
      </c>
      <c r="D8" s="66">
        <f ca="1">'#33'!D8</f>
        <v>0.5</v>
      </c>
      <c r="E8" s="8"/>
      <c r="F8" s="1"/>
      <c r="G8" s="1"/>
      <c r="H8" s="1"/>
      <c r="I8" s="1"/>
      <c r="J8" s="1"/>
      <c r="K8" s="1"/>
    </row>
    <row r="9" spans="1:11" ht="15">
      <c r="A9" s="1"/>
      <c r="B9" s="6"/>
      <c r="C9" s="7" t="s">
        <v>7</v>
      </c>
      <c r="D9" s="66">
        <f ca="1">'#33'!D9</f>
        <v>0.05</v>
      </c>
      <c r="E9" s="8"/>
      <c r="F9" s="1"/>
      <c r="G9" s="1"/>
      <c r="H9" s="1"/>
      <c r="I9" s="1"/>
      <c r="J9" s="1"/>
      <c r="K9" s="1"/>
    </row>
    <row r="10" spans="1:11" ht="15">
      <c r="A10" s="1"/>
      <c r="B10" s="6"/>
      <c r="C10" s="7" t="s">
        <v>46</v>
      </c>
      <c r="D10" s="65">
        <f ca="1">'#33'!D10</f>
        <v>90</v>
      </c>
      <c r="E10" s="8"/>
      <c r="F10" s="1"/>
      <c r="G10" s="1"/>
      <c r="H10" s="1"/>
      <c r="I10" s="1"/>
      <c r="J10" s="1"/>
      <c r="K10" s="1"/>
    </row>
    <row r="11" spans="1:11" ht="15">
      <c r="A11" s="1"/>
      <c r="B11" s="6"/>
      <c r="C11" s="7" t="s">
        <v>10</v>
      </c>
      <c r="D11" s="67">
        <f ca="1">'#33'!D11</f>
        <v>6</v>
      </c>
      <c r="E11" s="8"/>
      <c r="F11" s="1"/>
      <c r="G11" s="1"/>
      <c r="H11" s="1"/>
      <c r="I11" s="1"/>
      <c r="J11" s="1"/>
      <c r="K11" s="1"/>
    </row>
    <row r="12" spans="1:11" ht="15">
      <c r="A12" s="1"/>
      <c r="B12" s="6"/>
      <c r="C12" s="7" t="s">
        <v>45</v>
      </c>
      <c r="D12" s="66">
        <f ca="1">'#33'!D12</f>
        <v>0.02</v>
      </c>
      <c r="E12" s="8"/>
      <c r="F12" s="1"/>
      <c r="G12" s="1"/>
      <c r="H12" s="1"/>
      <c r="I12" s="1"/>
      <c r="J12" s="1"/>
      <c r="K12" s="1"/>
    </row>
    <row r="13" spans="1:11" ht="15.75" thickBot="1">
      <c r="A13" s="1"/>
      <c r="B13" s="9"/>
      <c r="C13" s="10"/>
      <c r="D13" s="10"/>
      <c r="E13" s="11"/>
      <c r="F13" s="1"/>
      <c r="G13" s="1"/>
      <c r="H13" s="1"/>
      <c r="I13" s="1"/>
      <c r="J13" s="1"/>
      <c r="K13" s="1"/>
    </row>
    <row r="14" spans="1:11" ht="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5">
      <c r="A15" s="1"/>
      <c r="B15" s="1"/>
      <c r="C15" s="2" t="s">
        <v>2</v>
      </c>
      <c r="D15" s="1"/>
      <c r="E15" s="1"/>
      <c r="F15" s="1"/>
      <c r="G15" s="1"/>
      <c r="H15" s="1"/>
      <c r="I15" s="1"/>
      <c r="J15" s="1"/>
      <c r="K15" s="1"/>
    </row>
    <row r="16" spans="1:11" ht="15.75" thickBo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5">
      <c r="A17" s="1"/>
      <c r="B17" s="12"/>
      <c r="C17" s="13"/>
      <c r="D17" s="13"/>
      <c r="E17" s="14"/>
      <c r="F17" s="1"/>
      <c r="G17" s="1"/>
      <c r="H17" s="1"/>
      <c r="I17" s="1"/>
      <c r="J17" s="1"/>
      <c r="K17" s="1"/>
    </row>
    <row r="18" spans="1:11" ht="15">
      <c r="A18" s="1"/>
      <c r="B18" s="15"/>
      <c r="C18" s="16" t="s">
        <v>137</v>
      </c>
      <c r="D18" s="16"/>
      <c r="E18" s="17"/>
      <c r="F18" s="1"/>
      <c r="G18" s="1"/>
      <c r="H18" s="1"/>
      <c r="I18" s="1"/>
      <c r="J18" s="1"/>
      <c r="K18" s="1"/>
    </row>
    <row r="19" spans="1:11" ht="15">
      <c r="A19" s="1"/>
      <c r="B19" s="15"/>
      <c r="C19" s="16" t="s">
        <v>130</v>
      </c>
      <c r="D19" s="16"/>
      <c r="E19" s="17"/>
      <c r="F19" s="1"/>
      <c r="G19" s="1"/>
      <c r="H19" s="1"/>
      <c r="I19" s="1"/>
      <c r="J19" s="1"/>
      <c r="K19" s="1"/>
    </row>
    <row r="20" spans="1:11" ht="15">
      <c r="A20" s="1"/>
      <c r="B20" s="15"/>
      <c r="C20" s="16" t="s">
        <v>138</v>
      </c>
      <c r="D20" s="16"/>
      <c r="E20" s="17"/>
      <c r="F20" s="1"/>
      <c r="G20" s="1"/>
      <c r="H20" s="1"/>
      <c r="I20" s="1"/>
      <c r="J20" s="1"/>
      <c r="K20" s="1"/>
    </row>
    <row r="21" spans="1:11" ht="15">
      <c r="A21" s="1"/>
      <c r="B21" s="15"/>
      <c r="C21" s="16" t="s">
        <v>139</v>
      </c>
      <c r="D21" s="16"/>
      <c r="E21" s="17"/>
      <c r="F21" s="1"/>
      <c r="G21" s="1"/>
      <c r="H21" s="1"/>
      <c r="I21" s="1"/>
      <c r="J21" s="1"/>
      <c r="K21" s="1"/>
    </row>
    <row r="22" spans="1:11" ht="15">
      <c r="A22" s="1"/>
      <c r="B22" s="15"/>
      <c r="C22" s="16" t="s">
        <v>133</v>
      </c>
      <c r="D22" s="16"/>
      <c r="E22" s="17"/>
      <c r="F22" s="1"/>
      <c r="G22" s="1"/>
      <c r="H22" s="1"/>
      <c r="I22" s="1"/>
      <c r="J22" s="1"/>
      <c r="K22" s="1"/>
    </row>
    <row r="23" spans="1:11" ht="15">
      <c r="A23" s="1"/>
      <c r="B23" s="15"/>
      <c r="C23" s="16" t="s">
        <v>173</v>
      </c>
      <c r="D23" s="16"/>
      <c r="E23" s="17"/>
      <c r="F23" s="1"/>
      <c r="G23" s="1"/>
      <c r="H23" s="1"/>
      <c r="I23" s="1"/>
      <c r="J23" s="1"/>
      <c r="K23" s="1"/>
    </row>
    <row r="24" spans="1:11" ht="15">
      <c r="A24" s="1"/>
      <c r="B24" s="15"/>
      <c r="C24" s="16" t="s">
        <v>140</v>
      </c>
      <c r="D24" s="16"/>
      <c r="E24" s="17"/>
      <c r="F24" s="1"/>
      <c r="G24" s="1"/>
      <c r="H24" s="1"/>
      <c r="I24" s="1"/>
      <c r="J24" s="1"/>
      <c r="K24" s="1"/>
    </row>
    <row r="25" spans="1:11" ht="15">
      <c r="A25" s="1"/>
      <c r="B25" s="15"/>
      <c r="C25" s="16" t="s">
        <v>141</v>
      </c>
      <c r="D25" s="16"/>
      <c r="E25" s="17"/>
      <c r="F25" s="1"/>
      <c r="G25" s="1"/>
      <c r="H25" s="1"/>
      <c r="I25" s="1"/>
      <c r="J25" s="1"/>
      <c r="K25" s="1"/>
    </row>
    <row r="26" spans="1:11" ht="15">
      <c r="A26" s="1"/>
      <c r="B26" s="15"/>
      <c r="C26" s="16"/>
      <c r="D26" s="16"/>
      <c r="E26" s="17"/>
      <c r="F26" s="1"/>
      <c r="G26" s="1"/>
      <c r="H26" s="1"/>
      <c r="I26" s="1"/>
      <c r="J26" s="1"/>
      <c r="K26" s="1"/>
    </row>
    <row r="27" spans="1:11" ht="15.75">
      <c r="A27" s="1"/>
      <c r="B27" s="15"/>
      <c r="C27" s="16" t="s">
        <v>54</v>
      </c>
      <c r="D27" s="30">
        <f ca="1">(((D10*EXP(-D9*(D11/12)))+'#33'!D32))-((D7*EXP(-D12*(D11/12))))</f>
        <v>10.583616899692046</v>
      </c>
      <c r="E27" s="17"/>
      <c r="F27" s="1"/>
      <c r="G27" s="1"/>
      <c r="H27" s="1"/>
      <c r="I27" s="1"/>
      <c r="J27" s="1"/>
      <c r="K27" s="1"/>
    </row>
    <row r="28" spans="1:11" ht="15.75" thickBot="1">
      <c r="A28" s="1"/>
      <c r="B28" s="18"/>
      <c r="C28" s="19"/>
      <c r="D28" s="19"/>
      <c r="E28" s="20"/>
      <c r="F28" s="1"/>
      <c r="G28" s="1"/>
      <c r="H28" s="1"/>
      <c r="I28" s="1"/>
      <c r="J28" s="1"/>
      <c r="K28" s="1"/>
    </row>
    <row r="29" spans="1:11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sheetPr codeName="Sheet33"/>
  <dimension ref="A1:K26"/>
  <sheetViews>
    <sheetView workbookViewId="0"/>
  </sheetViews>
  <sheetFormatPr defaultRowHeight="12.75"/>
  <cols>
    <col min="2" max="2" width="3.140625" customWidth="1"/>
    <col min="3" max="3" width="24" customWidth="1"/>
    <col min="4" max="4" width="22.425781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224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2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9.5" customHeight="1">
      <c r="A6" s="1"/>
      <c r="B6" s="12"/>
      <c r="C6" s="13"/>
      <c r="D6" s="13"/>
      <c r="E6" s="14"/>
      <c r="F6" s="1"/>
      <c r="G6" s="1"/>
      <c r="H6" s="1"/>
      <c r="I6" s="1"/>
      <c r="J6" s="1"/>
      <c r="K6" s="1"/>
    </row>
    <row r="7" spans="1:11" ht="19.5" customHeight="1">
      <c r="A7" s="1"/>
      <c r="B7" s="15"/>
      <c r="C7" s="16" t="s">
        <v>217</v>
      </c>
      <c r="D7" s="16"/>
      <c r="E7" s="17"/>
      <c r="F7" s="1"/>
      <c r="G7" s="1"/>
      <c r="H7" s="1"/>
      <c r="I7" s="1"/>
      <c r="J7" s="1"/>
      <c r="K7" s="1"/>
    </row>
    <row r="8" spans="1:11" ht="19.5" customHeight="1">
      <c r="A8" s="1"/>
      <c r="B8" s="15"/>
      <c r="C8" s="16" t="s">
        <v>218</v>
      </c>
      <c r="D8" s="16"/>
      <c r="E8" s="17"/>
      <c r="F8" s="1"/>
      <c r="G8" s="1"/>
      <c r="H8" s="1"/>
      <c r="I8" s="1"/>
      <c r="J8" s="1"/>
      <c r="K8" s="1"/>
    </row>
    <row r="9" spans="1:11" ht="19.5" customHeight="1">
      <c r="A9" s="1"/>
      <c r="B9" s="15"/>
      <c r="C9" s="16" t="s">
        <v>219</v>
      </c>
      <c r="D9" s="16"/>
      <c r="E9" s="17"/>
      <c r="F9" s="1"/>
      <c r="G9" s="1"/>
      <c r="H9" s="1"/>
      <c r="I9" s="1"/>
      <c r="J9" s="1"/>
      <c r="K9" s="1"/>
    </row>
    <row r="10" spans="1:11" ht="19.5" customHeight="1">
      <c r="A10" s="1"/>
      <c r="B10" s="15"/>
      <c r="C10" s="16" t="s">
        <v>142</v>
      </c>
      <c r="D10" s="16"/>
      <c r="E10" s="17"/>
      <c r="F10" s="1"/>
      <c r="G10" s="1"/>
      <c r="H10" s="1"/>
      <c r="I10" s="1"/>
      <c r="J10" s="1"/>
      <c r="K10" s="1"/>
    </row>
    <row r="11" spans="1:11" ht="19.5" customHeight="1">
      <c r="A11" s="1"/>
      <c r="B11" s="15"/>
      <c r="C11" s="16" t="s">
        <v>143</v>
      </c>
      <c r="D11" s="16"/>
      <c r="E11" s="17"/>
      <c r="F11" s="1"/>
      <c r="G11" s="1"/>
      <c r="H11" s="1"/>
      <c r="I11" s="1"/>
      <c r="J11" s="1"/>
      <c r="K11" s="1"/>
    </row>
    <row r="12" spans="1:11" ht="19.5" customHeight="1">
      <c r="A12" s="1"/>
      <c r="B12" s="15"/>
      <c r="C12" s="16" t="s">
        <v>220</v>
      </c>
      <c r="D12" s="16"/>
      <c r="E12" s="17"/>
      <c r="F12" s="1"/>
      <c r="G12" s="1"/>
      <c r="H12" s="1"/>
      <c r="I12" s="1"/>
      <c r="J12" s="1"/>
      <c r="K12" s="1"/>
    </row>
    <row r="13" spans="1:11" ht="19.5" customHeight="1" thickBot="1">
      <c r="A13" s="1"/>
      <c r="B13" s="18"/>
      <c r="C13" s="19"/>
      <c r="D13" s="19"/>
      <c r="E13" s="20"/>
      <c r="F13" s="1"/>
      <c r="G13" s="1"/>
      <c r="H13" s="1"/>
      <c r="I13" s="1"/>
      <c r="J13" s="1"/>
      <c r="K13" s="1"/>
    </row>
    <row r="14" spans="1:11" ht="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>
  <sheetPr codeName="Sheet34"/>
  <dimension ref="A1:K29"/>
  <sheetViews>
    <sheetView workbookViewId="0"/>
  </sheetViews>
  <sheetFormatPr defaultRowHeight="12.75"/>
  <cols>
    <col min="2" max="2" width="3.140625" customWidth="1"/>
    <col min="3" max="3" width="24" customWidth="1"/>
    <col min="4" max="4" width="18.1406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223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2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9.5" customHeight="1">
      <c r="A6" s="1"/>
      <c r="B6" s="12"/>
      <c r="C6" s="13"/>
      <c r="D6" s="13"/>
      <c r="E6" s="14"/>
      <c r="F6" s="1"/>
      <c r="G6" s="1"/>
      <c r="H6" s="1"/>
      <c r="I6" s="1"/>
      <c r="J6" s="1"/>
      <c r="K6" s="1"/>
    </row>
    <row r="7" spans="1:11" ht="19.5" customHeight="1">
      <c r="A7" s="1"/>
      <c r="B7" s="15"/>
      <c r="C7" s="16" t="s">
        <v>171</v>
      </c>
      <c r="D7" s="16"/>
      <c r="E7" s="17"/>
      <c r="F7" s="1"/>
      <c r="G7" s="1"/>
      <c r="H7" s="1"/>
      <c r="I7" s="1"/>
      <c r="J7" s="1"/>
      <c r="K7" s="1"/>
    </row>
    <row r="8" spans="1:11" ht="19.5" customHeight="1">
      <c r="A8" s="1"/>
      <c r="B8" s="15"/>
      <c r="C8" s="16" t="s">
        <v>144</v>
      </c>
      <c r="D8" s="16"/>
      <c r="E8" s="17"/>
      <c r="F8" s="1"/>
      <c r="G8" s="1"/>
      <c r="H8" s="1"/>
      <c r="I8" s="1"/>
      <c r="J8" s="1"/>
      <c r="K8" s="1"/>
    </row>
    <row r="9" spans="1:11" ht="19.5" customHeight="1">
      <c r="A9" s="1"/>
      <c r="B9" s="15"/>
      <c r="C9" s="16" t="s">
        <v>145</v>
      </c>
      <c r="D9" s="16"/>
      <c r="E9" s="17"/>
      <c r="F9" s="1"/>
      <c r="G9" s="1"/>
      <c r="H9" s="1"/>
      <c r="I9" s="1"/>
      <c r="J9" s="1"/>
      <c r="K9" s="1"/>
    </row>
    <row r="10" spans="1:11" ht="19.5" customHeight="1">
      <c r="A10" s="1"/>
      <c r="B10" s="15"/>
      <c r="C10" s="16" t="s">
        <v>146</v>
      </c>
      <c r="D10" s="16"/>
      <c r="E10" s="17"/>
      <c r="F10" s="1"/>
      <c r="G10" s="1"/>
      <c r="H10" s="1"/>
      <c r="I10" s="1"/>
      <c r="J10" s="1"/>
      <c r="K10" s="1"/>
    </row>
    <row r="11" spans="1:11" ht="19.5" customHeight="1">
      <c r="A11" s="1"/>
      <c r="B11" s="15"/>
      <c r="C11" s="16" t="s">
        <v>147</v>
      </c>
      <c r="D11" s="16"/>
      <c r="E11" s="17"/>
      <c r="F11" s="1"/>
      <c r="G11" s="1"/>
      <c r="H11" s="1"/>
      <c r="I11" s="1"/>
      <c r="J11" s="1"/>
      <c r="K11" s="1"/>
    </row>
    <row r="12" spans="1:11" ht="19.5" customHeight="1">
      <c r="A12" s="1"/>
      <c r="B12" s="15"/>
      <c r="C12" s="16" t="s">
        <v>172</v>
      </c>
      <c r="D12" s="16"/>
      <c r="E12" s="17"/>
      <c r="F12" s="1"/>
      <c r="G12" s="1"/>
      <c r="H12" s="1"/>
      <c r="I12" s="1"/>
      <c r="J12" s="1"/>
      <c r="K12" s="1"/>
    </row>
    <row r="13" spans="1:11" ht="19.5" customHeight="1">
      <c r="A13" s="1"/>
      <c r="B13" s="15"/>
      <c r="C13" s="16" t="s">
        <v>215</v>
      </c>
      <c r="D13" s="16"/>
      <c r="E13" s="17"/>
      <c r="F13" s="1"/>
      <c r="G13" s="1"/>
      <c r="H13" s="1"/>
      <c r="I13" s="1"/>
      <c r="J13" s="1"/>
      <c r="K13" s="1"/>
    </row>
    <row r="14" spans="1:11" ht="19.5" customHeight="1">
      <c r="A14" s="1"/>
      <c r="B14" s="15"/>
      <c r="C14" s="16" t="s">
        <v>216</v>
      </c>
      <c r="D14" s="16"/>
      <c r="E14" s="17"/>
      <c r="F14" s="1"/>
      <c r="G14" s="1"/>
      <c r="H14" s="1"/>
      <c r="I14" s="1"/>
      <c r="J14" s="1"/>
      <c r="K14" s="1"/>
    </row>
    <row r="15" spans="1:11" ht="19.5" customHeight="1">
      <c r="A15" s="1"/>
      <c r="B15" s="15"/>
      <c r="C15" s="16" t="s">
        <v>346</v>
      </c>
      <c r="D15" s="16"/>
      <c r="E15" s="17"/>
      <c r="F15" s="1"/>
      <c r="G15" s="1"/>
      <c r="H15" s="1"/>
      <c r="I15" s="1"/>
      <c r="J15" s="1"/>
      <c r="K15" s="1"/>
    </row>
    <row r="16" spans="1:11" ht="19.5" customHeight="1" thickBot="1">
      <c r="A16" s="1"/>
      <c r="B16" s="18"/>
      <c r="C16" s="19"/>
      <c r="D16" s="19"/>
      <c r="E16" s="20"/>
      <c r="F16" s="1"/>
      <c r="G16" s="1"/>
      <c r="H16" s="1"/>
      <c r="I16" s="1"/>
      <c r="J16" s="1"/>
      <c r="K16" s="1"/>
    </row>
    <row r="17" spans="1:11" ht="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sheetPr codeName="Sheet35"/>
  <dimension ref="A1:K44"/>
  <sheetViews>
    <sheetView workbookViewId="0"/>
  </sheetViews>
  <sheetFormatPr defaultRowHeight="12.75"/>
  <cols>
    <col min="2" max="2" width="3.140625" customWidth="1"/>
    <col min="3" max="3" width="25.28515625" customWidth="1"/>
    <col min="4" max="4" width="19.285156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335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5</v>
      </c>
      <c r="D7" s="21">
        <v>50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7</v>
      </c>
      <c r="D8" s="23">
        <v>0.12</v>
      </c>
      <c r="E8" s="8"/>
      <c r="F8" s="1"/>
      <c r="G8" s="1"/>
      <c r="H8" s="1"/>
      <c r="I8" s="1"/>
      <c r="J8" s="1"/>
      <c r="K8" s="1"/>
    </row>
    <row r="9" spans="1:11" ht="15">
      <c r="A9" s="1"/>
      <c r="B9" s="6"/>
      <c r="C9" s="7" t="s">
        <v>16</v>
      </c>
      <c r="D9" s="23">
        <v>0.6</v>
      </c>
      <c r="E9" s="8"/>
      <c r="F9" s="1"/>
      <c r="G9" s="1"/>
      <c r="H9" s="1"/>
      <c r="I9" s="1"/>
      <c r="J9" s="1"/>
      <c r="K9" s="1"/>
    </row>
    <row r="10" spans="1:11" ht="15">
      <c r="A10" s="1"/>
      <c r="B10" s="6"/>
      <c r="C10" s="7" t="s">
        <v>46</v>
      </c>
      <c r="D10" s="21">
        <v>100</v>
      </c>
      <c r="E10" s="8"/>
      <c r="F10" s="1"/>
      <c r="G10" s="1"/>
      <c r="H10" s="1"/>
      <c r="I10" s="1"/>
      <c r="J10" s="1"/>
      <c r="K10" s="1"/>
    </row>
    <row r="11" spans="1:11" ht="15">
      <c r="A11" s="1"/>
      <c r="B11" s="6"/>
      <c r="C11" s="7" t="s">
        <v>51</v>
      </c>
      <c r="D11" s="26">
        <v>0</v>
      </c>
      <c r="E11" s="8"/>
      <c r="F11" s="1"/>
      <c r="G11" s="1"/>
      <c r="H11" s="1"/>
      <c r="I11" s="1"/>
      <c r="J11" s="1"/>
      <c r="K11" s="1"/>
    </row>
    <row r="12" spans="1:11" ht="15.75" thickBot="1">
      <c r="A12" s="1"/>
      <c r="B12" s="9"/>
      <c r="C12" s="10"/>
      <c r="D12" s="10"/>
      <c r="E12" s="11"/>
      <c r="F12" s="1"/>
      <c r="G12" s="1"/>
      <c r="H12" s="1"/>
      <c r="I12" s="1"/>
      <c r="J12" s="1"/>
      <c r="K12" s="1"/>
    </row>
    <row r="13" spans="1:11" ht="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">
      <c r="A14" s="1"/>
      <c r="B14" s="1"/>
      <c r="C14" s="2" t="s">
        <v>2</v>
      </c>
      <c r="D14" s="1"/>
      <c r="E14" s="1"/>
      <c r="F14" s="1"/>
      <c r="G14" s="1"/>
      <c r="H14" s="1"/>
      <c r="I14" s="1"/>
      <c r="J14" s="1"/>
      <c r="K14" s="1"/>
    </row>
    <row r="15" spans="1:11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9.5" customHeight="1">
      <c r="A16" s="1"/>
      <c r="B16" s="12"/>
      <c r="C16" s="13"/>
      <c r="D16" s="13"/>
      <c r="E16" s="14"/>
      <c r="F16" s="1"/>
      <c r="G16" s="1"/>
      <c r="H16" s="1"/>
      <c r="I16" s="1"/>
      <c r="J16" s="1"/>
      <c r="K16" s="1"/>
    </row>
    <row r="17" spans="1:11" ht="19.5" customHeight="1">
      <c r="A17" s="1"/>
      <c r="B17" s="15"/>
      <c r="C17" s="16" t="s">
        <v>148</v>
      </c>
      <c r="D17" s="16"/>
      <c r="E17" s="17"/>
      <c r="F17" s="1"/>
      <c r="G17" s="1"/>
      <c r="H17" s="1"/>
      <c r="I17" s="1"/>
      <c r="J17" s="1"/>
      <c r="K17" s="1"/>
    </row>
    <row r="18" spans="1:11" ht="19.5" customHeight="1">
      <c r="A18" s="1"/>
      <c r="B18" s="15"/>
      <c r="C18" s="16" t="s">
        <v>165</v>
      </c>
      <c r="D18" s="16"/>
      <c r="E18" s="17"/>
      <c r="F18" s="1"/>
      <c r="G18" s="1"/>
      <c r="H18" s="1"/>
      <c r="I18" s="1"/>
      <c r="J18" s="1"/>
      <c r="K18" s="1"/>
    </row>
    <row r="19" spans="1:11" ht="19.5" customHeight="1">
      <c r="A19" s="1"/>
      <c r="B19" s="15"/>
      <c r="C19" s="16" t="s">
        <v>149</v>
      </c>
      <c r="D19" s="16"/>
      <c r="E19" s="17"/>
      <c r="F19" s="1"/>
      <c r="G19" s="1"/>
      <c r="H19" s="1"/>
      <c r="I19" s="1"/>
      <c r="J19" s="1"/>
      <c r="K19" s="1"/>
    </row>
    <row r="20" spans="1:11" ht="19.5" customHeight="1">
      <c r="A20" s="1"/>
      <c r="B20" s="15"/>
      <c r="C20" s="16" t="s">
        <v>214</v>
      </c>
      <c r="D20" s="16"/>
      <c r="E20" s="17"/>
      <c r="F20" s="1"/>
      <c r="G20" s="1"/>
      <c r="H20" s="1"/>
      <c r="I20" s="1"/>
      <c r="J20" s="1"/>
      <c r="K20" s="1"/>
    </row>
    <row r="21" spans="1:11" ht="19.5" customHeight="1">
      <c r="A21" s="1"/>
      <c r="B21" s="15"/>
      <c r="C21" s="16" t="s">
        <v>166</v>
      </c>
      <c r="D21" s="16"/>
      <c r="E21" s="17"/>
      <c r="F21" s="1"/>
      <c r="G21" s="1"/>
      <c r="H21" s="1"/>
      <c r="I21" s="1"/>
      <c r="J21" s="1"/>
      <c r="K21" s="1"/>
    </row>
    <row r="22" spans="1:11" ht="19.5" customHeight="1">
      <c r="A22" s="1"/>
      <c r="B22" s="15"/>
      <c r="C22" s="16" t="s">
        <v>150</v>
      </c>
      <c r="D22" s="16"/>
      <c r="E22" s="17"/>
      <c r="F22" s="1"/>
      <c r="G22" s="1"/>
      <c r="H22" s="1"/>
      <c r="I22" s="1"/>
      <c r="J22" s="1"/>
      <c r="K22" s="1"/>
    </row>
    <row r="23" spans="1:11" ht="19.5" customHeight="1">
      <c r="A23" s="1"/>
      <c r="B23" s="15"/>
      <c r="C23" s="16" t="s">
        <v>151</v>
      </c>
      <c r="D23" s="16"/>
      <c r="E23" s="17"/>
      <c r="F23" s="1"/>
      <c r="G23" s="1"/>
      <c r="H23" s="1"/>
      <c r="I23" s="1"/>
      <c r="J23" s="1"/>
      <c r="K23" s="1"/>
    </row>
    <row r="24" spans="1:11" ht="19.5" customHeight="1">
      <c r="A24" s="1"/>
      <c r="B24" s="15"/>
      <c r="C24" s="16" t="s">
        <v>167</v>
      </c>
      <c r="D24" s="16"/>
      <c r="E24" s="17"/>
      <c r="F24" s="1"/>
      <c r="G24" s="1"/>
      <c r="H24" s="1"/>
      <c r="I24" s="1"/>
      <c r="J24" s="1"/>
      <c r="K24" s="1"/>
    </row>
    <row r="25" spans="1:11" ht="19.5" customHeight="1">
      <c r="A25" s="1"/>
      <c r="B25" s="15"/>
      <c r="C25" s="16" t="s">
        <v>152</v>
      </c>
      <c r="D25" s="16"/>
      <c r="E25" s="17"/>
      <c r="F25" s="1"/>
      <c r="G25" s="1"/>
      <c r="H25" s="1"/>
      <c r="I25" s="1"/>
      <c r="J25" s="1"/>
      <c r="K25" s="1"/>
    </row>
    <row r="26" spans="1:11" ht="19.5" customHeight="1">
      <c r="A26" s="1"/>
      <c r="B26" s="15"/>
      <c r="C26" s="16" t="s">
        <v>168</v>
      </c>
      <c r="D26" s="16"/>
      <c r="E26" s="17"/>
      <c r="F26" s="1"/>
      <c r="G26" s="1"/>
      <c r="H26" s="1"/>
      <c r="I26" s="1"/>
      <c r="J26" s="1"/>
      <c r="K26" s="1"/>
    </row>
    <row r="27" spans="1:11" ht="19.5" customHeight="1">
      <c r="A27" s="1"/>
      <c r="B27" s="15"/>
      <c r="C27" s="16" t="s">
        <v>153</v>
      </c>
      <c r="D27" s="16"/>
      <c r="E27" s="17"/>
      <c r="F27" s="1"/>
      <c r="G27" s="1"/>
      <c r="H27" s="1"/>
      <c r="I27" s="1"/>
      <c r="J27" s="1"/>
      <c r="K27" s="1"/>
    </row>
    <row r="28" spans="1:11" ht="19.5" customHeight="1">
      <c r="A28" s="1"/>
      <c r="B28" s="15"/>
      <c r="C28" s="16" t="s">
        <v>154</v>
      </c>
      <c r="D28" s="16"/>
      <c r="E28" s="17"/>
      <c r="F28" s="1"/>
      <c r="G28" s="1"/>
      <c r="H28" s="1"/>
      <c r="I28" s="1"/>
      <c r="J28" s="1"/>
      <c r="K28" s="1"/>
    </row>
    <row r="29" spans="1:11" ht="19.5" customHeight="1">
      <c r="A29" s="1"/>
      <c r="B29" s="15"/>
      <c r="C29" s="16" t="s">
        <v>155</v>
      </c>
      <c r="D29" s="16"/>
      <c r="E29" s="17"/>
      <c r="F29" s="1"/>
      <c r="G29" s="1"/>
      <c r="H29" s="1"/>
      <c r="I29" s="1"/>
      <c r="J29" s="1"/>
      <c r="K29" s="1"/>
    </row>
    <row r="30" spans="1:11" ht="19.5" customHeight="1">
      <c r="A30" s="1"/>
      <c r="B30" s="15"/>
      <c r="C30" s="16" t="s">
        <v>156</v>
      </c>
      <c r="D30" s="16"/>
      <c r="E30" s="17"/>
      <c r="F30" s="1"/>
      <c r="G30" s="1"/>
      <c r="H30" s="1"/>
      <c r="I30" s="1"/>
      <c r="J30" s="1"/>
      <c r="K30" s="1"/>
    </row>
    <row r="31" spans="1:11" ht="19.5" customHeight="1" thickBot="1">
      <c r="A31" s="1"/>
      <c r="B31" s="18"/>
      <c r="C31" s="19"/>
      <c r="D31" s="19"/>
      <c r="E31" s="20"/>
      <c r="F31" s="1"/>
      <c r="G31" s="1"/>
      <c r="H31" s="1"/>
      <c r="I31" s="1"/>
      <c r="J31" s="1"/>
      <c r="K31" s="1"/>
    </row>
    <row r="32" spans="1:11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>
  <sheetPr codeName="Sheet36"/>
  <dimension ref="A1:K29"/>
  <sheetViews>
    <sheetView workbookViewId="0"/>
  </sheetViews>
  <sheetFormatPr defaultRowHeight="12.75"/>
  <cols>
    <col min="2" max="2" width="3.140625" customWidth="1"/>
    <col min="3" max="3" width="24" customWidth="1"/>
    <col min="4" max="4" width="19.57031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334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2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9.5" customHeight="1">
      <c r="A6" s="1"/>
      <c r="B6" s="12"/>
      <c r="C6" s="13"/>
      <c r="D6" s="13"/>
      <c r="E6" s="14"/>
      <c r="F6" s="1"/>
      <c r="G6" s="1"/>
      <c r="H6" s="1"/>
      <c r="I6" s="1"/>
      <c r="J6" s="1"/>
      <c r="K6" s="1"/>
    </row>
    <row r="7" spans="1:11" ht="19.5" customHeight="1">
      <c r="A7" s="1"/>
      <c r="B7" s="15"/>
      <c r="C7" s="16" t="s">
        <v>174</v>
      </c>
      <c r="D7" s="16"/>
      <c r="E7" s="17"/>
      <c r="F7" s="1"/>
      <c r="G7" s="1"/>
      <c r="H7" s="1"/>
      <c r="I7" s="1"/>
      <c r="J7" s="1"/>
      <c r="K7" s="1"/>
    </row>
    <row r="8" spans="1:11" ht="19.5" customHeight="1">
      <c r="A8" s="1"/>
      <c r="B8" s="15"/>
      <c r="C8" s="16" t="s">
        <v>212</v>
      </c>
      <c r="D8" s="16"/>
      <c r="E8" s="17"/>
      <c r="F8" s="1"/>
      <c r="G8" s="1"/>
      <c r="H8" s="1"/>
      <c r="I8" s="1"/>
      <c r="J8" s="1"/>
      <c r="K8" s="1"/>
    </row>
    <row r="9" spans="1:11" ht="19.5" customHeight="1">
      <c r="A9" s="1"/>
      <c r="B9" s="15"/>
      <c r="C9" s="16" t="s">
        <v>157</v>
      </c>
      <c r="D9" s="16"/>
      <c r="E9" s="17"/>
      <c r="F9" s="1"/>
      <c r="G9" s="1"/>
      <c r="H9" s="1"/>
      <c r="I9" s="1"/>
      <c r="J9" s="1"/>
      <c r="K9" s="1"/>
    </row>
    <row r="10" spans="1:11" ht="19.5" customHeight="1">
      <c r="A10" s="1"/>
      <c r="B10" s="15"/>
      <c r="C10" s="16" t="s">
        <v>213</v>
      </c>
      <c r="D10" s="16"/>
      <c r="E10" s="17"/>
      <c r="F10" s="1"/>
      <c r="G10" s="1"/>
      <c r="H10" s="1"/>
      <c r="I10" s="1"/>
      <c r="J10" s="1"/>
      <c r="K10" s="1"/>
    </row>
    <row r="11" spans="1:11" ht="19.5" customHeight="1">
      <c r="A11" s="1"/>
      <c r="B11" s="15"/>
      <c r="C11" s="16" t="s">
        <v>169</v>
      </c>
      <c r="D11" s="16"/>
      <c r="E11" s="17"/>
      <c r="F11" s="1"/>
      <c r="G11" s="1"/>
      <c r="H11" s="1"/>
      <c r="I11" s="1"/>
      <c r="J11" s="1"/>
      <c r="K11" s="1"/>
    </row>
    <row r="12" spans="1:11" ht="19.5" customHeight="1">
      <c r="A12" s="1"/>
      <c r="B12" s="15"/>
      <c r="C12" s="16" t="s">
        <v>158</v>
      </c>
      <c r="D12" s="16"/>
      <c r="E12" s="17"/>
      <c r="F12" s="1"/>
      <c r="G12" s="1"/>
      <c r="H12" s="1"/>
      <c r="I12" s="1"/>
      <c r="J12" s="1"/>
      <c r="K12" s="1"/>
    </row>
    <row r="13" spans="1:11" ht="19.5" customHeight="1">
      <c r="A13" s="1"/>
      <c r="B13" s="15"/>
      <c r="C13" s="16" t="s">
        <v>170</v>
      </c>
      <c r="D13" s="16"/>
      <c r="E13" s="17"/>
      <c r="F13" s="1"/>
      <c r="G13" s="1"/>
      <c r="H13" s="1"/>
      <c r="I13" s="1"/>
      <c r="J13" s="1"/>
      <c r="K13" s="1"/>
    </row>
    <row r="14" spans="1:11" ht="19.5" customHeight="1">
      <c r="A14" s="1"/>
      <c r="B14" s="15"/>
      <c r="C14" s="16" t="s">
        <v>159</v>
      </c>
      <c r="D14" s="16"/>
      <c r="E14" s="17"/>
      <c r="F14" s="1"/>
      <c r="G14" s="1"/>
      <c r="H14" s="1"/>
      <c r="I14" s="1"/>
      <c r="J14" s="1"/>
      <c r="K14" s="1"/>
    </row>
    <row r="15" spans="1:11" ht="19.5" customHeight="1">
      <c r="A15" s="1"/>
      <c r="B15" s="15"/>
      <c r="C15" s="16" t="s">
        <v>59</v>
      </c>
      <c r="D15" s="16"/>
      <c r="E15" s="17"/>
      <c r="F15" s="1"/>
      <c r="G15" s="1"/>
      <c r="H15" s="1"/>
      <c r="I15" s="1"/>
      <c r="J15" s="1"/>
      <c r="K15" s="1"/>
    </row>
    <row r="16" spans="1:11" ht="19.5" customHeight="1" thickBot="1">
      <c r="A16" s="1"/>
      <c r="B16" s="18"/>
      <c r="C16" s="19"/>
      <c r="D16" s="19"/>
      <c r="E16" s="20"/>
      <c r="F16" s="1"/>
      <c r="G16" s="1"/>
      <c r="H16" s="1"/>
      <c r="I16" s="1"/>
      <c r="J16" s="1"/>
      <c r="K16" s="1"/>
    </row>
    <row r="17" spans="1:11" ht="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J850"/>
  <sheetViews>
    <sheetView workbookViewId="0"/>
  </sheetViews>
  <sheetFormatPr defaultRowHeight="12.75"/>
  <cols>
    <col min="2" max="2" width="3.140625" customWidth="1"/>
    <col min="3" max="3" width="15.42578125" customWidth="1"/>
    <col min="4" max="9" width="13.140625" customWidth="1"/>
    <col min="10" max="10" width="4.42578125" customWidth="1"/>
  </cols>
  <sheetData>
    <row r="1" spans="1:10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</row>
    <row r="2" spans="1:10" ht="15.75" customHeight="1">
      <c r="A2" s="1"/>
      <c r="B2" s="1"/>
      <c r="C2" s="1" t="s">
        <v>4</v>
      </c>
      <c r="D2" s="1"/>
      <c r="E2" s="1"/>
      <c r="F2" s="1"/>
      <c r="G2" s="1"/>
      <c r="H2" s="1"/>
      <c r="I2" s="1"/>
      <c r="J2" s="1"/>
    </row>
    <row r="3" spans="1:10" ht="15.7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3"/>
      <c r="C6" s="4"/>
      <c r="D6" s="81"/>
      <c r="E6" s="4"/>
      <c r="F6" s="86" t="s">
        <v>239</v>
      </c>
      <c r="G6" s="4"/>
      <c r="H6" s="86" t="s">
        <v>240</v>
      </c>
      <c r="I6" s="4"/>
      <c r="J6" s="5"/>
    </row>
    <row r="7" spans="1:10" ht="15.75" customHeight="1">
      <c r="A7" s="1"/>
      <c r="B7" s="6"/>
      <c r="C7" s="87" t="s">
        <v>241</v>
      </c>
      <c r="D7" s="88" t="s">
        <v>242</v>
      </c>
      <c r="E7" s="87" t="s">
        <v>243</v>
      </c>
      <c r="F7" s="87" t="s">
        <v>244</v>
      </c>
      <c r="G7" s="87" t="s">
        <v>245</v>
      </c>
      <c r="H7" s="87" t="s">
        <v>244</v>
      </c>
      <c r="I7" s="87" t="s">
        <v>245</v>
      </c>
      <c r="J7" s="8"/>
    </row>
    <row r="8" spans="1:10" ht="15.75" customHeight="1">
      <c r="A8" s="1"/>
      <c r="B8" s="6"/>
      <c r="C8" s="7" t="s">
        <v>262</v>
      </c>
      <c r="D8" s="89"/>
      <c r="E8" s="7"/>
      <c r="F8" s="7"/>
      <c r="G8" s="7"/>
      <c r="H8" s="7"/>
      <c r="I8" s="7"/>
      <c r="J8" s="8"/>
    </row>
    <row r="9" spans="1:10" ht="15.75" customHeight="1">
      <c r="A9" s="1"/>
      <c r="B9" s="6"/>
      <c r="C9" s="90">
        <v>114</v>
      </c>
      <c r="D9" s="91">
        <v>110</v>
      </c>
      <c r="E9" s="90" t="s">
        <v>263</v>
      </c>
      <c r="F9" s="90">
        <v>85</v>
      </c>
      <c r="G9" s="92">
        <v>7.6</v>
      </c>
      <c r="H9" s="90">
        <v>40</v>
      </c>
      <c r="I9" s="92">
        <v>0.6</v>
      </c>
      <c r="J9" s="8"/>
    </row>
    <row r="10" spans="1:10" ht="15.75" customHeight="1">
      <c r="A10" s="1"/>
      <c r="B10" s="6"/>
      <c r="C10" s="90">
        <v>114</v>
      </c>
      <c r="D10" s="91">
        <v>110</v>
      </c>
      <c r="E10" s="90" t="s">
        <v>247</v>
      </c>
      <c r="F10" s="90">
        <v>61</v>
      </c>
      <c r="G10" s="92">
        <v>8.8000000000000007</v>
      </c>
      <c r="H10" s="90">
        <v>22</v>
      </c>
      <c r="I10" s="92">
        <v>1.55</v>
      </c>
      <c r="J10" s="8"/>
    </row>
    <row r="11" spans="1:10" ht="15.75" customHeight="1">
      <c r="A11" s="1"/>
      <c r="B11" s="6"/>
      <c r="C11" s="90">
        <v>114</v>
      </c>
      <c r="D11" s="91">
        <v>110</v>
      </c>
      <c r="E11" s="90" t="s">
        <v>264</v>
      </c>
      <c r="F11" s="90">
        <v>22</v>
      </c>
      <c r="G11" s="92">
        <v>10.25</v>
      </c>
      <c r="H11" s="90">
        <v>11</v>
      </c>
      <c r="I11" s="92">
        <v>2.85</v>
      </c>
      <c r="J11" s="8"/>
    </row>
    <row r="12" spans="1:10" ht="15.75" customHeight="1">
      <c r="A12" s="1"/>
      <c r="B12" s="6"/>
      <c r="C12" s="90">
        <v>114</v>
      </c>
      <c r="D12" s="91">
        <v>110</v>
      </c>
      <c r="E12" s="90" t="s">
        <v>265</v>
      </c>
      <c r="F12" s="90">
        <v>3</v>
      </c>
      <c r="G12" s="92">
        <v>13.05</v>
      </c>
      <c r="H12" s="90">
        <v>3</v>
      </c>
      <c r="I12" s="92">
        <v>4.7</v>
      </c>
      <c r="J12" s="8"/>
    </row>
    <row r="13" spans="1:10" ht="15.75" customHeight="1">
      <c r="A13" s="1"/>
      <c r="B13" s="6"/>
      <c r="C13" s="98"/>
      <c r="D13" s="99"/>
      <c r="E13" s="98"/>
      <c r="F13" s="98"/>
      <c r="G13" s="98"/>
      <c r="H13" s="98"/>
      <c r="I13" s="98"/>
      <c r="J13" s="8"/>
    </row>
    <row r="14" spans="1:10" ht="15.75" customHeight="1">
      <c r="A14" s="1"/>
      <c r="B14" s="82" t="s">
        <v>187</v>
      </c>
      <c r="C14" s="100" t="s">
        <v>266</v>
      </c>
      <c r="D14" s="99"/>
      <c r="E14" s="91">
        <v>10</v>
      </c>
      <c r="F14" s="98"/>
      <c r="G14" s="98"/>
      <c r="H14" s="98"/>
      <c r="I14" s="101"/>
      <c r="J14" s="8"/>
    </row>
    <row r="15" spans="1:10" ht="15.75" customHeight="1">
      <c r="A15" s="1"/>
      <c r="B15" s="82"/>
      <c r="C15" s="100" t="s">
        <v>267</v>
      </c>
      <c r="D15" s="99"/>
      <c r="E15" s="102">
        <v>110</v>
      </c>
      <c r="F15" s="98"/>
      <c r="G15" s="98"/>
      <c r="H15" s="98"/>
      <c r="I15" s="101"/>
      <c r="J15" s="8"/>
    </row>
    <row r="16" spans="1:10" ht="15.75" customHeight="1">
      <c r="A16" s="1"/>
      <c r="B16" s="82"/>
      <c r="C16" s="100" t="s">
        <v>268</v>
      </c>
      <c r="D16" s="99"/>
      <c r="E16" s="102">
        <v>110</v>
      </c>
      <c r="F16" s="98"/>
      <c r="G16" s="98"/>
      <c r="H16" s="98"/>
      <c r="I16" s="101"/>
      <c r="J16" s="8"/>
    </row>
    <row r="17" spans="1:10" ht="15.75" customHeight="1">
      <c r="A17" s="1"/>
      <c r="B17" s="82" t="s">
        <v>188</v>
      </c>
      <c r="C17" s="100" t="s">
        <v>230</v>
      </c>
      <c r="D17" s="99"/>
      <c r="E17" s="102">
        <v>140</v>
      </c>
      <c r="F17" s="98"/>
      <c r="G17" s="98"/>
      <c r="H17" s="98"/>
      <c r="I17" s="101"/>
      <c r="J17" s="8"/>
    </row>
    <row r="18" spans="1:10" ht="15.75" customHeight="1">
      <c r="A18" s="1"/>
      <c r="B18" s="82"/>
      <c r="C18" s="100" t="s">
        <v>230</v>
      </c>
      <c r="D18" s="99"/>
      <c r="E18" s="102">
        <v>125</v>
      </c>
      <c r="F18" s="98"/>
      <c r="G18" s="98"/>
      <c r="H18" s="98"/>
      <c r="I18" s="101"/>
      <c r="J18" s="8"/>
    </row>
    <row r="19" spans="1:10" ht="15.75" customHeight="1">
      <c r="A19" s="1"/>
      <c r="B19" s="82" t="s">
        <v>189</v>
      </c>
      <c r="C19" s="100" t="s">
        <v>266</v>
      </c>
      <c r="D19" s="99"/>
      <c r="E19" s="103">
        <v>10</v>
      </c>
      <c r="F19" s="98"/>
      <c r="G19" s="98"/>
      <c r="H19" s="98"/>
      <c r="I19" s="101"/>
      <c r="J19" s="8"/>
    </row>
    <row r="20" spans="1:10" ht="15.75" customHeight="1">
      <c r="A20" s="1"/>
      <c r="B20" s="82"/>
      <c r="C20" s="100" t="s">
        <v>230</v>
      </c>
      <c r="D20" s="99"/>
      <c r="E20" s="102">
        <v>104</v>
      </c>
      <c r="F20" s="98"/>
      <c r="G20" s="98"/>
      <c r="H20" s="98"/>
      <c r="I20" s="101"/>
      <c r="J20" s="8"/>
    </row>
    <row r="21" spans="1:10" ht="15.75" customHeight="1">
      <c r="A21" s="1"/>
      <c r="B21" s="82" t="s">
        <v>201</v>
      </c>
      <c r="C21" s="100" t="s">
        <v>269</v>
      </c>
      <c r="D21" s="99"/>
      <c r="E21" s="91">
        <v>10</v>
      </c>
      <c r="F21" s="98"/>
      <c r="G21" s="98"/>
      <c r="H21" s="98"/>
      <c r="I21" s="101"/>
      <c r="J21" s="8"/>
    </row>
    <row r="22" spans="1:10" ht="15.75" customHeight="1">
      <c r="A22" s="1"/>
      <c r="B22" s="82"/>
      <c r="C22" s="100" t="s">
        <v>230</v>
      </c>
      <c r="D22" s="99"/>
      <c r="E22" s="102">
        <v>103</v>
      </c>
      <c r="F22" s="98"/>
      <c r="G22" s="98"/>
      <c r="H22" s="98"/>
      <c r="I22" s="101"/>
      <c r="J22" s="8"/>
    </row>
    <row r="23" spans="1:10" ht="15.75" customHeight="1">
      <c r="A23" s="1"/>
      <c r="B23" s="82"/>
      <c r="C23" s="100" t="s">
        <v>230</v>
      </c>
      <c r="D23" s="99"/>
      <c r="E23" s="102">
        <v>132</v>
      </c>
      <c r="F23" s="98"/>
      <c r="G23" s="98"/>
      <c r="H23" s="98"/>
      <c r="I23" s="101"/>
      <c r="J23" s="8"/>
    </row>
    <row r="24" spans="1:10" ht="15.75" customHeight="1" thickBot="1">
      <c r="A24" s="1"/>
      <c r="B24" s="9"/>
      <c r="C24" s="10"/>
      <c r="D24" s="83"/>
      <c r="E24" s="10"/>
      <c r="F24" s="10"/>
      <c r="G24" s="10"/>
      <c r="H24" s="10"/>
      <c r="I24" s="10"/>
      <c r="J24" s="11"/>
    </row>
    <row r="25" spans="1:10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75" customHeight="1">
      <c r="A26" s="1"/>
      <c r="B26" s="1"/>
      <c r="C26" s="2" t="s">
        <v>2</v>
      </c>
      <c r="D26" s="1"/>
      <c r="E26" s="1"/>
      <c r="F26" s="1"/>
      <c r="G26" s="1"/>
      <c r="H26" s="1"/>
      <c r="I26" s="1"/>
      <c r="J26" s="1"/>
    </row>
    <row r="27" spans="1:10" ht="15.75" customHeight="1" thickBot="1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.75" customHeight="1">
      <c r="A28" s="1"/>
      <c r="B28" s="12"/>
      <c r="C28" s="13"/>
      <c r="D28" s="84"/>
      <c r="E28" s="13"/>
      <c r="F28" s="13"/>
      <c r="G28" s="13"/>
      <c r="H28" s="13"/>
      <c r="I28" s="13"/>
      <c r="J28" s="14"/>
    </row>
    <row r="29" spans="1:10" ht="15.75" customHeight="1">
      <c r="A29" s="1"/>
      <c r="B29" s="74" t="s">
        <v>187</v>
      </c>
      <c r="C29" s="16" t="s">
        <v>54</v>
      </c>
      <c r="D29" s="30">
        <f>E14*100*G9</f>
        <v>7600</v>
      </c>
      <c r="E29" s="16"/>
      <c r="F29" s="16"/>
      <c r="G29" s="16"/>
      <c r="H29" s="16"/>
      <c r="I29" s="16"/>
      <c r="J29" s="17"/>
    </row>
    <row r="30" spans="1:10" ht="15.75" customHeight="1">
      <c r="A30" s="1"/>
      <c r="B30" s="74"/>
      <c r="C30" s="16"/>
      <c r="D30" s="93"/>
      <c r="E30" s="16"/>
      <c r="F30" s="16"/>
      <c r="G30" s="16"/>
      <c r="H30" s="16"/>
      <c r="I30" s="16"/>
      <c r="J30" s="17"/>
    </row>
    <row r="31" spans="1:10" ht="15.75" customHeight="1">
      <c r="A31" s="1"/>
      <c r="B31" s="74" t="s">
        <v>188</v>
      </c>
      <c r="C31" s="16" t="s">
        <v>281</v>
      </c>
      <c r="D31" s="73">
        <f>E14*100*(E17-E15)</f>
        <v>30000</v>
      </c>
      <c r="E31" s="16"/>
      <c r="F31" s="16"/>
      <c r="G31" s="16"/>
      <c r="H31" s="16"/>
      <c r="I31" s="16"/>
      <c r="J31" s="17"/>
    </row>
    <row r="32" spans="1:10" ht="15.75" customHeight="1">
      <c r="A32" s="1"/>
      <c r="B32" s="74"/>
      <c r="C32" s="16" t="s">
        <v>281</v>
      </c>
      <c r="D32" s="73">
        <f>E14*100*(E18-E15)</f>
        <v>15000</v>
      </c>
      <c r="E32" s="16"/>
      <c r="F32" s="16"/>
      <c r="G32" s="16"/>
      <c r="H32" s="16"/>
      <c r="I32" s="16"/>
      <c r="J32" s="17"/>
    </row>
    <row r="33" spans="1:10" ht="15.75" customHeight="1">
      <c r="A33" s="1"/>
      <c r="B33" s="74"/>
      <c r="C33" s="16"/>
      <c r="D33" s="93"/>
      <c r="E33" s="16"/>
      <c r="F33" s="16"/>
      <c r="G33" s="16"/>
      <c r="H33" s="16"/>
      <c r="I33" s="16"/>
      <c r="J33" s="17"/>
    </row>
    <row r="34" spans="1:10" ht="15.75" customHeight="1">
      <c r="A34" s="1"/>
      <c r="B34" s="74" t="s">
        <v>189</v>
      </c>
      <c r="C34" s="16" t="s">
        <v>270</v>
      </c>
      <c r="D34" s="104">
        <f>E19*100*I12</f>
        <v>4700</v>
      </c>
      <c r="E34" s="16"/>
      <c r="F34" s="16"/>
      <c r="G34" s="16"/>
      <c r="H34" s="16"/>
      <c r="I34" s="16"/>
      <c r="J34" s="17"/>
    </row>
    <row r="35" spans="1:10" ht="15.75" customHeight="1">
      <c r="A35" s="1"/>
      <c r="B35" s="74"/>
      <c r="C35" s="16" t="s">
        <v>271</v>
      </c>
      <c r="D35" s="73">
        <f>(E19*100*(D12))-D34</f>
        <v>105300</v>
      </c>
      <c r="E35" s="16"/>
      <c r="F35" s="16"/>
      <c r="G35" s="16"/>
      <c r="H35" s="16"/>
      <c r="I35" s="16"/>
      <c r="J35" s="17"/>
    </row>
    <row r="36" spans="1:10" ht="15.75" customHeight="1">
      <c r="A36" s="1"/>
      <c r="B36" s="74"/>
      <c r="C36" s="16" t="s">
        <v>272</v>
      </c>
      <c r="D36" s="105">
        <f>MAX(E19*100*(E15-E20),0)</f>
        <v>6000</v>
      </c>
      <c r="E36" s="16"/>
      <c r="F36" s="16"/>
      <c r="G36" s="16"/>
      <c r="H36" s="16"/>
      <c r="I36" s="16"/>
      <c r="J36" s="17"/>
    </row>
    <row r="37" spans="1:10" ht="15.75" customHeight="1">
      <c r="A37" s="1"/>
      <c r="B37" s="74"/>
      <c r="C37" s="16" t="s">
        <v>273</v>
      </c>
      <c r="D37" s="73">
        <f>D36-D34</f>
        <v>1300</v>
      </c>
      <c r="E37" s="16"/>
      <c r="F37" s="16"/>
      <c r="G37" s="16"/>
      <c r="H37" s="16"/>
      <c r="I37" s="16"/>
      <c r="J37" s="17"/>
    </row>
    <row r="38" spans="1:10" ht="15.75" customHeight="1">
      <c r="A38" s="1"/>
      <c r="B38" s="74"/>
      <c r="C38" s="16"/>
      <c r="D38" s="34"/>
      <c r="E38" s="16"/>
      <c r="F38" s="16"/>
      <c r="G38" s="16"/>
      <c r="H38" s="16"/>
      <c r="I38" s="16"/>
      <c r="J38" s="17"/>
    </row>
    <row r="39" spans="1:10" ht="15.75" customHeight="1">
      <c r="A39" s="1"/>
      <c r="B39" s="74" t="s">
        <v>201</v>
      </c>
      <c r="C39" s="16" t="s">
        <v>274</v>
      </c>
      <c r="D39" s="69">
        <f>IF(E22&lt;D12,E22-D12,0)</f>
        <v>-7</v>
      </c>
      <c r="E39" s="16"/>
      <c r="F39" s="16"/>
      <c r="G39" s="16"/>
      <c r="H39" s="16"/>
      <c r="I39" s="16"/>
      <c r="J39" s="17"/>
    </row>
    <row r="40" spans="1:10" ht="15.75" customHeight="1">
      <c r="A40" s="1"/>
      <c r="B40" s="74"/>
      <c r="C40" s="16" t="s">
        <v>275</v>
      </c>
      <c r="D40" s="73">
        <f>(E21*100*I12)+(D39*E21*100)</f>
        <v>-2300</v>
      </c>
      <c r="E40" s="16"/>
      <c r="F40" s="16"/>
      <c r="G40" s="16"/>
      <c r="H40" s="16"/>
      <c r="I40" s="16"/>
      <c r="J40" s="17"/>
    </row>
    <row r="41" spans="1:10" ht="15.75" customHeight="1">
      <c r="A41" s="1"/>
      <c r="B41" s="74"/>
      <c r="C41" s="16" t="s">
        <v>274</v>
      </c>
      <c r="D41" s="106">
        <f>IF(E23&lt;D12,E23-D12,0)</f>
        <v>0</v>
      </c>
      <c r="E41" s="16"/>
      <c r="F41" s="16"/>
      <c r="G41" s="16"/>
      <c r="H41" s="16"/>
      <c r="I41" s="16"/>
      <c r="J41" s="17"/>
    </row>
    <row r="42" spans="1:10" ht="15.75" customHeight="1">
      <c r="A42" s="1"/>
      <c r="B42" s="74"/>
      <c r="C42" s="16" t="s">
        <v>276</v>
      </c>
      <c r="D42" s="73">
        <f>(E21*100*I12)+(D41*E21*100)</f>
        <v>4700</v>
      </c>
      <c r="E42" s="16"/>
      <c r="F42" s="16"/>
      <c r="G42" s="16"/>
      <c r="H42" s="16"/>
      <c r="I42" s="16"/>
      <c r="J42" s="17"/>
    </row>
    <row r="43" spans="1:10" ht="15.75" customHeight="1">
      <c r="A43" s="1"/>
      <c r="B43" s="74"/>
      <c r="C43" s="16" t="s">
        <v>277</v>
      </c>
      <c r="D43" s="38">
        <f>-((E21*100*I12)/(E21*100)-E15)</f>
        <v>105.3</v>
      </c>
      <c r="E43" s="16"/>
      <c r="F43" s="16"/>
      <c r="G43" s="16"/>
      <c r="H43" s="16"/>
      <c r="I43" s="16"/>
      <c r="J43" s="17"/>
    </row>
    <row r="44" spans="1:10" ht="15.75" customHeight="1">
      <c r="A44" s="1"/>
      <c r="B44" s="74"/>
      <c r="C44" s="16" t="s">
        <v>278</v>
      </c>
      <c r="D44" s="107"/>
      <c r="E44" s="16"/>
      <c r="F44" s="69">
        <f>D43</f>
        <v>105.3</v>
      </c>
      <c r="G44" s="16" t="s">
        <v>279</v>
      </c>
      <c r="H44" s="16"/>
      <c r="I44" s="16"/>
      <c r="J44" s="17"/>
    </row>
    <row r="45" spans="1:10" ht="15.75" customHeight="1">
      <c r="A45" s="1"/>
      <c r="B45" s="74"/>
      <c r="C45" s="16" t="s">
        <v>280</v>
      </c>
      <c r="D45" s="107"/>
      <c r="E45" s="16"/>
      <c r="F45" s="16"/>
      <c r="G45" s="16"/>
      <c r="H45" s="16"/>
      <c r="I45" s="16"/>
      <c r="J45" s="17"/>
    </row>
    <row r="46" spans="1:10" ht="15.75" customHeight="1" thickBot="1">
      <c r="A46" s="1"/>
      <c r="B46" s="18"/>
      <c r="C46" s="19"/>
      <c r="D46" s="85"/>
      <c r="E46" s="19"/>
      <c r="F46" s="19"/>
      <c r="G46" s="19"/>
      <c r="H46" s="19"/>
      <c r="I46" s="19"/>
      <c r="J46" s="20"/>
    </row>
    <row r="47" spans="1:10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ht="15.75" customHeight="1"/>
    <row r="181" spans="1:10" ht="15.75" customHeight="1"/>
    <row r="182" spans="1:10" ht="15.75" customHeight="1"/>
    <row r="183" spans="1:10" ht="15.75" customHeight="1"/>
    <row r="184" spans="1:10" ht="15.75" customHeight="1"/>
    <row r="185" spans="1:10" ht="15.75" customHeight="1"/>
    <row r="186" spans="1:10" ht="15.75" customHeight="1"/>
    <row r="187" spans="1:10" ht="15.75" customHeight="1"/>
    <row r="188" spans="1:10" ht="15.75" customHeight="1"/>
    <row r="189" spans="1:10" ht="15.75" customHeight="1"/>
    <row r="190" spans="1:10" ht="15.75" customHeight="1"/>
    <row r="191" spans="1:10" ht="15.75" customHeight="1"/>
    <row r="192" spans="1:10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</sheetData>
  <phoneticPr fontId="2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J154"/>
  <sheetViews>
    <sheetView workbookViewId="0"/>
  </sheetViews>
  <sheetFormatPr defaultRowHeight="12.75"/>
  <cols>
    <col min="2" max="2" width="3.140625" customWidth="1"/>
    <col min="3" max="4" width="18.140625" customWidth="1"/>
    <col min="5" max="5" width="3.140625" customWidth="1"/>
  </cols>
  <sheetData>
    <row r="1" spans="1:10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</row>
    <row r="2" spans="1:10" ht="15.75" customHeight="1">
      <c r="A2" s="1"/>
      <c r="B2" s="1"/>
      <c r="C2" s="1" t="s">
        <v>9</v>
      </c>
      <c r="D2" s="1"/>
      <c r="E2" s="1"/>
      <c r="F2" s="1"/>
      <c r="G2" s="1"/>
      <c r="H2" s="1"/>
      <c r="I2" s="1"/>
      <c r="J2" s="1"/>
    </row>
    <row r="3" spans="1:10" ht="15.7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3"/>
      <c r="C6" s="4"/>
      <c r="D6" s="81"/>
      <c r="E6" s="5"/>
      <c r="F6" s="1"/>
      <c r="G6" s="1"/>
      <c r="H6" s="1"/>
      <c r="I6" s="1"/>
      <c r="J6" s="1"/>
    </row>
    <row r="7" spans="1:10" ht="15.75" customHeight="1">
      <c r="A7" s="1"/>
      <c r="B7" s="6"/>
      <c r="C7" s="7" t="s">
        <v>282</v>
      </c>
      <c r="D7" s="21">
        <v>74</v>
      </c>
      <c r="E7" s="8"/>
      <c r="F7" s="1"/>
      <c r="G7" s="1"/>
      <c r="H7" s="1"/>
      <c r="I7" s="1"/>
      <c r="J7" s="1"/>
    </row>
    <row r="8" spans="1:10" ht="15.75" customHeight="1">
      <c r="A8" s="1"/>
      <c r="B8" s="6"/>
      <c r="C8" s="7" t="s">
        <v>283</v>
      </c>
      <c r="D8" s="21">
        <v>96</v>
      </c>
      <c r="E8" s="8"/>
      <c r="F8" s="1"/>
      <c r="G8" s="1"/>
      <c r="H8" s="1"/>
      <c r="I8" s="1"/>
      <c r="J8" s="1"/>
    </row>
    <row r="9" spans="1:10" ht="15.75" customHeight="1">
      <c r="A9" s="1"/>
      <c r="B9" s="6"/>
      <c r="C9" s="7" t="s">
        <v>229</v>
      </c>
      <c r="D9" s="108">
        <v>0.05</v>
      </c>
      <c r="E9" s="8"/>
      <c r="F9" s="1"/>
      <c r="G9" s="1"/>
      <c r="H9" s="1"/>
      <c r="I9" s="1"/>
      <c r="J9" s="1"/>
    </row>
    <row r="10" spans="1:10" ht="15.75" customHeight="1">
      <c r="A10" s="1"/>
      <c r="B10" s="82" t="s">
        <v>187</v>
      </c>
      <c r="C10" s="7" t="s">
        <v>284</v>
      </c>
      <c r="D10" s="21">
        <v>80</v>
      </c>
      <c r="E10" s="8"/>
      <c r="F10" s="1"/>
      <c r="G10" s="1"/>
      <c r="H10" s="1"/>
      <c r="I10" s="1"/>
      <c r="J10" s="1"/>
    </row>
    <row r="11" spans="1:10" ht="15.75" customHeight="1">
      <c r="A11" s="1"/>
      <c r="B11" s="82"/>
      <c r="C11" s="7" t="s">
        <v>8</v>
      </c>
      <c r="D11" s="21">
        <v>70</v>
      </c>
      <c r="E11" s="8"/>
      <c r="F11" s="1"/>
      <c r="G11" s="1"/>
      <c r="H11" s="1"/>
      <c r="I11" s="1"/>
      <c r="J11" s="1"/>
    </row>
    <row r="12" spans="1:10" ht="15.75" customHeight="1">
      <c r="A12" s="1"/>
      <c r="B12" s="82" t="s">
        <v>188</v>
      </c>
      <c r="C12" s="7" t="s">
        <v>8</v>
      </c>
      <c r="D12" s="21">
        <v>90</v>
      </c>
      <c r="E12" s="8"/>
      <c r="F12" s="1"/>
      <c r="G12" s="1"/>
      <c r="H12" s="1"/>
      <c r="I12" s="1"/>
      <c r="J12" s="1"/>
    </row>
    <row r="13" spans="1:10" ht="15.75" customHeight="1" thickBot="1">
      <c r="A13" s="1"/>
      <c r="B13" s="9"/>
      <c r="C13" s="10"/>
      <c r="D13" s="83"/>
      <c r="E13" s="11"/>
      <c r="F13" s="1"/>
      <c r="G13" s="1"/>
      <c r="H13" s="1"/>
      <c r="I13" s="1"/>
      <c r="J13" s="1"/>
    </row>
    <row r="14" spans="1:10" ht="15.75" customHeight="1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ht="15.75" customHeight="1">
      <c r="A15" s="1"/>
      <c r="B15" s="1"/>
      <c r="C15" s="2" t="s">
        <v>2</v>
      </c>
      <c r="D15" s="1"/>
      <c r="E15" s="1"/>
      <c r="F15" s="1"/>
      <c r="G15" s="1"/>
      <c r="H15" s="1"/>
      <c r="I15" s="1"/>
      <c r="J15" s="1"/>
    </row>
    <row r="16" spans="1:10" ht="15.75" customHeight="1" thickBot="1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5.75" customHeight="1">
      <c r="A17" s="1"/>
      <c r="B17" s="12"/>
      <c r="C17" s="13"/>
      <c r="D17" s="84"/>
      <c r="E17" s="14"/>
      <c r="F17" s="1"/>
      <c r="G17" s="1"/>
      <c r="H17" s="1"/>
      <c r="I17" s="1"/>
      <c r="J17" s="1"/>
    </row>
    <row r="18" spans="1:10" ht="18" customHeight="1">
      <c r="A18" s="1"/>
      <c r="B18" s="74" t="s">
        <v>187</v>
      </c>
      <c r="C18" s="16" t="s">
        <v>285</v>
      </c>
      <c r="D18" s="30">
        <f>MAX(D10-(D11/(1+D9)),0)</f>
        <v>13.333333333333343</v>
      </c>
      <c r="E18" s="17"/>
      <c r="F18" s="1"/>
      <c r="G18" s="1"/>
      <c r="H18" s="1"/>
      <c r="I18" s="1"/>
      <c r="J18" s="1"/>
    </row>
    <row r="19" spans="1:10" ht="15.75" customHeight="1">
      <c r="A19" s="1"/>
      <c r="B19" s="74"/>
      <c r="C19" s="16"/>
      <c r="D19" s="34"/>
      <c r="E19" s="17"/>
      <c r="F19" s="1"/>
      <c r="G19" s="1"/>
      <c r="H19" s="1"/>
      <c r="I19" s="1"/>
      <c r="J19" s="1"/>
    </row>
    <row r="20" spans="1:10" ht="18" customHeight="1">
      <c r="A20" s="1"/>
      <c r="B20" s="74" t="s">
        <v>188</v>
      </c>
      <c r="C20" s="16" t="s">
        <v>285</v>
      </c>
      <c r="D20" s="30">
        <f>MAX((D10-(D7/(1+D9)))/((D8-D7)/(D8-D12)),0)</f>
        <v>2.5974025974026</v>
      </c>
      <c r="E20" s="17"/>
      <c r="F20" s="1"/>
      <c r="G20" s="1"/>
      <c r="H20" s="1"/>
      <c r="I20" s="1"/>
      <c r="J20" s="1"/>
    </row>
    <row r="21" spans="1:10" ht="15.75" customHeight="1" thickBot="1">
      <c r="A21" s="1"/>
      <c r="B21" s="18"/>
      <c r="C21" s="19"/>
      <c r="D21" s="85"/>
      <c r="E21" s="20"/>
      <c r="F21" s="1"/>
      <c r="G21" s="1"/>
      <c r="H21" s="1"/>
      <c r="I21" s="1"/>
      <c r="J21" s="1"/>
    </row>
    <row r="22" spans="1:10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ht="1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ht="1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ht="1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ht="1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ht="1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ht="1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ht="1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ht="1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ht="1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ht="1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ht="1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ht="1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ht="15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ht="15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ht="15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ht="15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ht="15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ht="15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ht="15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ht="15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ht="15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ht="15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ht="15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ht="15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ht="15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ht="15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ht="15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ht="15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ht="15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ht="15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ht="15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ht="15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ht="15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ht="15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ht="15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ht="15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ht="15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ht="15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ht="15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ht="15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ht="15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ht="15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ht="15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ht="15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ht="15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ht="15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ht="15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ht="15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ht="15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ht="15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ht="15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ht="15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ht="15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ht="15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ht="15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ht="15">
      <c r="A154" s="1"/>
      <c r="B154" s="1"/>
      <c r="C154" s="1"/>
      <c r="D154" s="1"/>
      <c r="E154" s="1"/>
      <c r="F154" s="1"/>
      <c r="G154" s="1"/>
      <c r="H154" s="1"/>
      <c r="I154" s="1"/>
      <c r="J154" s="1"/>
    </row>
  </sheetData>
  <phoneticPr fontId="2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J154"/>
  <sheetViews>
    <sheetView workbookViewId="0"/>
  </sheetViews>
  <sheetFormatPr defaultRowHeight="12.75"/>
  <cols>
    <col min="2" max="2" width="3.140625" customWidth="1"/>
    <col min="3" max="4" width="18.140625" customWidth="1"/>
    <col min="5" max="5" width="3.140625" customWidth="1"/>
  </cols>
  <sheetData>
    <row r="1" spans="1:10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</row>
    <row r="2" spans="1:10" ht="15.75" customHeight="1">
      <c r="A2" s="1"/>
      <c r="B2" s="1"/>
      <c r="C2" s="1" t="s">
        <v>12</v>
      </c>
      <c r="D2" s="1"/>
      <c r="E2" s="1"/>
      <c r="F2" s="1"/>
      <c r="G2" s="1"/>
      <c r="H2" s="1"/>
      <c r="I2" s="1"/>
      <c r="J2" s="1"/>
    </row>
    <row r="3" spans="1:10" ht="15.7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3"/>
      <c r="C6" s="4"/>
      <c r="D6" s="81"/>
      <c r="E6" s="5"/>
      <c r="F6" s="1"/>
      <c r="G6" s="1"/>
      <c r="H6" s="1"/>
      <c r="I6" s="1"/>
      <c r="J6" s="1"/>
    </row>
    <row r="7" spans="1:10" ht="15.75" customHeight="1">
      <c r="A7" s="1"/>
      <c r="B7" s="6"/>
      <c r="C7" s="7" t="s">
        <v>282</v>
      </c>
      <c r="D7" s="21">
        <v>50</v>
      </c>
      <c r="E7" s="8"/>
      <c r="F7" s="1"/>
      <c r="G7" s="1"/>
      <c r="H7" s="1"/>
      <c r="I7" s="1"/>
      <c r="J7" s="1"/>
    </row>
    <row r="8" spans="1:10" ht="15.75" customHeight="1">
      <c r="A8" s="1"/>
      <c r="B8" s="6"/>
      <c r="C8" s="7" t="s">
        <v>283</v>
      </c>
      <c r="D8" s="21">
        <v>70</v>
      </c>
      <c r="E8" s="8"/>
      <c r="F8" s="1"/>
      <c r="G8" s="1"/>
      <c r="H8" s="1"/>
      <c r="I8" s="1"/>
      <c r="J8" s="1"/>
    </row>
    <row r="9" spans="1:10" ht="15.75" customHeight="1">
      <c r="A9" s="1"/>
      <c r="B9" s="6"/>
      <c r="C9" s="7" t="s">
        <v>229</v>
      </c>
      <c r="D9" s="108">
        <v>0.05</v>
      </c>
      <c r="E9" s="8"/>
      <c r="F9" s="1"/>
      <c r="G9" s="1"/>
      <c r="H9" s="1"/>
      <c r="I9" s="1"/>
      <c r="J9" s="1"/>
    </row>
    <row r="10" spans="1:10" ht="15.75" customHeight="1">
      <c r="A10" s="1"/>
      <c r="B10" s="82" t="s">
        <v>187</v>
      </c>
      <c r="C10" s="7" t="s">
        <v>284</v>
      </c>
      <c r="D10" s="21">
        <v>62</v>
      </c>
      <c r="E10" s="8"/>
      <c r="F10" s="1"/>
      <c r="G10" s="1"/>
      <c r="H10" s="1"/>
      <c r="I10" s="1"/>
      <c r="J10" s="1"/>
    </row>
    <row r="11" spans="1:10" ht="15.75" customHeight="1">
      <c r="A11" s="1"/>
      <c r="B11" s="82"/>
      <c r="C11" s="7" t="s">
        <v>8</v>
      </c>
      <c r="D11" s="21">
        <v>35</v>
      </c>
      <c r="E11" s="8"/>
      <c r="F11" s="1"/>
      <c r="G11" s="1"/>
      <c r="H11" s="1"/>
      <c r="I11" s="1"/>
      <c r="J11" s="1"/>
    </row>
    <row r="12" spans="1:10" ht="15.75" customHeight="1">
      <c r="A12" s="1"/>
      <c r="B12" s="82" t="s">
        <v>188</v>
      </c>
      <c r="C12" s="7" t="s">
        <v>8</v>
      </c>
      <c r="D12" s="21">
        <v>60</v>
      </c>
      <c r="E12" s="8"/>
      <c r="F12" s="1"/>
      <c r="G12" s="1"/>
      <c r="H12" s="1"/>
      <c r="I12" s="1"/>
      <c r="J12" s="1"/>
    </row>
    <row r="13" spans="1:10" ht="15.75" customHeight="1" thickBot="1">
      <c r="A13" s="1"/>
      <c r="B13" s="9"/>
      <c r="C13" s="10"/>
      <c r="D13" s="83"/>
      <c r="E13" s="11"/>
      <c r="F13" s="1"/>
      <c r="G13" s="1"/>
      <c r="H13" s="1"/>
      <c r="I13" s="1"/>
      <c r="J13" s="1"/>
    </row>
    <row r="14" spans="1:10" ht="15.75" customHeight="1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ht="15.75" customHeight="1">
      <c r="A15" s="1"/>
      <c r="B15" s="1"/>
      <c r="C15" s="2" t="s">
        <v>2</v>
      </c>
      <c r="D15" s="1"/>
      <c r="E15" s="1"/>
      <c r="F15" s="1"/>
      <c r="G15" s="1"/>
      <c r="H15" s="1"/>
      <c r="I15" s="1"/>
      <c r="J15" s="1"/>
    </row>
    <row r="16" spans="1:10" ht="15.75" customHeight="1" thickBot="1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5.75" customHeight="1">
      <c r="A17" s="1"/>
      <c r="B17" s="12"/>
      <c r="C17" s="13"/>
      <c r="D17" s="84"/>
      <c r="E17" s="14"/>
      <c r="F17" s="1"/>
      <c r="G17" s="1"/>
      <c r="H17" s="1"/>
      <c r="I17" s="1"/>
      <c r="J17" s="1"/>
    </row>
    <row r="18" spans="1:10" ht="18" customHeight="1">
      <c r="A18" s="1"/>
      <c r="B18" s="74" t="s">
        <v>187</v>
      </c>
      <c r="C18" s="16" t="s">
        <v>285</v>
      </c>
      <c r="D18" s="30">
        <f>MAX(D10-(D11/(1+D9)),0)</f>
        <v>28.666666666666671</v>
      </c>
      <c r="E18" s="17"/>
      <c r="F18" s="1"/>
      <c r="G18" s="1"/>
      <c r="H18" s="1"/>
      <c r="I18" s="1"/>
      <c r="J18" s="1"/>
    </row>
    <row r="19" spans="1:10" ht="15.75" customHeight="1">
      <c r="A19" s="1"/>
      <c r="B19" s="74"/>
      <c r="C19" s="16"/>
      <c r="D19" s="34"/>
      <c r="E19" s="17"/>
      <c r="F19" s="1"/>
      <c r="G19" s="1"/>
      <c r="H19" s="1"/>
      <c r="I19" s="1"/>
      <c r="J19" s="1"/>
    </row>
    <row r="20" spans="1:10" ht="18" customHeight="1">
      <c r="A20" s="1"/>
      <c r="B20" s="74" t="s">
        <v>188</v>
      </c>
      <c r="C20" s="16" t="s">
        <v>285</v>
      </c>
      <c r="D20" s="30">
        <f>MAX((D10-(D7/(1+D9)))/((D8-D7)/(D8-D12)),0)</f>
        <v>7.1904761904761898</v>
      </c>
      <c r="E20" s="17"/>
      <c r="F20" s="1"/>
      <c r="G20" s="1"/>
      <c r="H20" s="1"/>
      <c r="I20" s="1"/>
      <c r="J20" s="1"/>
    </row>
    <row r="21" spans="1:10" ht="15.75" customHeight="1" thickBot="1">
      <c r="A21" s="1"/>
      <c r="B21" s="18"/>
      <c r="C21" s="19"/>
      <c r="D21" s="85"/>
      <c r="E21" s="20"/>
      <c r="F21" s="1"/>
      <c r="G21" s="1"/>
      <c r="H21" s="1"/>
      <c r="I21" s="1"/>
      <c r="J21" s="1"/>
    </row>
    <row r="22" spans="1:10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ht="1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ht="1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ht="1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ht="1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ht="1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ht="1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ht="1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ht="1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ht="1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ht="1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ht="1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ht="1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ht="15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ht="15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ht="15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ht="15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ht="15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ht="15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ht="15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ht="15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ht="15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ht="15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ht="15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ht="15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ht="15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ht="15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ht="15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ht="15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ht="15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ht="15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ht="15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ht="15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ht="15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ht="15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ht="15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ht="15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ht="15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ht="15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ht="15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ht="15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ht="15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ht="15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ht="15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ht="15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ht="15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ht="15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ht="15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ht="15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ht="15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ht="15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ht="15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ht="15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ht="15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ht="15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ht="15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ht="15">
      <c r="A154" s="1"/>
      <c r="B154" s="1"/>
      <c r="C154" s="1"/>
      <c r="D154" s="1"/>
      <c r="E154" s="1"/>
      <c r="F154" s="1"/>
      <c r="G154" s="1"/>
      <c r="H154" s="1"/>
      <c r="I154" s="1"/>
      <c r="J154" s="1"/>
    </row>
  </sheetData>
  <phoneticPr fontId="2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K31"/>
  <sheetViews>
    <sheetView workbookViewId="0"/>
  </sheetViews>
  <sheetFormatPr defaultRowHeight="12.75"/>
  <cols>
    <col min="2" max="2" width="3.140625" customWidth="1"/>
    <col min="3" max="3" width="19.5703125" customWidth="1"/>
    <col min="4" max="4" width="18.1406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13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5</v>
      </c>
      <c r="D7" s="21">
        <v>38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8</v>
      </c>
      <c r="D8" s="21">
        <v>40</v>
      </c>
      <c r="E8" s="8"/>
      <c r="F8" s="1"/>
      <c r="G8" s="1"/>
      <c r="H8" s="1"/>
      <c r="I8" s="1"/>
      <c r="J8" s="1"/>
      <c r="K8" s="1"/>
    </row>
    <row r="9" spans="1:11" ht="15">
      <c r="A9" s="1"/>
      <c r="B9" s="6"/>
      <c r="C9" s="7" t="s">
        <v>6</v>
      </c>
      <c r="D9" s="24">
        <v>3.8</v>
      </c>
      <c r="E9" s="8"/>
      <c r="F9" s="1"/>
      <c r="G9" s="1"/>
      <c r="H9" s="1"/>
      <c r="I9" s="1"/>
      <c r="J9" s="1"/>
      <c r="K9" s="1"/>
    </row>
    <row r="10" spans="1:11" ht="15">
      <c r="A10" s="1"/>
      <c r="B10" s="6"/>
      <c r="C10" s="7" t="s">
        <v>10</v>
      </c>
      <c r="D10" s="27">
        <v>3</v>
      </c>
      <c r="E10" s="8"/>
      <c r="F10" s="1"/>
      <c r="G10" s="1"/>
      <c r="H10" s="1"/>
      <c r="I10" s="1"/>
      <c r="J10" s="1"/>
      <c r="K10" s="1"/>
    </row>
    <row r="11" spans="1:11" ht="15">
      <c r="A11" s="1"/>
      <c r="B11" s="6"/>
      <c r="C11" s="7" t="s">
        <v>7</v>
      </c>
      <c r="D11" s="25">
        <v>2.5999999999999999E-2</v>
      </c>
      <c r="E11" s="8"/>
      <c r="F11" s="1"/>
      <c r="G11" s="1"/>
      <c r="H11" s="1"/>
      <c r="I11" s="1"/>
      <c r="J11" s="1"/>
      <c r="K11" s="1"/>
    </row>
    <row r="12" spans="1:11" ht="15.75" thickBot="1">
      <c r="A12" s="1"/>
      <c r="B12" s="9"/>
      <c r="C12" s="10"/>
      <c r="D12" s="10"/>
      <c r="E12" s="11"/>
      <c r="F12" s="1"/>
      <c r="G12" s="1"/>
      <c r="H12" s="1"/>
      <c r="I12" s="1"/>
      <c r="J12" s="1"/>
      <c r="K12" s="1"/>
    </row>
    <row r="13" spans="1:11" ht="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">
      <c r="A14" s="1"/>
      <c r="B14" s="1"/>
      <c r="C14" s="2" t="s">
        <v>2</v>
      </c>
      <c r="D14" s="1"/>
      <c r="E14" s="1"/>
      <c r="F14" s="1"/>
      <c r="G14" s="1"/>
      <c r="H14" s="1"/>
      <c r="I14" s="1"/>
      <c r="J14" s="1"/>
      <c r="K14" s="1"/>
    </row>
    <row r="15" spans="1:11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">
      <c r="A16" s="1"/>
      <c r="B16" s="12"/>
      <c r="C16" s="13"/>
      <c r="D16" s="13"/>
      <c r="E16" s="14"/>
      <c r="F16" s="1"/>
      <c r="G16" s="1"/>
      <c r="H16" s="1"/>
      <c r="I16" s="1"/>
      <c r="J16" s="1"/>
      <c r="K16" s="1"/>
    </row>
    <row r="17" spans="1:11" ht="15.75">
      <c r="A17" s="1"/>
      <c r="B17" s="15"/>
      <c r="C17" s="16" t="s">
        <v>175</v>
      </c>
      <c r="D17" s="30">
        <f>(D8*EXP(-D11*(D10/12))+D9)-D7</f>
        <v>5.5408431721379046</v>
      </c>
      <c r="E17" s="17"/>
      <c r="F17" s="1"/>
      <c r="G17" s="1"/>
      <c r="H17" s="1"/>
      <c r="I17" s="1"/>
      <c r="J17" s="1"/>
      <c r="K17" s="1"/>
    </row>
    <row r="18" spans="1:11" ht="15.75" thickBot="1">
      <c r="A18" s="1"/>
      <c r="B18" s="18"/>
      <c r="C18" s="19"/>
      <c r="D18" s="19"/>
      <c r="E18" s="20"/>
      <c r="F18" s="1"/>
      <c r="G18" s="1"/>
      <c r="H18" s="1"/>
      <c r="I18" s="1"/>
      <c r="J18" s="1"/>
      <c r="K18" s="1"/>
    </row>
    <row r="19" spans="1:11" ht="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K31"/>
  <sheetViews>
    <sheetView workbookViewId="0"/>
  </sheetViews>
  <sheetFormatPr defaultRowHeight="12.75"/>
  <cols>
    <col min="2" max="2" width="3.140625" customWidth="1"/>
    <col min="3" max="3" width="19.5703125" customWidth="1"/>
    <col min="4" max="4" width="18.1406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14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10</v>
      </c>
      <c r="D7" s="27">
        <v>6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8</v>
      </c>
      <c r="D8" s="21">
        <v>65</v>
      </c>
      <c r="E8" s="8"/>
      <c r="F8" s="1"/>
      <c r="G8" s="1"/>
      <c r="H8" s="1"/>
      <c r="I8" s="1"/>
      <c r="J8" s="1"/>
      <c r="K8" s="1"/>
    </row>
    <row r="9" spans="1:11" ht="15">
      <c r="A9" s="1"/>
      <c r="B9" s="6"/>
      <c r="C9" s="7" t="s">
        <v>11</v>
      </c>
      <c r="D9" s="24">
        <v>4.8899999999999997</v>
      </c>
      <c r="E9" s="8"/>
      <c r="F9" s="1"/>
      <c r="G9" s="1"/>
      <c r="H9" s="1"/>
      <c r="I9" s="1"/>
      <c r="J9" s="1"/>
      <c r="K9" s="1"/>
    </row>
    <row r="10" spans="1:11" ht="15">
      <c r="A10" s="1"/>
      <c r="B10" s="6"/>
      <c r="C10" s="7" t="s">
        <v>5</v>
      </c>
      <c r="D10" s="21">
        <v>61</v>
      </c>
      <c r="E10" s="8"/>
      <c r="F10" s="1"/>
      <c r="G10" s="1"/>
      <c r="H10" s="1"/>
      <c r="I10" s="1"/>
      <c r="J10" s="1"/>
      <c r="K10" s="1"/>
    </row>
    <row r="11" spans="1:11" ht="15">
      <c r="A11" s="1"/>
      <c r="B11" s="6"/>
      <c r="C11" s="7" t="s">
        <v>7</v>
      </c>
      <c r="D11" s="25">
        <v>3.5999999999999997E-2</v>
      </c>
      <c r="E11" s="8"/>
      <c r="F11" s="1"/>
      <c r="G11" s="1"/>
      <c r="H11" s="1"/>
      <c r="I11" s="1"/>
      <c r="J11" s="1"/>
      <c r="K11" s="1"/>
    </row>
    <row r="12" spans="1:11" ht="15.75" thickBot="1">
      <c r="A12" s="1"/>
      <c r="B12" s="9"/>
      <c r="C12" s="10"/>
      <c r="D12" s="10"/>
      <c r="E12" s="11"/>
      <c r="F12" s="1"/>
      <c r="G12" s="1"/>
      <c r="H12" s="1"/>
      <c r="I12" s="1"/>
      <c r="J12" s="1"/>
      <c r="K12" s="1"/>
    </row>
    <row r="13" spans="1:11" ht="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">
      <c r="A14" s="1"/>
      <c r="B14" s="1"/>
      <c r="C14" s="2" t="s">
        <v>2</v>
      </c>
      <c r="D14" s="1"/>
      <c r="E14" s="1"/>
      <c r="F14" s="1"/>
      <c r="G14" s="1"/>
      <c r="H14" s="1"/>
      <c r="I14" s="1"/>
      <c r="J14" s="1"/>
      <c r="K14" s="1"/>
    </row>
    <row r="15" spans="1:11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">
      <c r="A16" s="1"/>
      <c r="B16" s="12"/>
      <c r="C16" s="13"/>
      <c r="D16" s="13"/>
      <c r="E16" s="14"/>
      <c r="F16" s="1"/>
      <c r="G16" s="1"/>
      <c r="H16" s="1"/>
      <c r="I16" s="1"/>
      <c r="J16" s="1"/>
      <c r="K16" s="1"/>
    </row>
    <row r="17" spans="1:11" ht="15.75">
      <c r="A17" s="1"/>
      <c r="B17" s="15"/>
      <c r="C17" s="16" t="s">
        <v>176</v>
      </c>
      <c r="D17" s="30">
        <f>((D10+D9)-(D8*EXP(-D11*(D7/12))))</f>
        <v>2.0495328967104527</v>
      </c>
      <c r="E17" s="17"/>
      <c r="F17" s="1"/>
      <c r="G17" s="1"/>
      <c r="H17" s="1"/>
      <c r="I17" s="1"/>
      <c r="J17" s="1"/>
      <c r="K17" s="1"/>
    </row>
    <row r="18" spans="1:11" ht="15.75" thickBot="1">
      <c r="A18" s="1"/>
      <c r="B18" s="18"/>
      <c r="C18" s="19"/>
      <c r="D18" s="19"/>
      <c r="E18" s="20"/>
      <c r="F18" s="1"/>
      <c r="G18" s="1"/>
      <c r="H18" s="1"/>
      <c r="I18" s="1"/>
      <c r="J18" s="1"/>
      <c r="K18" s="1"/>
    </row>
    <row r="19" spans="1:11" ht="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K31"/>
  <sheetViews>
    <sheetView workbookViewId="0"/>
  </sheetViews>
  <sheetFormatPr defaultRowHeight="12.75"/>
  <cols>
    <col min="2" max="2" width="3.140625" customWidth="1"/>
    <col min="3" max="3" width="19.5703125" customWidth="1"/>
    <col min="4" max="4" width="18.140625" customWidth="1"/>
    <col min="5" max="5" width="3.140625" customWidth="1"/>
  </cols>
  <sheetData>
    <row r="1" spans="1:11" ht="18">
      <c r="A1" s="1"/>
      <c r="B1" s="1"/>
      <c r="C1" s="61" t="s">
        <v>345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15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4"/>
      <c r="E6" s="5"/>
      <c r="F6" s="1"/>
      <c r="G6" s="1"/>
      <c r="H6" s="1"/>
      <c r="I6" s="1"/>
      <c r="J6" s="1"/>
      <c r="K6" s="1"/>
    </row>
    <row r="7" spans="1:11" ht="15">
      <c r="A7" s="1"/>
      <c r="B7" s="6"/>
      <c r="C7" s="7" t="s">
        <v>8</v>
      </c>
      <c r="D7" s="21">
        <v>85</v>
      </c>
      <c r="E7" s="8"/>
      <c r="F7" s="1"/>
      <c r="G7" s="1"/>
      <c r="H7" s="1"/>
      <c r="I7" s="1"/>
      <c r="J7" s="1"/>
      <c r="K7" s="1"/>
    </row>
    <row r="8" spans="1:11" ht="15">
      <c r="A8" s="1"/>
      <c r="B8" s="6"/>
      <c r="C8" s="7" t="s">
        <v>10</v>
      </c>
      <c r="D8" s="27">
        <v>3</v>
      </c>
      <c r="E8" s="8"/>
      <c r="F8" s="1"/>
      <c r="G8" s="1"/>
      <c r="H8" s="1"/>
      <c r="I8" s="1"/>
      <c r="J8" s="1"/>
      <c r="K8" s="1"/>
    </row>
    <row r="9" spans="1:11" ht="15">
      <c r="A9" s="1"/>
      <c r="B9" s="6"/>
      <c r="C9" s="7" t="s">
        <v>11</v>
      </c>
      <c r="D9" s="24">
        <v>2.4</v>
      </c>
      <c r="E9" s="8"/>
      <c r="F9" s="1"/>
      <c r="G9" s="1"/>
      <c r="H9" s="1"/>
      <c r="I9" s="1"/>
      <c r="J9" s="1"/>
      <c r="K9" s="1"/>
    </row>
    <row r="10" spans="1:11" ht="15">
      <c r="A10" s="1"/>
      <c r="B10" s="6"/>
      <c r="C10" s="7" t="s">
        <v>6</v>
      </c>
      <c r="D10" s="24">
        <v>5.09</v>
      </c>
      <c r="E10" s="8"/>
      <c r="F10" s="1"/>
      <c r="G10" s="1"/>
      <c r="H10" s="1"/>
      <c r="I10" s="1"/>
      <c r="J10" s="1"/>
      <c r="K10" s="1"/>
    </row>
    <row r="11" spans="1:11" ht="15">
      <c r="A11" s="1"/>
      <c r="B11" s="6"/>
      <c r="C11" s="7" t="s">
        <v>7</v>
      </c>
      <c r="D11" s="25">
        <v>4.8000000000000001E-2</v>
      </c>
      <c r="E11" s="8"/>
      <c r="F11" s="1"/>
      <c r="G11" s="1"/>
      <c r="H11" s="1"/>
      <c r="I11" s="1"/>
      <c r="J11" s="1"/>
      <c r="K11" s="1"/>
    </row>
    <row r="12" spans="1:11" ht="15.75" thickBot="1">
      <c r="A12" s="1"/>
      <c r="B12" s="9"/>
      <c r="C12" s="10"/>
      <c r="D12" s="10"/>
      <c r="E12" s="11"/>
      <c r="F12" s="1"/>
      <c r="G12" s="1"/>
      <c r="H12" s="1"/>
      <c r="I12" s="1"/>
      <c r="J12" s="1"/>
      <c r="K12" s="1"/>
    </row>
    <row r="13" spans="1:11" ht="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">
      <c r="A14" s="1"/>
      <c r="B14" s="1"/>
      <c r="C14" s="2" t="s">
        <v>2</v>
      </c>
      <c r="D14" s="1"/>
      <c r="E14" s="1"/>
      <c r="F14" s="1"/>
      <c r="G14" s="1"/>
      <c r="H14" s="1"/>
      <c r="I14" s="1"/>
      <c r="J14" s="1"/>
      <c r="K14" s="1"/>
    </row>
    <row r="15" spans="1:11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">
      <c r="A16" s="1"/>
      <c r="B16" s="12"/>
      <c r="C16" s="13"/>
      <c r="D16" s="13"/>
      <c r="E16" s="14"/>
      <c r="F16" s="1"/>
      <c r="G16" s="1"/>
      <c r="H16" s="1"/>
      <c r="I16" s="1"/>
      <c r="J16" s="1"/>
      <c r="K16" s="1"/>
    </row>
    <row r="17" spans="1:11" ht="15.75">
      <c r="A17" s="1"/>
      <c r="B17" s="15"/>
      <c r="C17" s="16" t="s">
        <v>26</v>
      </c>
      <c r="D17" s="30">
        <f>D7*EXP(-D11*(D8/12))+D10-D9</f>
        <v>86.676095593264094</v>
      </c>
      <c r="E17" s="17"/>
      <c r="F17" s="1"/>
      <c r="G17" s="1"/>
      <c r="H17" s="1"/>
      <c r="I17" s="1"/>
      <c r="J17" s="1"/>
      <c r="K17" s="1"/>
    </row>
    <row r="18" spans="1:11" ht="15.75" thickBot="1">
      <c r="A18" s="1"/>
      <c r="B18" s="18"/>
      <c r="C18" s="19"/>
      <c r="D18" s="19"/>
      <c r="E18" s="20"/>
      <c r="F18" s="1"/>
      <c r="G18" s="1"/>
      <c r="H18" s="1"/>
      <c r="I18" s="1"/>
      <c r="J18" s="1"/>
      <c r="K18" s="1"/>
    </row>
    <row r="19" spans="1:11" ht="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39</vt:i4>
      </vt:variant>
    </vt:vector>
  </HeadingPairs>
  <TitlesOfParts>
    <vt:vector size="39" baseType="lpstr">
      <vt:lpstr>Chapter 22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  <vt:lpstr>#19</vt:lpstr>
      <vt:lpstr>#20</vt:lpstr>
      <vt:lpstr>#21</vt:lpstr>
      <vt:lpstr>#22</vt:lpstr>
      <vt:lpstr>#23</vt:lpstr>
      <vt:lpstr>#24</vt:lpstr>
      <vt:lpstr>#25</vt:lpstr>
      <vt:lpstr>#26</vt:lpstr>
      <vt:lpstr>#27</vt:lpstr>
      <vt:lpstr>#28</vt:lpstr>
      <vt:lpstr>#29</vt:lpstr>
      <vt:lpstr>#30</vt:lpstr>
      <vt:lpstr>#31</vt:lpstr>
      <vt:lpstr>#32</vt:lpstr>
      <vt:lpstr>#33</vt:lpstr>
      <vt:lpstr>#34</vt:lpstr>
      <vt:lpstr>#35</vt:lpstr>
      <vt:lpstr>#36</vt:lpstr>
      <vt:lpstr>#37</vt:lpstr>
      <vt:lpstr>#38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2005-05-11T23:00:37Z</cp:lastPrinted>
  <dcterms:created xsi:type="dcterms:W3CDTF">2002-06-04T02:22:38Z</dcterms:created>
  <dcterms:modified xsi:type="dcterms:W3CDTF">2012-11-06T10:57:02Z</dcterms:modified>
</cp:coreProperties>
</file>