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210" windowWidth="11100" windowHeight="6345"/>
  </bookViews>
  <sheets>
    <sheet name="Chapter 9" sheetId="23" r:id="rId1"/>
    <sheet name="#1" sheetId="1" r:id="rId2"/>
    <sheet name="#2" sheetId="2" r:id="rId3"/>
    <sheet name="#3" sheetId="3" r:id="rId4"/>
    <sheet name="#4" sheetId="4" r:id="rId5"/>
    <sheet name="#5" sheetId="5" r:id="rId6"/>
    <sheet name="#6" sheetId="6" r:id="rId7"/>
    <sheet name="#7" sheetId="7" r:id="rId8"/>
    <sheet name="#8" sheetId="8" r:id="rId9"/>
    <sheet name="#9" sheetId="25" r:id="rId10"/>
    <sheet name="#10" sheetId="43" r:id="rId11"/>
    <sheet name="#11" sheetId="9" r:id="rId12"/>
    <sheet name="#12" sheetId="10" r:id="rId13"/>
    <sheet name="#13" sheetId="11" r:id="rId14"/>
    <sheet name="#14" sheetId="12" r:id="rId15"/>
    <sheet name="#15" sheetId="13" r:id="rId16"/>
    <sheet name="#16" sheetId="14" r:id="rId17"/>
    <sheet name="#17" sheetId="16" r:id="rId18"/>
    <sheet name="#18" sheetId="17" r:id="rId19"/>
    <sheet name="#19" sheetId="18" r:id="rId20"/>
    <sheet name="#20" sheetId="19" r:id="rId21"/>
    <sheet name="#21" sheetId="26" r:id="rId22"/>
    <sheet name="#22" sheetId="28" r:id="rId23"/>
    <sheet name="#23" sheetId="30" r:id="rId24"/>
    <sheet name="#24" sheetId="31" r:id="rId25"/>
    <sheet name="#25" sheetId="32" r:id="rId26"/>
    <sheet name="#26" sheetId="33" r:id="rId27"/>
    <sheet name="#27" sheetId="41" r:id="rId28"/>
    <sheet name="#28" sheetId="35" r:id="rId29"/>
    <sheet name="#29" sheetId="36" r:id="rId30"/>
    <sheet name="#30" sheetId="44" r:id="rId31"/>
    <sheet name="#31" sheetId="45" r:id="rId32"/>
    <sheet name="#32" sheetId="46" r:id="rId33"/>
    <sheet name="#33" sheetId="20" r:id="rId34"/>
    <sheet name="#34" sheetId="21" r:id="rId35"/>
    <sheet name="#35" sheetId="40" r:id="rId36"/>
    <sheet name="#36,37" sheetId="22" r:id="rId37"/>
    <sheet name="#37 Answer Report" sheetId="47" r:id="rId38"/>
    <sheet name="#38" sheetId="39" r:id="rId39"/>
  </sheets>
  <definedNames>
    <definedName name="solver_adj" localSheetId="36" hidden="1">'#36,37'!$D$7</definedName>
    <definedName name="solver_cvg" localSheetId="36" hidden="1">0.0001</definedName>
    <definedName name="solver_drv" localSheetId="36" hidden="1">1</definedName>
    <definedName name="solver_eng" localSheetId="36" hidden="1">1</definedName>
    <definedName name="solver_est" localSheetId="36" hidden="1">1</definedName>
    <definedName name="solver_itr" localSheetId="36" hidden="1">100</definedName>
    <definedName name="solver_lin" localSheetId="36" hidden="1">2</definedName>
    <definedName name="solver_mip" localSheetId="36" hidden="1">2147483647</definedName>
    <definedName name="solver_mni" localSheetId="36" hidden="1">30</definedName>
    <definedName name="solver_mrt" localSheetId="36" hidden="1">0.075</definedName>
    <definedName name="solver_msl" localSheetId="36" hidden="1">2</definedName>
    <definedName name="solver_neg" localSheetId="36" hidden="1">2</definedName>
    <definedName name="solver_nod" localSheetId="36" hidden="1">2147483647</definedName>
    <definedName name="solver_num" localSheetId="36" hidden="1">0</definedName>
    <definedName name="solver_nwt" localSheetId="36" hidden="1">1</definedName>
    <definedName name="solver_opt" localSheetId="36" hidden="1">'#36,37'!$D$21</definedName>
    <definedName name="solver_pre" localSheetId="36" hidden="1">0.000001</definedName>
    <definedName name="solver_rbv" localSheetId="36" hidden="1">1</definedName>
    <definedName name="solver_rlx" localSheetId="36" hidden="1">1</definedName>
    <definedName name="solver_rsd" localSheetId="36" hidden="1">0</definedName>
    <definedName name="solver_scl" localSheetId="36" hidden="1">2</definedName>
    <definedName name="solver_sho" localSheetId="36" hidden="1">2</definedName>
    <definedName name="solver_ssz" localSheetId="36" hidden="1">100</definedName>
    <definedName name="solver_tim" localSheetId="36" hidden="1">100</definedName>
    <definedName name="solver_tol" localSheetId="36" hidden="1">0.05</definedName>
    <definedName name="solver_typ" localSheetId="36" hidden="1">3</definedName>
    <definedName name="solver_val" localSheetId="36" hidden="1">78.43</definedName>
    <definedName name="solver_ver" localSheetId="36" hidden="1">3</definedName>
  </definedNames>
  <calcPr calcId="114210"/>
</workbook>
</file>

<file path=xl/calcChain.xml><?xml version="1.0" encoding="utf-8"?>
<calcChain xmlns="http://schemas.openxmlformats.org/spreadsheetml/2006/main">
  <c r="E21" i="39"/>
  <c r="D43" i="46"/>
  <c r="D41"/>
  <c r="D21" i="14"/>
  <c r="D19" i="21"/>
  <c r="C16" i="10"/>
  <c r="E25" i="39"/>
  <c r="E24"/>
  <c r="E22"/>
  <c r="D30" i="46"/>
  <c r="E30"/>
  <c r="F30"/>
  <c r="G30"/>
  <c r="H30"/>
  <c r="I30"/>
  <c r="D26"/>
  <c r="E26"/>
  <c r="F26"/>
  <c r="G26"/>
  <c r="H26"/>
  <c r="D25"/>
  <c r="E25"/>
  <c r="F25"/>
  <c r="G25"/>
  <c r="H25"/>
  <c r="I25"/>
  <c r="D19" i="45"/>
  <c r="D18"/>
  <c r="D17" i="44"/>
  <c r="D19"/>
  <c r="D21"/>
  <c r="D15"/>
  <c r="D16" i="43"/>
  <c r="C16"/>
  <c r="D15"/>
  <c r="C15"/>
  <c r="H27" i="46"/>
  <c r="H28"/>
  <c r="H29"/>
  <c r="H31"/>
  <c r="I26"/>
  <c r="I27"/>
  <c r="I28"/>
  <c r="I29"/>
  <c r="F27"/>
  <c r="F28"/>
  <c r="F29"/>
  <c r="F31"/>
  <c r="E27"/>
  <c r="E28"/>
  <c r="E29"/>
  <c r="E31"/>
  <c r="G27"/>
  <c r="G28"/>
  <c r="G29"/>
  <c r="G31"/>
  <c r="D27"/>
  <c r="D20" i="45"/>
  <c r="D22"/>
  <c r="D24"/>
  <c r="D26"/>
  <c r="D20" i="1"/>
  <c r="D19"/>
  <c r="C20"/>
  <c r="C19"/>
  <c r="D18"/>
  <c r="C18"/>
  <c r="D19" i="22"/>
  <c r="D21"/>
  <c r="E20" i="40"/>
  <c r="D21" i="19"/>
  <c r="D19"/>
  <c r="D17"/>
  <c r="D15" i="18"/>
  <c r="D17"/>
  <c r="D18" i="12"/>
  <c r="D20"/>
  <c r="D16" i="10"/>
  <c r="D18"/>
  <c r="D14" i="6"/>
  <c r="D16"/>
  <c r="E19" i="39"/>
  <c r="D17" i="41"/>
  <c r="D27"/>
  <c r="D19"/>
  <c r="D20"/>
  <c r="D21"/>
  <c r="E17" i="40"/>
  <c r="E19"/>
  <c r="E21"/>
  <c r="D22"/>
  <c r="E20" i="39"/>
  <c r="E23"/>
  <c r="E26"/>
  <c r="E28"/>
  <c r="D24"/>
  <c r="D25"/>
  <c r="D22"/>
  <c r="D18" i="36"/>
  <c r="D20"/>
  <c r="D25"/>
  <c r="D22"/>
  <c r="D23"/>
  <c r="D30" i="35"/>
  <c r="D27"/>
  <c r="D28"/>
  <c r="D21"/>
  <c r="D22"/>
  <c r="D25" i="33"/>
  <c r="D27"/>
  <c r="D21"/>
  <c r="D23"/>
  <c r="D17"/>
  <c r="D19"/>
  <c r="D18" i="32"/>
  <c r="D20"/>
  <c r="D19" i="31"/>
  <c r="D17"/>
  <c r="D16" i="30"/>
  <c r="D18"/>
  <c r="D20"/>
  <c r="D22"/>
  <c r="D16" i="28"/>
  <c r="D20"/>
  <c r="D22"/>
  <c r="D18" i="26"/>
  <c r="D19"/>
  <c r="D15" i="25"/>
  <c r="D17"/>
  <c r="D17" i="11"/>
  <c r="D18"/>
  <c r="D19"/>
  <c r="D20"/>
  <c r="D21"/>
  <c r="D22"/>
  <c r="D23"/>
  <c r="D24"/>
  <c r="D25"/>
  <c r="D26"/>
  <c r="D15" i="16"/>
  <c r="D9" i="3"/>
  <c r="D8"/>
  <c r="D7"/>
  <c r="D15"/>
  <c r="D16" i="13"/>
  <c r="D18"/>
  <c r="D19" i="14"/>
  <c r="D23"/>
  <c r="D25"/>
  <c r="D15" i="17"/>
  <c r="D36" i="20"/>
  <c r="D37"/>
  <c r="D38"/>
  <c r="D39"/>
  <c r="D32"/>
  <c r="D33"/>
  <c r="D34"/>
  <c r="D28"/>
  <c r="D29"/>
  <c r="D30"/>
  <c r="D24"/>
  <c r="D25"/>
  <c r="D26"/>
  <c r="D15" i="2"/>
  <c r="D20" i="21"/>
  <c r="D17"/>
  <c r="D17" i="3"/>
  <c r="D15" i="4"/>
  <c r="D14" i="5"/>
  <c r="D15" i="7"/>
  <c r="D14" i="8"/>
  <c r="D21" i="9"/>
  <c r="D22"/>
  <c r="D23"/>
  <c r="D25"/>
  <c r="D23" i="19"/>
  <c r="E22" i="40"/>
  <c r="E24"/>
  <c r="E26"/>
  <c r="D21" i="21"/>
  <c r="D23"/>
  <c r="I31" i="46"/>
  <c r="D33"/>
  <c r="D35"/>
  <c r="D28"/>
  <c r="D29"/>
  <c r="D31"/>
  <c r="D27" i="36"/>
  <c r="D29"/>
  <c r="D31"/>
  <c r="D32" i="35"/>
  <c r="D34"/>
  <c r="D23"/>
  <c r="D25"/>
  <c r="D36"/>
  <c r="D23" i="41"/>
  <c r="D25"/>
  <c r="D21" i="31"/>
  <c r="D23"/>
  <c r="D21" i="26"/>
  <c r="D23"/>
  <c r="D28" i="11"/>
  <c r="D18" i="28"/>
  <c r="D24"/>
  <c r="D37" i="46"/>
  <c r="D39"/>
  <c r="D45"/>
</calcChain>
</file>

<file path=xl/sharedStrings.xml><?xml version="1.0" encoding="utf-8"?>
<sst xmlns="http://schemas.openxmlformats.org/spreadsheetml/2006/main" count="572" uniqueCount="302">
  <si>
    <t>Question 3</t>
  </si>
  <si>
    <t>Input area:</t>
  </si>
  <si>
    <t>Output area:</t>
  </si>
  <si>
    <t>Question 1</t>
  </si>
  <si>
    <t>Dividend paid</t>
  </si>
  <si>
    <t>Dividend growth rate</t>
  </si>
  <si>
    <t>Required return</t>
  </si>
  <si>
    <t>Question 2</t>
  </si>
  <si>
    <t>Question 4</t>
  </si>
  <si>
    <t>Question 5</t>
  </si>
  <si>
    <t>Question 6</t>
  </si>
  <si>
    <t>Stock price</t>
  </si>
  <si>
    <t>Question 7</t>
  </si>
  <si>
    <t>Years until dividend ceases</t>
  </si>
  <si>
    <t>Current dividend</t>
  </si>
  <si>
    <t>Question 8</t>
  </si>
  <si>
    <t>Share price</t>
  </si>
  <si>
    <t>Question 9</t>
  </si>
  <si>
    <t>Initial required return</t>
  </si>
  <si>
    <t>Second required return</t>
  </si>
  <si>
    <t>Initial # of years</t>
  </si>
  <si>
    <t>Second # of years</t>
  </si>
  <si>
    <t>Final required return</t>
  </si>
  <si>
    <t>Question 10</t>
  </si>
  <si>
    <t>Years until first dividend</t>
  </si>
  <si>
    <t>Future dividend</t>
  </si>
  <si>
    <t>Dividend</t>
  </si>
  <si>
    <t>Question 12</t>
  </si>
  <si>
    <t>Dividend one</t>
  </si>
  <si>
    <t>Dividend two</t>
  </si>
  <si>
    <t>Dividend three</t>
  </si>
  <si>
    <t>Dividend four</t>
  </si>
  <si>
    <t>Question 13</t>
  </si>
  <si>
    <t>Question 14</t>
  </si>
  <si>
    <t>Initial dividend growth rate</t>
  </si>
  <si>
    <t>Second growth rate</t>
  </si>
  <si>
    <t>Final growth rate</t>
  </si>
  <si>
    <t>Question 15</t>
  </si>
  <si>
    <t>Question 16</t>
  </si>
  <si>
    <t>Question 17</t>
  </si>
  <si>
    <t>Years until dividend begins</t>
  </si>
  <si>
    <t>Question 18</t>
  </si>
  <si>
    <t>Dividend yield</t>
  </si>
  <si>
    <t>Change in price</t>
  </si>
  <si>
    <t>P/E ratio</t>
  </si>
  <si>
    <t>Commons shares outstanding</t>
  </si>
  <si>
    <t>Question 19</t>
  </si>
  <si>
    <t>Most recent dividend</t>
  </si>
  <si>
    <t>Stock X dividend growth rate</t>
  </si>
  <si>
    <t>Stock W dividend growth rate</t>
  </si>
  <si>
    <t>Stock Y dividend growth rate</t>
  </si>
  <si>
    <t>Stock Z:</t>
  </si>
  <si>
    <t>Initial growth rate</t>
  </si>
  <si>
    <t>Dividend yields:</t>
  </si>
  <si>
    <t>In all cases, the required return is 20%, but this return is distributed</t>
  </si>
  <si>
    <t>differently between current income and capital gains. High growth</t>
  </si>
  <si>
    <t xml:space="preserve">stocks have an appreciable capital gains component but a </t>
  </si>
  <si>
    <t>relatively small current income yield; conversely, mature, negative-</t>
  </si>
  <si>
    <t>growth stocks provide a high current income but also price</t>
  </si>
  <si>
    <t>depreciation over time.</t>
  </si>
  <si>
    <t>Question 20</t>
  </si>
  <si>
    <t># of dividends per year</t>
  </si>
  <si>
    <t>Year 1 dividend growth rate</t>
  </si>
  <si>
    <t>Year 2 dividend growth rate</t>
  </si>
  <si>
    <t>Year 3 dividend growth rate</t>
  </si>
  <si>
    <t>Input boxes in tan</t>
  </si>
  <si>
    <t>Output boxes in yellow</t>
  </si>
  <si>
    <t>Given data in blue</t>
  </si>
  <si>
    <t>Calculations in red</t>
  </si>
  <si>
    <t>Answers in green</t>
  </si>
  <si>
    <t>a.</t>
  </si>
  <si>
    <t>b.</t>
  </si>
  <si>
    <t>Year 4 dividend growth rate</t>
  </si>
  <si>
    <r>
      <t>X D</t>
    </r>
    <r>
      <rPr>
        <vertAlign val="subscript"/>
        <sz val="12"/>
        <color indexed="10"/>
        <rFont val="Arial"/>
        <family val="2"/>
      </rPr>
      <t>0</t>
    </r>
  </si>
  <si>
    <t>Year</t>
  </si>
  <si>
    <t>Years of growth</t>
  </si>
  <si>
    <t>use the "Solver" or "Goal Seek" functions.</t>
  </si>
  <si>
    <t>Price at end of supernormal growth</t>
  </si>
  <si>
    <t>Earnings</t>
  </si>
  <si>
    <t>ROE</t>
  </si>
  <si>
    <t>Retention ratio</t>
  </si>
  <si>
    <t>Growth rate</t>
  </si>
  <si>
    <t>Next year's earnings</t>
  </si>
  <si>
    <t xml:space="preserve">Dividend of </t>
  </si>
  <si>
    <t>years</t>
  </si>
  <si>
    <t>in</t>
  </si>
  <si>
    <t xml:space="preserve">Selling price of </t>
  </si>
  <si>
    <t>Tax rate</t>
  </si>
  <si>
    <t>First dividend aftertax</t>
  </si>
  <si>
    <t>Second dividend aftertax</t>
  </si>
  <si>
    <t>Stock price today</t>
  </si>
  <si>
    <t>Amount of investment</t>
  </si>
  <si>
    <t>Shares owned</t>
  </si>
  <si>
    <t>Question 21</t>
  </si>
  <si>
    <t>Question 22</t>
  </si>
  <si>
    <t>Dividend next quarter</t>
  </si>
  <si>
    <t>Quarters of constant dividend</t>
  </si>
  <si>
    <t>Annual required return</t>
  </si>
  <si>
    <t>Quarterly required return</t>
  </si>
  <si>
    <t>PV of fixed dividends</t>
  </si>
  <si>
    <t>PV of stock at end of no growth</t>
  </si>
  <si>
    <t>Years of constant dividends</t>
  </si>
  <si>
    <t>Constant dividend factor</t>
  </si>
  <si>
    <t>Future stock price factor</t>
  </si>
  <si>
    <t>Total constant factor</t>
  </si>
  <si>
    <t>Next year's dividend</t>
  </si>
  <si>
    <t>Question 24</t>
  </si>
  <si>
    <t>Question 25</t>
  </si>
  <si>
    <t>Net income</t>
  </si>
  <si>
    <t>Payout ratio</t>
  </si>
  <si>
    <t>Shares of stock outstanding</t>
  </si>
  <si>
    <t>Current dividends per share</t>
  </si>
  <si>
    <t>Dividend next year</t>
  </si>
  <si>
    <t>Question 26</t>
  </si>
  <si>
    <t>Previous dividend payment</t>
  </si>
  <si>
    <t xml:space="preserve">Years since previous dividend </t>
  </si>
  <si>
    <t>Years dividend will grow at historic rate</t>
  </si>
  <si>
    <t>Dividend growth rate after</t>
  </si>
  <si>
    <t>Historic growth rate</t>
  </si>
  <si>
    <t>Year to calculate dividend</t>
  </si>
  <si>
    <t>Dividend in requested year</t>
  </si>
  <si>
    <t>Question 27</t>
  </si>
  <si>
    <t>Shares outstanding</t>
  </si>
  <si>
    <t>Current earnings</t>
  </si>
  <si>
    <t>Additional earnings</t>
  </si>
  <si>
    <t>b)</t>
  </si>
  <si>
    <t xml:space="preserve">a) </t>
  </si>
  <si>
    <t>Value of company's stock</t>
  </si>
  <si>
    <t>c)</t>
  </si>
  <si>
    <t>Revenues</t>
  </si>
  <si>
    <t>Total costs</t>
  </si>
  <si>
    <t>Revenue growth rate</t>
  </si>
  <si>
    <t>Cost growth rate</t>
  </si>
  <si>
    <t>Discount rate</t>
  </si>
  <si>
    <t>Initial outlay for new project</t>
  </si>
  <si>
    <t>Outlay next year for new project</t>
  </si>
  <si>
    <t>Perpetual profit level for new project</t>
  </si>
  <si>
    <t>PV of revenues</t>
  </si>
  <si>
    <t>PV of costs</t>
  </si>
  <si>
    <t>PV of future dividends</t>
  </si>
  <si>
    <t>Current share price</t>
  </si>
  <si>
    <t>PV of next year's outlay</t>
  </si>
  <si>
    <t>Total PV of cash outlays</t>
  </si>
  <si>
    <t>PV of earnings increase</t>
  </si>
  <si>
    <t>Increase in value of company</t>
  </si>
  <si>
    <t>Increase in share price</t>
  </si>
  <si>
    <t>New share price</t>
  </si>
  <si>
    <t>Question 30</t>
  </si>
  <si>
    <t>Cash cow company value</t>
  </si>
  <si>
    <t>Cash cow stock price</t>
  </si>
  <si>
    <t>NPVGO per share</t>
  </si>
  <si>
    <t>NPVGO</t>
  </si>
  <si>
    <t>Question 31</t>
  </si>
  <si>
    <t>Perpetual earnings/dividend</t>
  </si>
  <si>
    <t>Year for investment opportunity</t>
  </si>
  <si>
    <t>Percentage of earnings invested</t>
  </si>
  <si>
    <t>Percentage return on project</t>
  </si>
  <si>
    <t>Growth rate of investment</t>
  </si>
  <si>
    <t>Amount reinvested every year</t>
  </si>
  <si>
    <t>Investment dollar return</t>
  </si>
  <si>
    <t>Value of investment in year</t>
  </si>
  <si>
    <t>NPVGO value of today</t>
  </si>
  <si>
    <t>Question 32</t>
  </si>
  <si>
    <t>Earnings per year</t>
  </si>
  <si>
    <t>Growth rate in earnings</t>
  </si>
  <si>
    <t>Year for new project</t>
  </si>
  <si>
    <t>Earnings percentage to fund project</t>
  </si>
  <si>
    <t>Increase in earnings from project</t>
  </si>
  <si>
    <t>EPS/Dividends per share</t>
  </si>
  <si>
    <t>Value of firm with learning curve</t>
  </si>
  <si>
    <t>EPS in year of investment opportunity</t>
  </si>
  <si>
    <t>Initial required investment in year</t>
  </si>
  <si>
    <t>Increase in EPS from project</t>
  </si>
  <si>
    <t>Value of increased earnings in year</t>
  </si>
  <si>
    <t xml:space="preserve">NPVGO in year </t>
  </si>
  <si>
    <t>NPVGO today</t>
  </si>
  <si>
    <t>EPS</t>
  </si>
  <si>
    <t>Investment one year from today</t>
  </si>
  <si>
    <t>Increase in EPS 2 years from today</t>
  </si>
  <si>
    <t>Increase in EPS 3 years from today</t>
  </si>
  <si>
    <t>Value today of Year 2 EPS increase</t>
  </si>
  <si>
    <t>Value today of Year 3 EPS increase</t>
  </si>
  <si>
    <t>Value today of investment cost</t>
  </si>
  <si>
    <t>Share price in 4 years</t>
  </si>
  <si>
    <t>Question 28</t>
  </si>
  <si>
    <t xml:space="preserve">NOTE: Some functions used in these spreadsheets may require that </t>
  </si>
  <si>
    <t>the "Analysis ToolPak" or "Solver Add-in" be installed in Excel.</t>
  </si>
  <si>
    <t xml:space="preserve">Required return </t>
  </si>
  <si>
    <t xml:space="preserve">Dividend yield  </t>
  </si>
  <si>
    <t xml:space="preserve">Capital gains yield  </t>
  </si>
  <si>
    <t xml:space="preserve">Price </t>
  </si>
  <si>
    <t xml:space="preserve">Required return  </t>
  </si>
  <si>
    <t xml:space="preserve">Current dividend  </t>
  </si>
  <si>
    <t xml:space="preserve">Share price </t>
  </si>
  <si>
    <t xml:space="preserve">Present value at beginning of final period </t>
  </si>
  <si>
    <t xml:space="preserve">Present value at beginning of second period </t>
  </si>
  <si>
    <t xml:space="preserve">Present value at beginning of initial period </t>
  </si>
  <si>
    <t>Year 4 price</t>
  </si>
  <si>
    <t>Dividend growth rate for 3 years</t>
  </si>
  <si>
    <t>Dividend growth rate thereafter</t>
  </si>
  <si>
    <r>
      <t>P</t>
    </r>
    <r>
      <rPr>
        <vertAlign val="subscript"/>
        <sz val="12"/>
        <rFont val="Arial"/>
        <family val="2"/>
      </rPr>
      <t>4</t>
    </r>
    <r>
      <rPr>
        <sz val="12"/>
        <rFont val="Arial"/>
        <family val="2"/>
      </rPr>
      <t xml:space="preserve"> </t>
    </r>
  </si>
  <si>
    <t xml:space="preserve">Current dividend </t>
  </si>
  <si>
    <t xml:space="preserve">Next year's dividend </t>
  </si>
  <si>
    <t>Price 1 year before dividend</t>
  </si>
  <si>
    <t xml:space="preserve">Yesterday's closing price </t>
  </si>
  <si>
    <t xml:space="preserve">Earnings per share </t>
  </si>
  <si>
    <t xml:space="preserve">Net income </t>
  </si>
  <si>
    <t>Last price</t>
  </si>
  <si>
    <t>Question 23</t>
  </si>
  <si>
    <t>Question 35</t>
  </si>
  <si>
    <t xml:space="preserve">Stock W price </t>
  </si>
  <si>
    <t xml:space="preserve">Dividend yield </t>
  </si>
  <si>
    <t xml:space="preserve">Capital gains yield </t>
  </si>
  <si>
    <t xml:space="preserve">Stock X price </t>
  </si>
  <si>
    <t xml:space="preserve">Stock Y price </t>
  </si>
  <si>
    <t xml:space="preserve">Stock Z price at final rate </t>
  </si>
  <si>
    <t xml:space="preserve">Stock Z current price </t>
  </si>
  <si>
    <t xml:space="preserve">Next four dividends </t>
  </si>
  <si>
    <t xml:space="preserve">Effective quarterly rate </t>
  </si>
  <si>
    <t xml:space="preserve">Effective first dividend </t>
  </si>
  <si>
    <t>Year 3 stock price</t>
  </si>
  <si>
    <t>PV of future stock price today</t>
  </si>
  <si>
    <t>To install these:</t>
  </si>
  <si>
    <t>1) Click the Microsoft Office Button, and then click Excel Options</t>
  </si>
  <si>
    <t>2) Click Add-Ins, and then in the Manage box, select Add-ins.</t>
  </si>
  <si>
    <t>3) Click Go.</t>
  </si>
  <si>
    <t>4) In the Add-Ins available box, select the Solver Add-in and Analysis ToolPak check boxes, and then click OK.</t>
  </si>
  <si>
    <t xml:space="preserve">5) After you load the Solver Add-in, the Solver command is available in the Analysis group on the Data tab. </t>
  </si>
  <si>
    <t>Chapter 9</t>
  </si>
  <si>
    <t>Problems 1-38</t>
  </si>
  <si>
    <t>Question 38</t>
  </si>
  <si>
    <t>Questions 36, 37</t>
  </si>
  <si>
    <t xml:space="preserve">To solve problem #37, adjust the required return until </t>
  </si>
  <si>
    <t>Question 34</t>
  </si>
  <si>
    <t>Question 33</t>
  </si>
  <si>
    <t>Question 11</t>
  </si>
  <si>
    <t>Requested year</t>
  </si>
  <si>
    <t>Benchmark PE</t>
  </si>
  <si>
    <t>Input Area:</t>
  </si>
  <si>
    <t>Earnings growth rate</t>
  </si>
  <si>
    <t>Output Area:</t>
  </si>
  <si>
    <t>Current stock price</t>
  </si>
  <si>
    <t>Next year's EPS</t>
  </si>
  <si>
    <t>Target stock price next year</t>
  </si>
  <si>
    <t>c.</t>
  </si>
  <si>
    <t>Implicit return</t>
  </si>
  <si>
    <t>Costs</t>
  </si>
  <si>
    <t>Sales</t>
  </si>
  <si>
    <t>EBITDA</t>
  </si>
  <si>
    <t>EV/EBITDA multiple</t>
  </si>
  <si>
    <t>Debt</t>
  </si>
  <si>
    <t>Cash</t>
  </si>
  <si>
    <t>Enterprise value (EV)</t>
  </si>
  <si>
    <t>Equity value</t>
  </si>
  <si>
    <t>Year 1</t>
  </si>
  <si>
    <t>Year 2</t>
  </si>
  <si>
    <t>Year 3</t>
  </si>
  <si>
    <t>Year 4</t>
  </si>
  <si>
    <t>Year 5</t>
  </si>
  <si>
    <t>Pretax profit</t>
  </si>
  <si>
    <t>Year 6</t>
  </si>
  <si>
    <t>Taxes</t>
  </si>
  <si>
    <t>Net investment</t>
  </si>
  <si>
    <t>Cash flow</t>
  </si>
  <si>
    <t>Revenue, cost, and investment growth</t>
  </si>
  <si>
    <t>Year 7 cash flow</t>
  </si>
  <si>
    <t>Terminal value in Year 6</t>
  </si>
  <si>
    <t>Value of company today</t>
  </si>
  <si>
    <t>Price per share</t>
  </si>
  <si>
    <t>Year 6 teminal value</t>
  </si>
  <si>
    <t>Terminal PE ratio</t>
  </si>
  <si>
    <t>Terminal growth rate</t>
  </si>
  <si>
    <t>Microsoft Excel 14.0 Answer Report</t>
  </si>
  <si>
    <t>Worksheet: [Jaffe 10th edition Chapter 09.xlsx]#36,37</t>
  </si>
  <si>
    <t>Report Created: 10/19/2011 12:08:14 PM</t>
  </si>
  <si>
    <t>Result: Solver found a solution.  All Constraints and optimality conditions are satisfied.</t>
  </si>
  <si>
    <t>Solver Engine</t>
  </si>
  <si>
    <t>Engine: GRG Nonlinear</t>
  </si>
  <si>
    <t>Solution Time: 0.032 Seconds.</t>
  </si>
  <si>
    <t>Iterations: 2 Subproblems: 0</t>
  </si>
  <si>
    <t>Solver Options</t>
  </si>
  <si>
    <t>Max Time 100 sec,  Iterations 100, Precision 0.000001</t>
  </si>
  <si>
    <t xml:space="preserve"> Convergence 0.0001, Population Size 100, Random Seed 0, Derivatives Forward, Require Bounds</t>
  </si>
  <si>
    <t>Max Subproblems Unlimited, Max Integer Sols Unlimited, Integer Tolerance 5%, Solve Without Integer Constraints</t>
  </si>
  <si>
    <t>Objective Cell (Value Of)</t>
  </si>
  <si>
    <t>Cell</t>
  </si>
  <si>
    <t>Name</t>
  </si>
  <si>
    <t>Original Value</t>
  </si>
  <si>
    <t>Final Value</t>
  </si>
  <si>
    <t>Variable Cells</t>
  </si>
  <si>
    <t>Integer</t>
  </si>
  <si>
    <t>Constraints</t>
  </si>
  <si>
    <t>Cell Value</t>
  </si>
  <si>
    <t>Formula</t>
  </si>
  <si>
    <t>Status</t>
  </si>
  <si>
    <t>Slack</t>
  </si>
  <si>
    <t>$D$21</t>
  </si>
  <si>
    <t>$D$7</t>
  </si>
  <si>
    <t>Contin</t>
  </si>
  <si>
    <t>$D$21=78.43</t>
  </si>
  <si>
    <t>Binding</t>
  </si>
  <si>
    <t>the share price is equal to $78.43. Alternatively, you could</t>
  </si>
</sst>
</file>

<file path=xl/styles.xml><?xml version="1.0" encoding="utf-8"?>
<styleSheet xmlns="http://schemas.openxmlformats.org/spreadsheetml/2006/main">
  <numFmts count="13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%"/>
    <numFmt numFmtId="167" formatCode="_(* #,##0.00_);_(* \(#,##0.00\);_(* &quot;-&quot;_);_(@_)"/>
    <numFmt numFmtId="168" formatCode="_(&quot;$&quot;* #,##0.000_);_(&quot;$&quot;* \(#,##0.000\);_(&quot;$&quot;* &quot;-&quot;??_);_(@_)"/>
    <numFmt numFmtId="169" formatCode="_(&quot;$&quot;* #,##0.0000_);_(&quot;$&quot;* \(#,##0.0000\);_(&quot;$&quot;* &quot;-&quot;??_);_(@_)"/>
    <numFmt numFmtId="170" formatCode="_(&quot;$&quot;* #,##0.00_);_(&quot;$&quot;* \(#,##0.00\);_(&quot;$&quot;* &quot;-&quot;_);_(@_)"/>
    <numFmt numFmtId="171" formatCode="_(* #,##0.0000_);_(* \(#,##0.0000\);_(* &quot;-&quot;????_);_(@_)"/>
    <numFmt numFmtId="172" formatCode="_(* #,##0.0_);_(* \(#,##0.0\);_(* &quot;-&quot;_);_(@_)"/>
  </numFmts>
  <fonts count="3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48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b/>
      <sz val="12"/>
      <color indexed="57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vertAlign val="subscript"/>
      <sz val="12"/>
      <name val="Arial"/>
      <family val="2"/>
    </font>
    <font>
      <vertAlign val="subscript"/>
      <sz val="12"/>
      <color indexed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b/>
      <sz val="10"/>
      <color indexed="9"/>
      <name val="Arial"/>
      <family val="2"/>
    </font>
    <font>
      <b/>
      <i/>
      <sz val="12"/>
      <name val="Arial"/>
      <family val="2"/>
    </font>
    <font>
      <b/>
      <sz val="12"/>
      <color indexed="57"/>
      <name val="Arial"/>
      <family val="2"/>
    </font>
    <font>
      <i/>
      <u/>
      <sz val="12"/>
      <name val="Arial"/>
      <family val="2"/>
    </font>
    <font>
      <i/>
      <u val="singleAccounting"/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6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2" fillId="0" borderId="0" xfId="0" applyFont="1" applyBorder="1"/>
    <xf numFmtId="0" fontId="2" fillId="2" borderId="1" xfId="0" applyFont="1" applyFill="1" applyBorder="1"/>
    <xf numFmtId="0" fontId="3" fillId="2" borderId="2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0" xfId="0" applyFont="1" applyFill="1" applyBorder="1" applyAlignment="1"/>
    <xf numFmtId="0" fontId="2" fillId="3" borderId="0" xfId="0" applyFont="1" applyFill="1" applyBorder="1"/>
    <xf numFmtId="0" fontId="2" fillId="3" borderId="5" xfId="0" applyFont="1" applyFill="1" applyBorder="1"/>
    <xf numFmtId="41" fontId="5" fillId="3" borderId="0" xfId="2" applyNumberFormat="1" applyFont="1" applyFill="1" applyBorder="1"/>
    <xf numFmtId="44" fontId="7" fillId="3" borderId="9" xfId="2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4" fontId="7" fillId="3" borderId="0" xfId="2" applyFont="1" applyFill="1" applyBorder="1"/>
    <xf numFmtId="44" fontId="7" fillId="3" borderId="9" xfId="2" applyNumberFormat="1" applyFont="1" applyFill="1" applyBorder="1"/>
    <xf numFmtId="0" fontId="2" fillId="3" borderId="0" xfId="0" applyFont="1" applyFill="1"/>
    <xf numFmtId="10" fontId="7" fillId="3" borderId="9" xfId="5" applyNumberFormat="1" applyFont="1" applyFill="1" applyBorder="1"/>
    <xf numFmtId="9" fontId="7" fillId="3" borderId="0" xfId="5" applyFont="1" applyFill="1" applyBorder="1" applyAlignment="1">
      <alignment horizontal="right"/>
    </xf>
    <xf numFmtId="10" fontId="7" fillId="3" borderId="9" xfId="5" applyNumberFormat="1" applyFont="1" applyFill="1" applyBorder="1" applyAlignment="1">
      <alignment horizontal="right"/>
    </xf>
    <xf numFmtId="10" fontId="7" fillId="3" borderId="9" xfId="0" applyNumberFormat="1" applyFont="1" applyFill="1" applyBorder="1"/>
    <xf numFmtId="164" fontId="5" fillId="3" borderId="5" xfId="2" applyNumberFormat="1" applyFont="1" applyFill="1" applyBorder="1"/>
    <xf numFmtId="44" fontId="6" fillId="3" borderId="0" xfId="2" applyNumberFormat="1" applyFont="1" applyFill="1" applyBorder="1"/>
    <xf numFmtId="44" fontId="6" fillId="3" borderId="0" xfId="2" applyFont="1" applyFill="1" applyBorder="1"/>
    <xf numFmtId="43" fontId="6" fillId="3" borderId="0" xfId="1" applyFont="1" applyFill="1" applyBorder="1"/>
    <xf numFmtId="167" fontId="6" fillId="3" borderId="0" xfId="2" applyNumberFormat="1" applyFont="1" applyFill="1" applyBorder="1"/>
    <xf numFmtId="0" fontId="2" fillId="0" borderId="0" xfId="0" applyFont="1" applyFill="1" applyBorder="1"/>
    <xf numFmtId="44" fontId="4" fillId="0" borderId="0" xfId="2" applyNumberFormat="1" applyFont="1" applyFill="1" applyBorder="1"/>
    <xf numFmtId="9" fontId="4" fillId="0" borderId="0" xfId="5" applyNumberFormat="1" applyFont="1" applyFill="1" applyBorder="1"/>
    <xf numFmtId="37" fontId="4" fillId="0" borderId="0" xfId="1" applyNumberFormat="1" applyFont="1" applyFill="1" applyBorder="1"/>
    <xf numFmtId="44" fontId="4" fillId="2" borderId="5" xfId="2" applyNumberFormat="1" applyFont="1" applyFill="1" applyBorder="1"/>
    <xf numFmtId="9" fontId="4" fillId="2" borderId="5" xfId="5" applyNumberFormat="1" applyFont="1" applyFill="1" applyBorder="1"/>
    <xf numFmtId="166" fontId="4" fillId="2" borderId="5" xfId="5" applyNumberFormat="1" applyFont="1" applyFill="1" applyBorder="1"/>
    <xf numFmtId="37" fontId="4" fillId="2" borderId="5" xfId="1" applyNumberFormat="1" applyFont="1" applyFill="1" applyBorder="1"/>
    <xf numFmtId="41" fontId="5" fillId="3" borderId="5" xfId="2" applyNumberFormat="1" applyFont="1" applyFill="1" applyBorder="1"/>
    <xf numFmtId="164" fontId="7" fillId="3" borderId="9" xfId="2" applyNumberFormat="1" applyFont="1" applyFill="1" applyBorder="1"/>
    <xf numFmtId="0" fontId="3" fillId="2" borderId="0" xfId="0" applyFont="1" applyFill="1" applyBorder="1"/>
    <xf numFmtId="0" fontId="3" fillId="3" borderId="0" xfId="0" applyFont="1" applyFill="1" applyBorder="1"/>
    <xf numFmtId="9" fontId="7" fillId="3" borderId="0" xfId="5" applyFont="1" applyFill="1" applyBorder="1"/>
    <xf numFmtId="9" fontId="7" fillId="3" borderId="0" xfId="2" applyNumberFormat="1" applyFont="1" applyFill="1" applyBorder="1"/>
    <xf numFmtId="10" fontId="6" fillId="3" borderId="0" xfId="5" applyNumberFormat="1" applyFont="1" applyFill="1" applyBorder="1"/>
    <xf numFmtId="167" fontId="6" fillId="3" borderId="5" xfId="2" applyNumberFormat="1" applyFont="1" applyFill="1" applyBorder="1"/>
    <xf numFmtId="44" fontId="7" fillId="3" borderId="0" xfId="2" applyNumberFormat="1" applyFont="1" applyFill="1" applyBorder="1"/>
    <xf numFmtId="9" fontId="7" fillId="3" borderId="7" xfId="5" applyFont="1" applyFill="1" applyBorder="1"/>
    <xf numFmtId="167" fontId="6" fillId="3" borderId="8" xfId="2" applyNumberFormat="1" applyFont="1" applyFill="1" applyBorder="1"/>
    <xf numFmtId="0" fontId="8" fillId="4" borderId="0" xfId="0" applyFont="1" applyFill="1" applyBorder="1"/>
    <xf numFmtId="0" fontId="8" fillId="4" borderId="0" xfId="0" applyFont="1" applyFill="1"/>
    <xf numFmtId="0" fontId="0" fillId="4" borderId="0" xfId="0" applyFill="1"/>
    <xf numFmtId="2" fontId="9" fillId="4" borderId="0" xfId="0" applyNumberFormat="1" applyFont="1" applyFill="1" applyBorder="1" applyAlignment="1"/>
    <xf numFmtId="0" fontId="10" fillId="4" borderId="0" xfId="0" applyFont="1" applyFill="1" applyBorder="1"/>
    <xf numFmtId="0" fontId="11" fillId="4" borderId="0" xfId="0" applyFont="1" applyFill="1" applyBorder="1" applyAlignment="1">
      <alignment horizontal="center"/>
    </xf>
    <xf numFmtId="0" fontId="12" fillId="4" borderId="0" xfId="0" applyFont="1" applyFill="1" applyBorder="1"/>
    <xf numFmtId="0" fontId="13" fillId="4" borderId="0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16" fillId="4" borderId="0" xfId="0" applyFont="1" applyFill="1" applyBorder="1"/>
    <xf numFmtId="0" fontId="7" fillId="4" borderId="0" xfId="0" applyFont="1" applyFill="1" applyBorder="1"/>
    <xf numFmtId="0" fontId="0" fillId="4" borderId="0" xfId="0" applyFill="1" applyBorder="1"/>
    <xf numFmtId="44" fontId="5" fillId="2" borderId="0" xfId="2" applyNumberFormat="1" applyFont="1" applyFill="1" applyBorder="1"/>
    <xf numFmtId="9" fontId="5" fillId="2" borderId="0" xfId="5" applyFont="1" applyFill="1" applyBorder="1"/>
    <xf numFmtId="9" fontId="5" fillId="2" borderId="0" xfId="5" applyNumberFormat="1" applyFont="1" applyFill="1" applyBorder="1"/>
    <xf numFmtId="37" fontId="5" fillId="2" borderId="0" xfId="1" applyNumberFormat="1" applyFont="1" applyFill="1" applyBorder="1"/>
    <xf numFmtId="44" fontId="6" fillId="2" borderId="0" xfId="2" applyNumberFormat="1" applyFont="1" applyFill="1" applyBorder="1"/>
    <xf numFmtId="9" fontId="6" fillId="2" borderId="0" xfId="5" applyFont="1" applyFill="1" applyBorder="1"/>
    <xf numFmtId="166" fontId="5" fillId="2" borderId="0" xfId="5" applyNumberFormat="1" applyFont="1" applyFill="1" applyBorder="1"/>
    <xf numFmtId="44" fontId="5" fillId="2" borderId="0" xfId="2" applyFont="1" applyFill="1" applyBorder="1"/>
    <xf numFmtId="165" fontId="5" fillId="2" borderId="0" xfId="1" applyNumberFormat="1" applyFont="1" applyFill="1" applyBorder="1"/>
    <xf numFmtId="43" fontId="5" fillId="2" borderId="0" xfId="1" applyFont="1" applyFill="1" applyBorder="1"/>
    <xf numFmtId="10" fontId="5" fillId="2" borderId="0" xfId="5" applyNumberFormat="1" applyFont="1" applyFill="1" applyBorder="1"/>
    <xf numFmtId="0" fontId="3" fillId="3" borderId="4" xfId="0" applyFont="1" applyFill="1" applyBorder="1"/>
    <xf numFmtId="10" fontId="7" fillId="3" borderId="9" xfId="2" applyNumberFormat="1" applyFont="1" applyFill="1" applyBorder="1"/>
    <xf numFmtId="9" fontId="7" fillId="3" borderId="9" xfId="5" applyFont="1" applyFill="1" applyBorder="1"/>
    <xf numFmtId="9" fontId="7" fillId="3" borderId="9" xfId="2" applyNumberFormat="1" applyFont="1" applyFill="1" applyBorder="1"/>
    <xf numFmtId="0" fontId="19" fillId="0" borderId="0" xfId="0" applyFont="1"/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right"/>
    </xf>
    <xf numFmtId="41" fontId="5" fillId="2" borderId="0" xfId="5" applyNumberFormat="1" applyFont="1" applyFill="1" applyBorder="1"/>
    <xf numFmtId="43" fontId="6" fillId="3" borderId="0" xfId="0" applyNumberFormat="1" applyFont="1" applyFill="1" applyBorder="1"/>
    <xf numFmtId="44" fontId="6" fillId="3" borderId="0" xfId="0" applyNumberFormat="1" applyFont="1" applyFill="1" applyBorder="1"/>
    <xf numFmtId="43" fontId="5" fillId="2" borderId="0" xfId="1" applyNumberFormat="1" applyFont="1" applyFill="1" applyBorder="1"/>
    <xf numFmtId="44" fontId="5" fillId="2" borderId="0" xfId="1" applyNumberFormat="1" applyFont="1" applyFill="1" applyBorder="1"/>
    <xf numFmtId="169" fontId="6" fillId="3" borderId="0" xfId="2" applyNumberFormat="1" applyFont="1" applyFill="1" applyBorder="1"/>
    <xf numFmtId="164" fontId="5" fillId="2" borderId="0" xfId="2" applyNumberFormat="1" applyFont="1" applyFill="1" applyBorder="1"/>
    <xf numFmtId="10" fontId="7" fillId="3" borderId="0" xfId="5" applyNumberFormat="1" applyFont="1" applyFill="1" applyBorder="1"/>
    <xf numFmtId="164" fontId="7" fillId="3" borderId="0" xfId="2" applyNumberFormat="1" applyFont="1" applyFill="1" applyBorder="1"/>
    <xf numFmtId="10" fontId="2" fillId="2" borderId="0" xfId="5" applyNumberFormat="1" applyFont="1" applyFill="1" applyBorder="1" applyAlignment="1">
      <alignment horizontal="center"/>
    </xf>
    <xf numFmtId="44" fontId="2" fillId="2" borderId="0" xfId="2" applyFont="1" applyFill="1" applyBorder="1" applyAlignment="1">
      <alignment horizontal="center"/>
    </xf>
    <xf numFmtId="43" fontId="2" fillId="2" borderId="0" xfId="1" applyNumberFormat="1" applyFont="1" applyFill="1" applyBorder="1" applyAlignment="1">
      <alignment horizontal="center"/>
    </xf>
    <xf numFmtId="165" fontId="2" fillId="2" borderId="0" xfId="1" applyNumberFormat="1" applyFont="1" applyFill="1" applyBorder="1" applyAlignment="1">
      <alignment horizontal="center"/>
    </xf>
    <xf numFmtId="41" fontId="5" fillId="2" borderId="0" xfId="2" applyNumberFormat="1" applyFont="1" applyFill="1" applyBorder="1"/>
    <xf numFmtId="41" fontId="5" fillId="2" borderId="0" xfId="1" applyNumberFormat="1" applyFont="1" applyFill="1" applyBorder="1"/>
    <xf numFmtId="42" fontId="5" fillId="2" borderId="0" xfId="0" applyNumberFormat="1" applyFont="1" applyFill="1" applyBorder="1"/>
    <xf numFmtId="44" fontId="2" fillId="3" borderId="0" xfId="0" applyNumberFormat="1" applyFont="1" applyFill="1" applyBorder="1" applyAlignment="1"/>
    <xf numFmtId="44" fontId="6" fillId="3" borderId="0" xfId="0" applyNumberFormat="1" applyFont="1" applyFill="1" applyBorder="1" applyAlignment="1"/>
    <xf numFmtId="43" fontId="7" fillId="3" borderId="9" xfId="0" applyNumberFormat="1" applyFont="1" applyFill="1" applyBorder="1" applyAlignment="1"/>
    <xf numFmtId="41" fontId="5" fillId="2" borderId="0" xfId="0" applyNumberFormat="1" applyFont="1" applyFill="1" applyBorder="1"/>
    <xf numFmtId="10" fontId="6" fillId="3" borderId="0" xfId="5" applyNumberFormat="1" applyFont="1" applyFill="1" applyBorder="1" applyAlignment="1"/>
    <xf numFmtId="44" fontId="7" fillId="3" borderId="9" xfId="0" applyNumberFormat="1" applyFont="1" applyFill="1" applyBorder="1" applyAlignment="1"/>
    <xf numFmtId="44" fontId="5" fillId="2" borderId="0" xfId="5" applyNumberFormat="1" applyFont="1" applyFill="1" applyBorder="1"/>
    <xf numFmtId="171" fontId="6" fillId="3" borderId="0" xfId="5" applyNumberFormat="1" applyFont="1" applyFill="1" applyBorder="1" applyAlignment="1"/>
    <xf numFmtId="171" fontId="6" fillId="3" borderId="0" xfId="0" applyNumberFormat="1" applyFont="1" applyFill="1" applyBorder="1" applyAlignment="1"/>
    <xf numFmtId="164" fontId="5" fillId="2" borderId="0" xfId="5" applyNumberFormat="1" applyFont="1" applyFill="1" applyBorder="1"/>
    <xf numFmtId="42" fontId="5" fillId="2" borderId="0" xfId="5" applyNumberFormat="1" applyFont="1" applyFill="1" applyBorder="1"/>
    <xf numFmtId="2" fontId="7" fillId="3" borderId="9" xfId="0" applyNumberFormat="1" applyFont="1" applyFill="1" applyBorder="1"/>
    <xf numFmtId="2" fontId="7" fillId="3" borderId="0" xfId="0" applyNumberFormat="1" applyFont="1" applyFill="1" applyBorder="1"/>
    <xf numFmtId="43" fontId="7" fillId="3" borderId="9" xfId="2" applyNumberFormat="1" applyFont="1" applyFill="1" applyBorder="1"/>
    <xf numFmtId="44" fontId="7" fillId="3" borderId="9" xfId="0" applyNumberFormat="1" applyFont="1" applyFill="1" applyBorder="1"/>
    <xf numFmtId="0" fontId="6" fillId="3" borderId="0" xfId="0" applyFont="1" applyFill="1" applyBorder="1"/>
    <xf numFmtId="42" fontId="6" fillId="3" borderId="0" xfId="0" applyNumberFormat="1" applyFont="1" applyFill="1" applyBorder="1"/>
    <xf numFmtId="44" fontId="6" fillId="3" borderId="0" xfId="0" applyNumberFormat="1" applyFont="1" applyFill="1"/>
    <xf numFmtId="170" fontId="7" fillId="3" borderId="9" xfId="0" applyNumberFormat="1" applyFont="1" applyFill="1" applyBorder="1"/>
    <xf numFmtId="10" fontId="6" fillId="3" borderId="0" xfId="5" applyNumberFormat="1" applyFont="1" applyFill="1"/>
    <xf numFmtId="41" fontId="2" fillId="3" borderId="0" xfId="0" applyNumberFormat="1" applyFont="1" applyFill="1" applyBorder="1"/>
    <xf numFmtId="41" fontId="6" fillId="3" borderId="0" xfId="0" applyNumberFormat="1" applyFont="1" applyFill="1" applyBorder="1"/>
    <xf numFmtId="170" fontId="6" fillId="3" borderId="0" xfId="0" applyNumberFormat="1" applyFont="1" applyFill="1" applyBorder="1"/>
    <xf numFmtId="44" fontId="6" fillId="3" borderId="0" xfId="5" applyNumberFormat="1" applyFont="1" applyFill="1"/>
    <xf numFmtId="169" fontId="6" fillId="3" borderId="0" xfId="0" applyNumberFormat="1" applyFont="1" applyFill="1" applyBorder="1"/>
    <xf numFmtId="0" fontId="20" fillId="4" borderId="0" xfId="0" applyFont="1" applyFill="1" applyBorder="1"/>
    <xf numFmtId="44" fontId="21" fillId="3" borderId="0" xfId="0" applyNumberFormat="1" applyFont="1" applyFill="1" applyBorder="1"/>
    <xf numFmtId="44" fontId="6" fillId="3" borderId="0" xfId="1" applyNumberFormat="1" applyFont="1" applyFill="1" applyBorder="1"/>
    <xf numFmtId="168" fontId="6" fillId="3" borderId="0" xfId="2" applyNumberFormat="1" applyFont="1" applyFill="1" applyBorder="1"/>
    <xf numFmtId="170" fontId="5" fillId="2" borderId="0" xfId="0" applyNumberFormat="1" applyFont="1" applyFill="1" applyBorder="1"/>
    <xf numFmtId="168" fontId="6" fillId="3" borderId="0" xfId="0" applyNumberFormat="1" applyFont="1" applyFill="1" applyBorder="1"/>
    <xf numFmtId="0" fontId="22" fillId="4" borderId="0" xfId="0" applyFont="1" applyFill="1"/>
    <xf numFmtId="0" fontId="22" fillId="4" borderId="0" xfId="0" applyFont="1" applyFill="1" applyAlignment="1"/>
    <xf numFmtId="0" fontId="22" fillId="4" borderId="0" xfId="0" applyFont="1" applyFill="1" applyBorder="1"/>
    <xf numFmtId="0" fontId="22" fillId="4" borderId="0" xfId="0" applyFont="1" applyFill="1" applyBorder="1" applyAlignment="1"/>
    <xf numFmtId="164" fontId="7" fillId="3" borderId="9" xfId="5" applyNumberFormat="1" applyFont="1" applyFill="1" applyBorder="1"/>
    <xf numFmtId="0" fontId="23" fillId="3" borderId="4" xfId="0" applyFont="1" applyFill="1" applyBorder="1"/>
    <xf numFmtId="44" fontId="24" fillId="3" borderId="9" xfId="0" applyNumberFormat="1" applyFont="1" applyFill="1" applyBorder="1"/>
    <xf numFmtId="10" fontId="24" fillId="3" borderId="9" xfId="5" applyNumberFormat="1" applyFont="1" applyFill="1" applyBorder="1"/>
    <xf numFmtId="42" fontId="21" fillId="3" borderId="0" xfId="0" applyNumberFormat="1" applyFont="1" applyFill="1" applyBorder="1"/>
    <xf numFmtId="0" fontId="21" fillId="3" borderId="0" xfId="0" applyFont="1" applyFill="1" applyBorder="1"/>
    <xf numFmtId="41" fontId="21" fillId="3" borderId="10" xfId="0" applyNumberFormat="1" applyFont="1" applyFill="1" applyBorder="1"/>
    <xf numFmtId="172" fontId="5" fillId="2" borderId="0" xfId="5" applyNumberFormat="1" applyFont="1" applyFill="1" applyBorder="1"/>
    <xf numFmtId="164" fontId="21" fillId="3" borderId="0" xfId="0" applyNumberFormat="1" applyFont="1" applyFill="1" applyBorder="1"/>
    <xf numFmtId="164" fontId="24" fillId="3" borderId="9" xfId="0" applyNumberFormat="1" applyFont="1" applyFill="1" applyBorder="1"/>
    <xf numFmtId="164" fontId="24" fillId="3" borderId="0" xfId="0" applyNumberFormat="1" applyFont="1" applyFill="1" applyBorder="1"/>
    <xf numFmtId="0" fontId="25" fillId="3" borderId="0" xfId="0" applyFont="1" applyFill="1" applyBorder="1" applyAlignment="1">
      <alignment horizontal="center"/>
    </xf>
    <xf numFmtId="42" fontId="26" fillId="2" borderId="0" xfId="5" applyNumberFormat="1" applyFont="1" applyFill="1" applyBorder="1" applyAlignment="1">
      <alignment horizontal="center"/>
    </xf>
    <xf numFmtId="0" fontId="27" fillId="2" borderId="4" xfId="0" applyFont="1" applyFill="1" applyBorder="1"/>
    <xf numFmtId="166" fontId="24" fillId="3" borderId="9" xfId="5" applyNumberFormat="1" applyFont="1" applyFill="1" applyBorder="1"/>
    <xf numFmtId="166" fontId="7" fillId="3" borderId="9" xfId="5" applyNumberFormat="1" applyFont="1" applyFill="1" applyBorder="1"/>
    <xf numFmtId="0" fontId="28" fillId="0" borderId="0" xfId="0" applyFont="1"/>
    <xf numFmtId="0" fontId="0" fillId="0" borderId="11" xfId="0" applyFill="1" applyBorder="1" applyAlignment="1"/>
    <xf numFmtId="0" fontId="29" fillId="0" borderId="12" xfId="0" applyFont="1" applyFill="1" applyBorder="1" applyAlignment="1">
      <alignment horizontal="center"/>
    </xf>
    <xf numFmtId="44" fontId="0" fillId="0" borderId="11" xfId="0" applyNumberFormat="1" applyFill="1" applyBorder="1" applyAlignment="1"/>
    <xf numFmtId="10" fontId="0" fillId="0" borderId="11" xfId="0" applyNumberFormat="1" applyFill="1" applyBorder="1" applyAlignment="1"/>
  </cellXfs>
  <cellStyles count="6">
    <cellStyle name="Comma" xfId="1" builtinId="3"/>
    <cellStyle name="Currency" xfId="2" builtinId="4"/>
    <cellStyle name="Normal" xfId="0" builtinId="0"/>
    <cellStyle name="Normal 2" xfId="3"/>
    <cellStyle name="Normal 3" xfId="4"/>
    <cellStyle name="Percent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4"/>
  <sheetViews>
    <sheetView tabSelected="1" workbookViewId="0"/>
  </sheetViews>
  <sheetFormatPr defaultRowHeight="12.75"/>
  <cols>
    <col min="1" max="3" width="9.140625" style="60"/>
    <col min="4" max="4" width="42.5703125" style="60" customWidth="1"/>
    <col min="5" max="16384" width="9.140625" style="60"/>
  </cols>
  <sheetData>
    <row r="1" spans="1:29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</row>
    <row r="2" spans="1:29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</row>
    <row r="3" spans="1:29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</row>
    <row r="4" spans="1:29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</row>
    <row r="5" spans="1:29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</row>
    <row r="6" spans="1:29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</row>
    <row r="7" spans="1:29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</row>
    <row r="8" spans="1:29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</row>
    <row r="9" spans="1:29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</row>
    <row r="10" spans="1:29" ht="59.25">
      <c r="A10" s="58"/>
      <c r="B10" s="58"/>
      <c r="C10" s="58"/>
      <c r="D10" s="61" t="s">
        <v>228</v>
      </c>
      <c r="E10" s="58"/>
      <c r="F10" s="62"/>
      <c r="G10" s="58"/>
      <c r="H10" s="58"/>
      <c r="I10" s="58"/>
      <c r="J10" s="58"/>
      <c r="K10" s="58"/>
      <c r="L10" s="58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</row>
    <row r="11" spans="1:29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</row>
    <row r="12" spans="1:29" ht="23.25">
      <c r="A12" s="58"/>
      <c r="B12" s="58"/>
      <c r="C12" s="58"/>
      <c r="D12" s="63" t="s">
        <v>229</v>
      </c>
      <c r="E12" s="58"/>
      <c r="F12" s="58"/>
      <c r="G12" s="58"/>
      <c r="H12" s="58"/>
      <c r="I12" s="58"/>
      <c r="J12" s="58"/>
      <c r="K12" s="58"/>
      <c r="L12" s="58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</row>
    <row r="13" spans="1:29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</row>
    <row r="14" spans="1:29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</row>
    <row r="15" spans="1:29" ht="15">
      <c r="A15" s="58"/>
      <c r="B15" s="58"/>
      <c r="C15" s="58"/>
      <c r="D15" s="64"/>
      <c r="E15" s="58"/>
      <c r="F15" s="58"/>
      <c r="G15" s="58"/>
      <c r="H15" s="58"/>
      <c r="I15" s="58"/>
      <c r="J15" s="58"/>
      <c r="K15" s="58"/>
      <c r="L15" s="58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</row>
    <row r="16" spans="1:29" ht="15.75">
      <c r="A16" s="58"/>
      <c r="B16" s="58"/>
      <c r="C16" s="58"/>
      <c r="D16" s="65" t="s">
        <v>65</v>
      </c>
      <c r="E16" s="58"/>
      <c r="F16" s="58"/>
      <c r="G16" s="58"/>
      <c r="H16" s="58"/>
      <c r="I16" s="58"/>
      <c r="J16" s="58"/>
      <c r="K16" s="58"/>
      <c r="L16" s="58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</row>
    <row r="17" spans="1:29" ht="15.75">
      <c r="A17" s="58"/>
      <c r="B17" s="58"/>
      <c r="C17" s="58"/>
      <c r="D17" s="66" t="s">
        <v>66</v>
      </c>
      <c r="E17" s="58"/>
      <c r="F17" s="58"/>
      <c r="G17" s="58"/>
      <c r="H17" s="58"/>
      <c r="I17" s="58"/>
      <c r="J17" s="58"/>
      <c r="K17" s="58"/>
      <c r="L17" s="58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</row>
    <row r="18" spans="1:29" ht="15.75">
      <c r="A18" s="58"/>
      <c r="B18" s="58"/>
      <c r="C18" s="58"/>
      <c r="D18" s="67" t="s">
        <v>67</v>
      </c>
      <c r="E18" s="58"/>
      <c r="F18" s="58"/>
      <c r="G18" s="58"/>
      <c r="H18" s="58"/>
      <c r="I18" s="58"/>
      <c r="J18" s="58"/>
      <c r="K18" s="58"/>
      <c r="L18" s="58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</row>
    <row r="19" spans="1:29" ht="15.75">
      <c r="A19" s="58"/>
      <c r="B19" s="58"/>
      <c r="C19" s="58"/>
      <c r="D19" s="68" t="s">
        <v>68</v>
      </c>
      <c r="E19" s="58"/>
      <c r="F19" s="58"/>
      <c r="G19" s="58"/>
      <c r="H19" s="58"/>
      <c r="I19" s="58"/>
      <c r="J19" s="58"/>
      <c r="K19" s="58"/>
      <c r="L19" s="58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</row>
    <row r="20" spans="1:29" ht="15.75">
      <c r="A20" s="58"/>
      <c r="B20" s="58"/>
      <c r="C20" s="58"/>
      <c r="D20" s="69" t="s">
        <v>69</v>
      </c>
      <c r="E20" s="58"/>
      <c r="F20" s="58"/>
      <c r="G20" s="58"/>
      <c r="H20" s="58"/>
      <c r="I20" s="58"/>
      <c r="J20" s="58"/>
      <c r="K20" s="58"/>
      <c r="L20" s="58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</row>
    <row r="21" spans="1:29" ht="15">
      <c r="A21" s="58"/>
      <c r="B21" s="58"/>
      <c r="C21" s="58"/>
      <c r="D21" s="64"/>
      <c r="E21" s="58"/>
      <c r="F21" s="58"/>
      <c r="G21" s="58"/>
      <c r="H21" s="58"/>
      <c r="I21" s="58"/>
      <c r="J21" s="58"/>
      <c r="K21" s="58"/>
      <c r="L21" s="58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</row>
    <row r="22" spans="1:29">
      <c r="A22" s="58"/>
      <c r="B22" s="58"/>
      <c r="C22" s="58"/>
      <c r="D22" s="130" t="s">
        <v>185</v>
      </c>
      <c r="E22" s="58"/>
      <c r="F22" s="58"/>
      <c r="G22" s="58"/>
      <c r="H22" s="58"/>
      <c r="I22" s="58"/>
      <c r="J22" s="58"/>
      <c r="K22" s="58"/>
      <c r="L22" s="58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</row>
    <row r="23" spans="1:29">
      <c r="A23" s="58"/>
      <c r="B23" s="58"/>
      <c r="C23" s="58"/>
      <c r="D23" s="130" t="s">
        <v>186</v>
      </c>
      <c r="E23" s="58"/>
      <c r="F23" s="58"/>
      <c r="G23" s="58"/>
      <c r="H23" s="58"/>
      <c r="I23" s="58"/>
      <c r="J23" s="58"/>
      <c r="K23" s="58"/>
      <c r="L23" s="58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</row>
    <row r="24" spans="1:29">
      <c r="A24" s="58"/>
      <c r="B24" s="58"/>
      <c r="C24" s="58"/>
      <c r="D24" s="130" t="s">
        <v>222</v>
      </c>
      <c r="E24" s="58"/>
      <c r="F24" s="58"/>
      <c r="G24" s="58"/>
      <c r="H24" s="58"/>
      <c r="I24" s="58"/>
      <c r="J24" s="58"/>
      <c r="K24" s="58"/>
      <c r="L24" s="58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</row>
    <row r="25" spans="1:29">
      <c r="A25" s="58"/>
      <c r="B25" s="58"/>
      <c r="C25" s="58"/>
      <c r="D25" s="136" t="s">
        <v>223</v>
      </c>
      <c r="E25" s="58"/>
      <c r="F25" s="58"/>
      <c r="G25" s="58"/>
      <c r="H25" s="58"/>
      <c r="I25" s="58"/>
      <c r="J25" s="58"/>
      <c r="K25" s="58"/>
      <c r="L25" s="58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</row>
    <row r="26" spans="1:29">
      <c r="A26" s="58"/>
      <c r="B26" s="58"/>
      <c r="C26" s="58"/>
      <c r="D26" s="137" t="s">
        <v>224</v>
      </c>
      <c r="E26" s="58"/>
      <c r="F26" s="58"/>
      <c r="G26" s="58"/>
      <c r="H26" s="58"/>
      <c r="I26" s="58"/>
      <c r="J26" s="58"/>
      <c r="K26" s="58"/>
      <c r="L26" s="58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</row>
    <row r="27" spans="1:29">
      <c r="A27" s="58"/>
      <c r="B27" s="58"/>
      <c r="C27" s="58"/>
      <c r="D27" s="138" t="s">
        <v>225</v>
      </c>
      <c r="E27" s="58"/>
      <c r="F27" s="58"/>
      <c r="G27" s="58"/>
      <c r="H27" s="58"/>
      <c r="I27" s="58"/>
      <c r="J27" s="58"/>
      <c r="K27" s="58"/>
      <c r="L27" s="58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</row>
    <row r="28" spans="1:29">
      <c r="A28" s="58"/>
      <c r="B28" s="58"/>
      <c r="C28" s="58"/>
      <c r="D28" s="138" t="s">
        <v>226</v>
      </c>
      <c r="E28" s="58"/>
      <c r="F28" s="58"/>
      <c r="G28" s="58"/>
      <c r="H28" s="58"/>
      <c r="I28" s="58"/>
      <c r="J28" s="58"/>
      <c r="K28" s="58"/>
      <c r="L28" s="58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</row>
    <row r="29" spans="1:29">
      <c r="A29" s="58"/>
      <c r="B29" s="58"/>
      <c r="C29" s="58"/>
      <c r="D29" s="139" t="s">
        <v>227</v>
      </c>
      <c r="E29" s="58"/>
      <c r="F29" s="58"/>
      <c r="G29" s="58"/>
      <c r="H29" s="58"/>
      <c r="I29" s="58"/>
      <c r="J29" s="58"/>
      <c r="K29" s="58"/>
      <c r="L29" s="58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</row>
    <row r="30" spans="1:29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</row>
    <row r="31" spans="1:29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</row>
    <row r="32" spans="1:29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</row>
    <row r="33" spans="1:29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</row>
    <row r="34" spans="1:29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</row>
    <row r="35" spans="1:29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</row>
    <row r="36" spans="1:29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</row>
    <row r="37" spans="1:29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</row>
    <row r="38" spans="1:29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</row>
    <row r="39" spans="1:29">
      <c r="A39" s="70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</row>
    <row r="40" spans="1:29">
      <c r="A40" s="70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</row>
    <row r="41" spans="1:29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</row>
    <row r="42" spans="1:29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</row>
    <row r="43" spans="1:29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</row>
    <row r="44" spans="1:29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</row>
    <row r="45" spans="1:29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</row>
    <row r="46" spans="1:29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</row>
    <row r="47" spans="1:29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</row>
    <row r="48" spans="1:29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</row>
    <row r="49" spans="1:12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</row>
    <row r="50" spans="1:12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</row>
    <row r="51" spans="1:12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</row>
    <row r="52" spans="1:12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  <row r="53" spans="1:12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</row>
    <row r="54" spans="1:12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</row>
    <row r="55" spans="1:12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</row>
    <row r="56" spans="1:12">
      <c r="A56" s="70"/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</row>
    <row r="57" spans="1:12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</row>
    <row r="58" spans="1:12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</row>
    <row r="59" spans="1:12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</row>
    <row r="60" spans="1:12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</row>
    <row r="61" spans="1:12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</row>
    <row r="62" spans="1:12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</row>
    <row r="63" spans="1:12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</row>
    <row r="64" spans="1:12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</row>
    <row r="65" spans="1:12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</row>
    <row r="66" spans="1:12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</row>
    <row r="67" spans="1:12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</row>
    <row r="68" spans="1:12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</row>
    <row r="69" spans="1:12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</row>
    <row r="70" spans="1:12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</row>
    <row r="71" spans="1:12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</row>
    <row r="72" spans="1:12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</row>
    <row r="73" spans="1:12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</row>
    <row r="74" spans="1:12">
      <c r="A74" s="7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</row>
    <row r="75" spans="1:12">
      <c r="A75" s="70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</row>
    <row r="76" spans="1:12">
      <c r="A76" s="70"/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</row>
    <row r="77" spans="1:12">
      <c r="A77" s="70"/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</row>
    <row r="78" spans="1:12">
      <c r="A78" s="70"/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</row>
    <row r="79" spans="1:12">
      <c r="A79" s="70"/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</row>
    <row r="80" spans="1:12">
      <c r="A80" s="70"/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</row>
    <row r="81" spans="1:12">
      <c r="A81" s="70"/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</row>
    <row r="82" spans="1:12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</row>
    <row r="83" spans="1:12">
      <c r="A83" s="70"/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</row>
    <row r="84" spans="1:12">
      <c r="A84" s="70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</row>
    <row r="85" spans="1:12">
      <c r="A85" s="70"/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</row>
    <row r="86" spans="1:12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</row>
    <row r="87" spans="1:12">
      <c r="A87" s="70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</row>
    <row r="88" spans="1:12">
      <c r="A88" s="70"/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</row>
    <row r="89" spans="1:12">
      <c r="A89" s="70"/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</row>
    <row r="90" spans="1:12">
      <c r="A90" s="70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</row>
    <row r="91" spans="1:12">
      <c r="A91" s="70"/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</row>
    <row r="92" spans="1:12">
      <c r="A92" s="70"/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</row>
    <row r="93" spans="1:12">
      <c r="A93" s="70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</row>
    <row r="94" spans="1:12">
      <c r="A94" s="70"/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</row>
    <row r="95" spans="1:12">
      <c r="A95" s="70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</row>
    <row r="96" spans="1:12">
      <c r="A96" s="70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</row>
    <row r="97" spans="1:12">
      <c r="A97" s="70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</row>
    <row r="98" spans="1:12">
      <c r="A98" s="70"/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</row>
    <row r="99" spans="1:12">
      <c r="A99" s="70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</row>
    <row r="100" spans="1:12">
      <c r="A100" s="70"/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</row>
    <row r="101" spans="1:12">
      <c r="A101" s="70"/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</row>
    <row r="102" spans="1:12">
      <c r="A102" s="70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</row>
    <row r="103" spans="1:12">
      <c r="A103" s="70"/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</row>
    <row r="104" spans="1:12">
      <c r="A104" s="70"/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2111121114"/>
  <dimension ref="B1:E19"/>
  <sheetViews>
    <sheetView workbookViewId="0"/>
  </sheetViews>
  <sheetFormatPr defaultRowHeight="12.75"/>
  <cols>
    <col min="2" max="2" width="3.140625" customWidth="1"/>
    <col min="3" max="3" width="28.42578125" customWidth="1"/>
    <col min="4" max="4" width="19.85546875" bestFit="1" customWidth="1"/>
    <col min="5" max="5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17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78</v>
      </c>
      <c r="D7" s="95">
        <v>34000000</v>
      </c>
      <c r="E7" s="11"/>
    </row>
    <row r="8" spans="2:5" s="1" customFormat="1" ht="15">
      <c r="B8" s="9"/>
      <c r="C8" s="10" t="s">
        <v>79</v>
      </c>
      <c r="D8" s="72">
        <v>0.16</v>
      </c>
      <c r="E8" s="11"/>
    </row>
    <row r="9" spans="2:5" s="1" customFormat="1" ht="15">
      <c r="B9" s="9"/>
      <c r="C9" s="10" t="s">
        <v>80</v>
      </c>
      <c r="D9" s="72">
        <v>0.8</v>
      </c>
      <c r="E9" s="11"/>
    </row>
    <row r="10" spans="2:5" s="1" customFormat="1" ht="15" customHeight="1" thickBot="1">
      <c r="B10" s="12"/>
      <c r="C10" s="13"/>
      <c r="D10" s="13"/>
      <c r="E10" s="14"/>
    </row>
    <row r="11" spans="2:5" s="1" customFormat="1" ht="15"/>
    <row r="12" spans="2:5" s="1" customFormat="1" ht="15">
      <c r="C12" s="2" t="s">
        <v>2</v>
      </c>
    </row>
    <row r="13" spans="2:5" s="1" customFormat="1" ht="15.75" thickBot="1">
      <c r="C13" s="3"/>
    </row>
    <row r="14" spans="2:5" s="1" customFormat="1" ht="15">
      <c r="B14" s="15"/>
      <c r="C14" s="16"/>
      <c r="D14" s="16"/>
      <c r="E14" s="17"/>
    </row>
    <row r="15" spans="2:5" s="1" customFormat="1" ht="15.75">
      <c r="B15" s="18"/>
      <c r="C15" s="19" t="s">
        <v>81</v>
      </c>
      <c r="D15" s="30">
        <f>D8*D9</f>
        <v>0.128</v>
      </c>
      <c r="E15" s="34"/>
    </row>
    <row r="16" spans="2:5" s="1" customFormat="1" ht="15.75">
      <c r="B16" s="18"/>
      <c r="C16" s="19"/>
      <c r="D16" s="96"/>
      <c r="E16" s="34"/>
    </row>
    <row r="17" spans="2:5" s="1" customFormat="1" ht="15.75">
      <c r="B17" s="18"/>
      <c r="C17" s="19" t="s">
        <v>82</v>
      </c>
      <c r="D17" s="140">
        <f>D7*(1+D15)</f>
        <v>38352000.000000007</v>
      </c>
      <c r="E17" s="34"/>
    </row>
    <row r="18" spans="2:5" s="1" customFormat="1" ht="15" customHeight="1" thickBot="1">
      <c r="B18" s="24"/>
      <c r="C18" s="25"/>
      <c r="D18" s="25"/>
      <c r="E18" s="26"/>
    </row>
    <row r="19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B1:E19"/>
  <sheetViews>
    <sheetView workbookViewId="0"/>
  </sheetViews>
  <sheetFormatPr defaultRowHeight="12.75"/>
  <cols>
    <col min="2" max="2" width="3.140625" customWidth="1"/>
    <col min="3" max="3" width="24.7109375" bestFit="1" customWidth="1"/>
    <col min="4" max="4" width="19.5703125" customWidth="1"/>
    <col min="5" max="5" width="3.140625" customWidth="1"/>
    <col min="6" max="6" width="10.140625" customWidth="1"/>
    <col min="7" max="7" width="13.42578125" customWidth="1"/>
    <col min="8" max="8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23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176</v>
      </c>
      <c r="D7" s="71">
        <v>1.75</v>
      </c>
      <c r="E7" s="11"/>
    </row>
    <row r="8" spans="2:5" s="1" customFormat="1" ht="15">
      <c r="B8" s="9"/>
      <c r="C8" s="10" t="s">
        <v>237</v>
      </c>
      <c r="D8" s="89">
        <v>18</v>
      </c>
      <c r="E8" s="11"/>
    </row>
    <row r="9" spans="2:5" s="1" customFormat="1" ht="15">
      <c r="B9" s="9"/>
      <c r="C9" s="10" t="s">
        <v>237</v>
      </c>
      <c r="D9" s="89">
        <v>21</v>
      </c>
      <c r="E9" s="11"/>
    </row>
    <row r="10" spans="2:5" s="1" customFormat="1" ht="15" customHeight="1" thickBot="1">
      <c r="B10" s="12"/>
      <c r="C10" s="13"/>
      <c r="D10" s="13"/>
      <c r="E10" s="14"/>
    </row>
    <row r="11" spans="2:5" s="1" customFormat="1" ht="15"/>
    <row r="12" spans="2:5" s="1" customFormat="1" ht="15">
      <c r="C12" s="2" t="s">
        <v>2</v>
      </c>
    </row>
    <row r="13" spans="2:5" s="1" customFormat="1" ht="15.75" thickBot="1">
      <c r="C13" s="3"/>
    </row>
    <row r="14" spans="2:5" s="1" customFormat="1" ht="15">
      <c r="B14" s="15"/>
      <c r="C14" s="16"/>
      <c r="D14" s="16"/>
      <c r="E14" s="17"/>
    </row>
    <row r="15" spans="2:5" s="1" customFormat="1" ht="15.75">
      <c r="B15" s="18"/>
      <c r="C15" s="20" t="str">
        <f>"Stock price at PE of "&amp;D8</f>
        <v>Stock price at PE of 18</v>
      </c>
      <c r="D15" s="28">
        <f>D8*D7</f>
        <v>31.5</v>
      </c>
      <c r="E15" s="21"/>
    </row>
    <row r="16" spans="2:5" s="1" customFormat="1" ht="15.75">
      <c r="B16" s="18"/>
      <c r="C16" s="20" t="str">
        <f>"Stock price at PE of "&amp;D9</f>
        <v>Stock price at PE of 21</v>
      </c>
      <c r="D16" s="28">
        <f>D9*D7</f>
        <v>36.75</v>
      </c>
      <c r="E16" s="21"/>
    </row>
    <row r="17" spans="2:5" s="1" customFormat="1" ht="15" customHeight="1" thickBot="1">
      <c r="B17" s="24"/>
      <c r="C17" s="25"/>
      <c r="D17" s="25"/>
      <c r="E17" s="26"/>
    </row>
    <row r="18" spans="2:5" s="1" customFormat="1" ht="15"/>
    <row r="19" spans="2:5" s="1" customFormat="1" ht="15"/>
  </sheetData>
  <phoneticPr fontId="30" type="noConversion"/>
  <pageMargins left="0.75" right="0.75" top="1" bottom="1" header="0.5" footer="0.5"/>
  <pageSetup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211113"/>
  <dimension ref="B1:E28"/>
  <sheetViews>
    <sheetView workbookViewId="0"/>
  </sheetViews>
  <sheetFormatPr defaultRowHeight="12.75"/>
  <cols>
    <col min="2" max="2" width="3.140625" customWidth="1"/>
    <col min="3" max="3" width="46.5703125" bestFit="1" customWidth="1"/>
    <col min="4" max="4" width="19.5703125" customWidth="1"/>
    <col min="5" max="5" width="3.140625" customWidth="1"/>
    <col min="6" max="6" width="13.42578125" customWidth="1"/>
    <col min="7" max="7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235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4</v>
      </c>
      <c r="D7" s="71">
        <v>3.1</v>
      </c>
      <c r="E7" s="11"/>
    </row>
    <row r="8" spans="2:5" s="1" customFormat="1" ht="15">
      <c r="B8" s="9"/>
      <c r="C8" s="10" t="s">
        <v>5</v>
      </c>
      <c r="D8" s="77">
        <v>0.06</v>
      </c>
      <c r="E8" s="11"/>
    </row>
    <row r="9" spans="2:5" s="1" customFormat="1" ht="15">
      <c r="B9" s="9"/>
      <c r="C9" s="10"/>
      <c r="D9" s="77"/>
      <c r="E9" s="11"/>
    </row>
    <row r="10" spans="2:5" s="1" customFormat="1" ht="15">
      <c r="B10" s="9"/>
      <c r="C10" s="10" t="s">
        <v>18</v>
      </c>
      <c r="D10" s="73">
        <v>0.15</v>
      </c>
      <c r="E10" s="11"/>
    </row>
    <row r="11" spans="2:5" s="1" customFormat="1" ht="15">
      <c r="B11" s="9"/>
      <c r="C11" s="10" t="s">
        <v>19</v>
      </c>
      <c r="D11" s="73">
        <v>0.13</v>
      </c>
      <c r="E11" s="11"/>
    </row>
    <row r="12" spans="2:5" s="1" customFormat="1" ht="15">
      <c r="B12" s="9"/>
      <c r="C12" s="10" t="s">
        <v>22</v>
      </c>
      <c r="D12" s="73">
        <v>0.11</v>
      </c>
      <c r="E12" s="11"/>
    </row>
    <row r="13" spans="2:5" s="1" customFormat="1" ht="15">
      <c r="B13" s="9"/>
      <c r="C13" s="10"/>
      <c r="D13" s="74"/>
      <c r="E13" s="11"/>
    </row>
    <row r="14" spans="2:5" s="1" customFormat="1" ht="15">
      <c r="B14" s="9"/>
      <c r="C14" s="10" t="s">
        <v>20</v>
      </c>
      <c r="D14" s="74">
        <v>3</v>
      </c>
      <c r="E14" s="11"/>
    </row>
    <row r="15" spans="2:5" s="1" customFormat="1" ht="15">
      <c r="B15" s="9"/>
      <c r="C15" s="10" t="s">
        <v>21</v>
      </c>
      <c r="D15" s="74">
        <v>3</v>
      </c>
      <c r="E15" s="11"/>
    </row>
    <row r="16" spans="2:5" s="1" customFormat="1" ht="15" customHeight="1" thickBot="1">
      <c r="B16" s="12"/>
      <c r="C16" s="13"/>
      <c r="D16" s="13"/>
      <c r="E16" s="14"/>
    </row>
    <row r="17" spans="2:5" s="1" customFormat="1" ht="15"/>
    <row r="18" spans="2:5" s="1" customFormat="1" ht="15">
      <c r="C18" s="2" t="s">
        <v>2</v>
      </c>
    </row>
    <row r="19" spans="2:5" s="1" customFormat="1" ht="15.75" thickBot="1">
      <c r="C19" s="3"/>
    </row>
    <row r="20" spans="2:5" s="1" customFormat="1" ht="15">
      <c r="B20" s="15"/>
      <c r="C20" s="16"/>
      <c r="D20" s="16"/>
      <c r="E20" s="17"/>
    </row>
    <row r="21" spans="2:5" s="1" customFormat="1" ht="15">
      <c r="B21" s="18"/>
      <c r="C21" s="19" t="s">
        <v>194</v>
      </c>
      <c r="D21" s="35">
        <f>(D7*(1+D8)^(D14+D15+1))/(D12-D8)</f>
        <v>93.225076057464378</v>
      </c>
      <c r="E21" s="21"/>
    </row>
    <row r="22" spans="2:5" s="1" customFormat="1" ht="15">
      <c r="B22" s="18"/>
      <c r="C22" s="19" t="s">
        <v>195</v>
      </c>
      <c r="D22" s="132">
        <f>D7*(1+D8)^(D14+1)/(1+D11)^(D14-2)+D7*(1+D8)^(D14+2)/(1+D11)^(D14-1)+D7*(1+D8)^(D14+3)/(1+D11)^(D14)+D21/(1+D11)^D14</f>
        <v>74.36959511142183</v>
      </c>
      <c r="E22" s="21"/>
    </row>
    <row r="23" spans="2:5" s="1" customFormat="1" ht="15">
      <c r="B23" s="18"/>
      <c r="C23" s="20" t="s">
        <v>196</v>
      </c>
      <c r="D23" s="132">
        <f>D7*(1+D8)/(1+D10)+D7*(1+D8)^(D14-1)/(1+D10)^(D14-1)+D7*(1+D8)^D14/(1+D10)^D14+D22/(1+D10)^D14</f>
        <v>56.81802496025108</v>
      </c>
      <c r="E23" s="21"/>
    </row>
    <row r="24" spans="2:5" s="1" customFormat="1" ht="15.75">
      <c r="B24" s="18"/>
      <c r="C24" s="20"/>
      <c r="D24" s="27"/>
      <c r="E24" s="21"/>
    </row>
    <row r="25" spans="2:5" s="1" customFormat="1" ht="15.75">
      <c r="B25" s="18"/>
      <c r="C25" s="20" t="s">
        <v>193</v>
      </c>
      <c r="D25" s="23">
        <f>D23</f>
        <v>56.81802496025108</v>
      </c>
      <c r="E25" s="21"/>
    </row>
    <row r="26" spans="2:5" s="1" customFormat="1" ht="15" customHeight="1" thickBot="1">
      <c r="B26" s="24"/>
      <c r="C26" s="25"/>
      <c r="D26" s="25"/>
      <c r="E26" s="26"/>
    </row>
    <row r="27" spans="2:5" s="1" customFormat="1" ht="15"/>
    <row r="28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12111121112"/>
  <dimension ref="B1:E20"/>
  <sheetViews>
    <sheetView workbookViewId="0"/>
  </sheetViews>
  <sheetFormatPr defaultRowHeight="12.75"/>
  <cols>
    <col min="2" max="2" width="3.140625" customWidth="1"/>
    <col min="3" max="3" width="33.140625" bestFit="1" customWidth="1"/>
    <col min="4" max="4" width="16.140625" customWidth="1"/>
    <col min="5" max="5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27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25</v>
      </c>
      <c r="D7" s="78">
        <v>15</v>
      </c>
      <c r="E7" s="11"/>
    </row>
    <row r="8" spans="2:5" s="1" customFormat="1" ht="15">
      <c r="B8" s="9"/>
      <c r="C8" s="10" t="s">
        <v>5</v>
      </c>
      <c r="D8" s="81">
        <v>5.5E-2</v>
      </c>
      <c r="E8" s="11"/>
    </row>
    <row r="9" spans="2:5" s="1" customFormat="1" ht="15">
      <c r="B9" s="9"/>
      <c r="C9" s="10" t="s">
        <v>6</v>
      </c>
      <c r="D9" s="73">
        <v>0.13</v>
      </c>
      <c r="E9" s="11"/>
    </row>
    <row r="10" spans="2:5" s="1" customFormat="1" ht="15">
      <c r="B10" s="9"/>
      <c r="C10" s="10" t="s">
        <v>24</v>
      </c>
      <c r="D10" s="79">
        <v>10</v>
      </c>
      <c r="E10" s="11"/>
    </row>
    <row r="11" spans="2:5" s="1" customFormat="1" ht="15" customHeight="1" thickBot="1">
      <c r="B11" s="12"/>
      <c r="C11" s="13"/>
      <c r="D11" s="13"/>
      <c r="E11" s="14"/>
    </row>
    <row r="12" spans="2:5" s="1" customFormat="1" ht="15"/>
    <row r="13" spans="2:5" s="1" customFormat="1" ht="15">
      <c r="C13" s="2" t="s">
        <v>2</v>
      </c>
    </row>
    <row r="14" spans="2:5" s="1" customFormat="1" ht="15.75" thickBot="1">
      <c r="C14" s="3"/>
    </row>
    <row r="15" spans="2:5" s="1" customFormat="1" ht="15">
      <c r="B15" s="15"/>
      <c r="C15" s="16"/>
      <c r="D15" s="16"/>
      <c r="E15" s="17"/>
    </row>
    <row r="16" spans="2:5" s="1" customFormat="1" ht="15">
      <c r="B16" s="18"/>
      <c r="C16" s="20" t="str">
        <f>"Share price at Year "&amp;D10-1</f>
        <v>Share price at Year 9</v>
      </c>
      <c r="D16" s="131">
        <f>D7/(D9-D8)</f>
        <v>199.99999999999997</v>
      </c>
      <c r="E16" s="21"/>
    </row>
    <row r="17" spans="2:5" s="1" customFormat="1" ht="15">
      <c r="B17" s="18"/>
      <c r="C17" s="20"/>
      <c r="D17" s="20"/>
      <c r="E17" s="21"/>
    </row>
    <row r="18" spans="2:5" s="1" customFormat="1" ht="15.75">
      <c r="B18" s="18"/>
      <c r="C18" s="19" t="s">
        <v>193</v>
      </c>
      <c r="D18" s="28">
        <f>D16/(1+D9)^(D10-1)</f>
        <v>66.576966676504341</v>
      </c>
      <c r="E18" s="34"/>
    </row>
    <row r="19" spans="2:5" s="1" customFormat="1" ht="15" customHeight="1" thickBot="1">
      <c r="B19" s="24"/>
      <c r="C19" s="25"/>
      <c r="D19" s="25"/>
      <c r="E19" s="26"/>
    </row>
    <row r="20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121111211121"/>
  <dimension ref="B1:E30"/>
  <sheetViews>
    <sheetView workbookViewId="0"/>
  </sheetViews>
  <sheetFormatPr defaultRowHeight="12.75"/>
  <cols>
    <col min="2" max="2" width="3.140625" customWidth="1"/>
    <col min="3" max="3" width="22.140625" bestFit="1" customWidth="1"/>
    <col min="4" max="4" width="16.140625" customWidth="1"/>
    <col min="5" max="5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32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26</v>
      </c>
      <c r="D7" s="78">
        <v>12</v>
      </c>
      <c r="E7" s="11"/>
    </row>
    <row r="8" spans="2:5" s="1" customFormat="1" ht="15">
      <c r="B8" s="9"/>
      <c r="C8" s="10" t="s">
        <v>5</v>
      </c>
      <c r="D8" s="80">
        <v>3</v>
      </c>
      <c r="E8" s="11"/>
    </row>
    <row r="9" spans="2:5" s="1" customFormat="1" ht="15">
      <c r="B9" s="9"/>
      <c r="C9" s="10" t="s">
        <v>6</v>
      </c>
      <c r="D9" s="73">
        <v>0.12</v>
      </c>
      <c r="E9" s="11"/>
    </row>
    <row r="10" spans="2:5" s="1" customFormat="1" ht="15">
      <c r="B10" s="9"/>
      <c r="C10" s="10" t="s">
        <v>75</v>
      </c>
      <c r="D10" s="89">
        <v>5</v>
      </c>
      <c r="E10" s="11"/>
    </row>
    <row r="11" spans="2:5" s="1" customFormat="1" ht="15" customHeight="1" thickBot="1">
      <c r="B11" s="12"/>
      <c r="C11" s="13"/>
      <c r="D11" s="13"/>
      <c r="E11" s="14"/>
    </row>
    <row r="12" spans="2:5" s="1" customFormat="1" ht="15"/>
    <row r="13" spans="2:5" s="1" customFormat="1" ht="15">
      <c r="C13" s="2" t="s">
        <v>2</v>
      </c>
    </row>
    <row r="14" spans="2:5" s="1" customFormat="1" ht="15.75" thickBot="1">
      <c r="C14" s="3"/>
    </row>
    <row r="15" spans="2:5" s="1" customFormat="1" ht="15">
      <c r="B15" s="15"/>
      <c r="C15" s="16"/>
      <c r="D15" s="16"/>
      <c r="E15" s="17"/>
    </row>
    <row r="16" spans="2:5" s="1" customFormat="1" ht="15">
      <c r="B16" s="18"/>
      <c r="C16" s="87" t="s">
        <v>74</v>
      </c>
      <c r="D16" s="88" t="s">
        <v>26</v>
      </c>
      <c r="E16" s="21"/>
    </row>
    <row r="17" spans="2:5" s="1" customFormat="1" ht="15">
      <c r="B17" s="18"/>
      <c r="C17" s="87">
        <v>1</v>
      </c>
      <c r="D17" s="91">
        <f>D7+D8</f>
        <v>15</v>
      </c>
      <c r="E17" s="21"/>
    </row>
    <row r="18" spans="2:5" s="1" customFormat="1" ht="15">
      <c r="B18" s="18"/>
      <c r="C18" s="87">
        <v>2</v>
      </c>
      <c r="D18" s="90">
        <f>IF(C18&lt;=D10,D17+D8,0)</f>
        <v>18</v>
      </c>
      <c r="E18" s="21"/>
    </row>
    <row r="19" spans="2:5" s="1" customFormat="1" ht="15">
      <c r="B19" s="18"/>
      <c r="C19" s="87">
        <v>3</v>
      </c>
      <c r="D19" s="90">
        <f>IF(C19&lt;=$D$10,D18+$D$8,0)</f>
        <v>21</v>
      </c>
      <c r="E19" s="21"/>
    </row>
    <row r="20" spans="2:5" s="1" customFormat="1" ht="15">
      <c r="B20" s="18"/>
      <c r="C20" s="87">
        <v>4</v>
      </c>
      <c r="D20" s="90">
        <f t="shared" ref="D20:D26" si="0">IF(C20&lt;=$D$10,D19+$D$8,0)</f>
        <v>24</v>
      </c>
      <c r="E20" s="21"/>
    </row>
    <row r="21" spans="2:5" s="1" customFormat="1" ht="15">
      <c r="B21" s="18"/>
      <c r="C21" s="87">
        <v>5</v>
      </c>
      <c r="D21" s="90">
        <f t="shared" si="0"/>
        <v>27</v>
      </c>
      <c r="E21" s="21"/>
    </row>
    <row r="22" spans="2:5" s="1" customFormat="1" ht="15">
      <c r="B22" s="18"/>
      <c r="C22" s="87">
        <v>6</v>
      </c>
      <c r="D22" s="90">
        <f t="shared" si="0"/>
        <v>0</v>
      </c>
      <c r="E22" s="21"/>
    </row>
    <row r="23" spans="2:5" s="1" customFormat="1" ht="15">
      <c r="B23" s="18"/>
      <c r="C23" s="87">
        <v>7</v>
      </c>
      <c r="D23" s="90">
        <f t="shared" si="0"/>
        <v>0</v>
      </c>
      <c r="E23" s="21"/>
    </row>
    <row r="24" spans="2:5" s="1" customFormat="1" ht="15">
      <c r="B24" s="18"/>
      <c r="C24" s="87">
        <v>8</v>
      </c>
      <c r="D24" s="90">
        <f t="shared" si="0"/>
        <v>0</v>
      </c>
      <c r="E24" s="21"/>
    </row>
    <row r="25" spans="2:5" s="1" customFormat="1" ht="15">
      <c r="B25" s="18"/>
      <c r="C25" s="87">
        <v>9</v>
      </c>
      <c r="D25" s="90">
        <f t="shared" si="0"/>
        <v>0</v>
      </c>
      <c r="E25" s="21"/>
    </row>
    <row r="26" spans="2:5" s="1" customFormat="1" ht="15">
      <c r="B26" s="18"/>
      <c r="C26" s="87">
        <v>10</v>
      </c>
      <c r="D26" s="90">
        <f t="shared" si="0"/>
        <v>0</v>
      </c>
      <c r="E26" s="21"/>
    </row>
    <row r="27" spans="2:5" s="1" customFormat="1" ht="15">
      <c r="B27" s="18"/>
      <c r="C27" s="20"/>
      <c r="D27" s="20"/>
      <c r="E27" s="21"/>
    </row>
    <row r="28" spans="2:5" s="1" customFormat="1" ht="15.75">
      <c r="B28" s="18"/>
      <c r="C28" s="19" t="s">
        <v>16</v>
      </c>
      <c r="D28" s="28">
        <f>NPV(D9,D17:D26)</f>
        <v>73.262691128975277</v>
      </c>
      <c r="E28" s="34"/>
    </row>
    <row r="29" spans="2:5" s="1" customFormat="1" ht="15" customHeight="1" thickBot="1">
      <c r="B29" s="24"/>
      <c r="C29" s="25"/>
      <c r="D29" s="25"/>
      <c r="E29" s="26"/>
    </row>
    <row r="30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211112111211"/>
  <dimension ref="B1:E22"/>
  <sheetViews>
    <sheetView workbookViewId="0"/>
  </sheetViews>
  <sheetFormatPr defaultRowHeight="12.75"/>
  <cols>
    <col min="2" max="2" width="3.140625" customWidth="1"/>
    <col min="3" max="3" width="28.42578125" customWidth="1"/>
    <col min="4" max="4" width="16.140625" customWidth="1"/>
    <col min="5" max="5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33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28</v>
      </c>
      <c r="D7" s="78">
        <v>10</v>
      </c>
      <c r="E7" s="11"/>
    </row>
    <row r="8" spans="2:5" s="1" customFormat="1" ht="15">
      <c r="B8" s="9"/>
      <c r="C8" s="10" t="s">
        <v>29</v>
      </c>
      <c r="D8" s="80">
        <v>7</v>
      </c>
      <c r="E8" s="11"/>
    </row>
    <row r="9" spans="2:5" s="1" customFormat="1" ht="15">
      <c r="B9" s="9"/>
      <c r="C9" s="10" t="s">
        <v>30</v>
      </c>
      <c r="D9" s="80">
        <v>6</v>
      </c>
      <c r="E9" s="11"/>
    </row>
    <row r="10" spans="2:5" s="1" customFormat="1" ht="15">
      <c r="B10" s="9"/>
      <c r="C10" s="10" t="s">
        <v>31</v>
      </c>
      <c r="D10" s="80">
        <v>2.75</v>
      </c>
      <c r="E10" s="11"/>
    </row>
    <row r="11" spans="2:5" s="1" customFormat="1" ht="15">
      <c r="B11" s="9"/>
      <c r="C11" s="10" t="s">
        <v>5</v>
      </c>
      <c r="D11" s="72">
        <v>0.05</v>
      </c>
      <c r="E11" s="11"/>
    </row>
    <row r="12" spans="2:5" s="1" customFormat="1" ht="15">
      <c r="B12" s="9"/>
      <c r="C12" s="10" t="s">
        <v>6</v>
      </c>
      <c r="D12" s="73">
        <v>0.13</v>
      </c>
      <c r="E12" s="11"/>
    </row>
    <row r="13" spans="2:5" s="1" customFormat="1" ht="15" customHeight="1" thickBot="1">
      <c r="B13" s="12"/>
      <c r="C13" s="13"/>
      <c r="D13" s="13"/>
      <c r="E13" s="14"/>
    </row>
    <row r="14" spans="2:5" s="1" customFormat="1" ht="15"/>
    <row r="15" spans="2:5" s="1" customFormat="1" ht="15">
      <c r="C15" s="2" t="s">
        <v>2</v>
      </c>
    </row>
    <row r="16" spans="2:5" s="1" customFormat="1" ht="15.75" thickBot="1">
      <c r="C16" s="3"/>
    </row>
    <row r="17" spans="2:5" s="1" customFormat="1" ht="15">
      <c r="B17" s="15"/>
      <c r="C17" s="16"/>
      <c r="D17" s="16"/>
      <c r="E17" s="17"/>
    </row>
    <row r="18" spans="2:5" s="1" customFormat="1" ht="15">
      <c r="B18" s="18"/>
      <c r="C18" s="20" t="s">
        <v>197</v>
      </c>
      <c r="D18" s="131">
        <f>(D10*(1+D11))/(D12-D11)</f>
        <v>36.09375</v>
      </c>
      <c r="E18" s="21"/>
    </row>
    <row r="19" spans="2:5" s="1" customFormat="1" ht="15">
      <c r="B19" s="18"/>
      <c r="C19" s="20"/>
      <c r="D19" s="20"/>
      <c r="E19" s="21"/>
    </row>
    <row r="20" spans="2:5" s="1" customFormat="1" ht="15.75">
      <c r="B20" s="18"/>
      <c r="C20" s="19" t="s">
        <v>193</v>
      </c>
      <c r="D20" s="28">
        <f>D7/(1+D12)+D8/(1+D12)^2+D9/(1+D12)^3+(D10+D18)/(1+D12)^4</f>
        <v>42.313484607702435</v>
      </c>
      <c r="E20" s="34"/>
    </row>
    <row r="21" spans="2:5" s="1" customFormat="1" ht="15" customHeight="1" thickBot="1">
      <c r="B21" s="24"/>
      <c r="C21" s="25"/>
      <c r="D21" s="25"/>
      <c r="E21" s="26"/>
    </row>
    <row r="22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1211112111212"/>
  <dimension ref="B1:E22"/>
  <sheetViews>
    <sheetView workbookViewId="0"/>
  </sheetViews>
  <sheetFormatPr defaultRowHeight="12.75"/>
  <cols>
    <col min="2" max="2" width="3.140625" customWidth="1"/>
    <col min="3" max="3" width="40.5703125" bestFit="1" customWidth="1"/>
    <col min="4" max="4" width="16.140625" customWidth="1"/>
    <col min="5" max="5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37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198</v>
      </c>
      <c r="D7" s="72">
        <v>0.2</v>
      </c>
      <c r="E7" s="11"/>
    </row>
    <row r="8" spans="2:5" s="1" customFormat="1" ht="15">
      <c r="B8" s="9"/>
      <c r="C8" s="10" t="s">
        <v>199</v>
      </c>
      <c r="D8" s="73">
        <v>0.05</v>
      </c>
      <c r="E8" s="11"/>
    </row>
    <row r="9" spans="2:5" s="1" customFormat="1" ht="15">
      <c r="B9" s="9"/>
      <c r="C9" s="10" t="s">
        <v>6</v>
      </c>
      <c r="D9" s="72">
        <v>0.12</v>
      </c>
      <c r="E9" s="11"/>
    </row>
    <row r="10" spans="2:5" s="1" customFormat="1" ht="15">
      <c r="B10" s="9"/>
      <c r="C10" s="10" t="s">
        <v>26</v>
      </c>
      <c r="D10" s="78">
        <v>2.8</v>
      </c>
      <c r="E10" s="11"/>
    </row>
    <row r="11" spans="2:5" s="1" customFormat="1" ht="15" customHeight="1" thickBot="1">
      <c r="B11" s="12"/>
      <c r="C11" s="13"/>
      <c r="D11" s="13"/>
      <c r="E11" s="14"/>
    </row>
    <row r="12" spans="2:5" s="1" customFormat="1" ht="15"/>
    <row r="13" spans="2:5" s="1" customFormat="1" ht="15">
      <c r="C13" s="2" t="s">
        <v>2</v>
      </c>
    </row>
    <row r="14" spans="2:5" s="1" customFormat="1" ht="15.75" thickBot="1">
      <c r="C14" s="3"/>
    </row>
    <row r="15" spans="2:5" s="1" customFormat="1" ht="15">
      <c r="B15" s="15"/>
      <c r="C15" s="16"/>
      <c r="D15" s="16"/>
      <c r="E15" s="17"/>
    </row>
    <row r="16" spans="2:5" s="1" customFormat="1" ht="15">
      <c r="B16" s="18"/>
      <c r="C16" s="20" t="s">
        <v>77</v>
      </c>
      <c r="D16" s="36">
        <f>D10*(1+D7)^3*(1+D8)/(D9-D8)</f>
        <v>72.576000000000008</v>
      </c>
      <c r="E16" s="21"/>
    </row>
    <row r="17" spans="2:5" s="1" customFormat="1" ht="15">
      <c r="B17" s="18"/>
      <c r="C17" s="20"/>
      <c r="D17" s="20"/>
      <c r="E17" s="21"/>
    </row>
    <row r="18" spans="2:5" s="1" customFormat="1" ht="15.75">
      <c r="B18" s="18"/>
      <c r="C18" s="19" t="s">
        <v>193</v>
      </c>
      <c r="D18" s="28">
        <f>D10*(1+D7)/(1+D9)+D10*(1+D7)^2/(1+D9)^2+D10*(1+D7)^3/(1+D9)^3+D16/(1+D9)^3</f>
        <v>61.316326530612237</v>
      </c>
      <c r="E18" s="34"/>
    </row>
    <row r="19" spans="2:5" s="1" customFormat="1" ht="15" customHeight="1" thickBot="1">
      <c r="B19" s="24"/>
      <c r="C19" s="25"/>
      <c r="D19" s="25"/>
      <c r="E19" s="26"/>
    </row>
    <row r="20" spans="2:5" s="1" customFormat="1" ht="15"/>
    <row r="21" spans="2:5" s="1" customFormat="1" ht="15"/>
    <row r="22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12111131"/>
  <dimension ref="B1:G28"/>
  <sheetViews>
    <sheetView workbookViewId="0"/>
  </sheetViews>
  <sheetFormatPr defaultRowHeight="12.75"/>
  <cols>
    <col min="2" max="2" width="3.140625" customWidth="1"/>
    <col min="3" max="3" width="26.85546875" customWidth="1"/>
    <col min="4" max="4" width="13.140625" customWidth="1"/>
    <col min="5" max="5" width="3.140625" customWidth="1"/>
    <col min="6" max="6" width="3.85546875" customWidth="1"/>
    <col min="7" max="7" width="3.140625" customWidth="1"/>
  </cols>
  <sheetData>
    <row r="1" spans="2:7" s="1" customFormat="1" ht="18">
      <c r="C1" s="86" t="s">
        <v>228</v>
      </c>
    </row>
    <row r="2" spans="2:7" s="1" customFormat="1" ht="15">
      <c r="C2" s="1" t="s">
        <v>38</v>
      </c>
    </row>
    <row r="3" spans="2:7" s="1" customFormat="1" ht="15"/>
    <row r="4" spans="2:7" s="1" customFormat="1" ht="15">
      <c r="C4" s="2" t="s">
        <v>1</v>
      </c>
    </row>
    <row r="5" spans="2:7" s="1" customFormat="1" ht="15.75" thickBot="1">
      <c r="C5" s="3"/>
      <c r="D5" s="4"/>
      <c r="E5" s="4"/>
      <c r="F5" s="4"/>
    </row>
    <row r="6" spans="2:7" s="1" customFormat="1" ht="15">
      <c r="B6" s="5"/>
      <c r="C6" s="6"/>
      <c r="D6" s="7"/>
      <c r="E6" s="8"/>
      <c r="F6" s="39"/>
      <c r="G6" s="39"/>
    </row>
    <row r="7" spans="2:7" s="1" customFormat="1" ht="15">
      <c r="B7" s="9"/>
      <c r="C7" s="10" t="s">
        <v>34</v>
      </c>
      <c r="D7" s="73">
        <v>0.3</v>
      </c>
      <c r="E7" s="44"/>
      <c r="F7" s="41"/>
      <c r="G7" s="39"/>
    </row>
    <row r="8" spans="2:7" s="1" customFormat="1" ht="15">
      <c r="B8" s="9"/>
      <c r="C8" s="10" t="s">
        <v>20</v>
      </c>
      <c r="D8" s="74">
        <v>3</v>
      </c>
      <c r="E8" s="46"/>
      <c r="F8" s="42"/>
      <c r="G8" s="39"/>
    </row>
    <row r="9" spans="2:7" s="1" customFormat="1" ht="15">
      <c r="B9" s="9"/>
      <c r="C9" s="10" t="s">
        <v>35</v>
      </c>
      <c r="D9" s="73">
        <v>0.18</v>
      </c>
      <c r="E9" s="44"/>
      <c r="F9" s="41"/>
      <c r="G9" s="39"/>
    </row>
    <row r="10" spans="2:7" s="1" customFormat="1" ht="15">
      <c r="B10" s="9"/>
      <c r="C10" s="10" t="s">
        <v>21</v>
      </c>
      <c r="D10" s="74">
        <v>1</v>
      </c>
      <c r="E10" s="46"/>
      <c r="F10" s="42"/>
      <c r="G10" s="39"/>
    </row>
    <row r="11" spans="2:7" s="1" customFormat="1" ht="15">
      <c r="B11" s="9"/>
      <c r="C11" s="10" t="s">
        <v>36</v>
      </c>
      <c r="D11" s="73">
        <v>0.08</v>
      </c>
      <c r="E11" s="44"/>
      <c r="F11" s="41"/>
      <c r="G11" s="39"/>
    </row>
    <row r="12" spans="2:7" s="1" customFormat="1" ht="15">
      <c r="B12" s="9"/>
      <c r="C12" s="10" t="s">
        <v>6</v>
      </c>
      <c r="D12" s="73">
        <v>0.11</v>
      </c>
      <c r="E12" s="44"/>
      <c r="F12" s="41"/>
      <c r="G12" s="39"/>
    </row>
    <row r="13" spans="2:7" s="1" customFormat="1" ht="15">
      <c r="B13" s="9"/>
      <c r="C13" s="10" t="s">
        <v>16</v>
      </c>
      <c r="D13" s="71">
        <v>65</v>
      </c>
      <c r="E13" s="43"/>
      <c r="F13" s="40"/>
      <c r="G13" s="39"/>
    </row>
    <row r="14" spans="2:7" s="1" customFormat="1" ht="15" customHeight="1" thickBot="1">
      <c r="B14" s="12"/>
      <c r="C14" s="13"/>
      <c r="D14" s="13"/>
      <c r="E14" s="14"/>
      <c r="F14" s="39"/>
      <c r="G14" s="39"/>
    </row>
    <row r="15" spans="2:7" s="1" customFormat="1" ht="15"/>
    <row r="16" spans="2:7" s="1" customFormat="1" ht="15">
      <c r="C16" s="2" t="s">
        <v>2</v>
      </c>
    </row>
    <row r="17" spans="2:7" s="1" customFormat="1" ht="15.75" thickBot="1">
      <c r="C17" s="3"/>
    </row>
    <row r="18" spans="2:7" s="1" customFormat="1" ht="15">
      <c r="B18" s="15"/>
      <c r="C18" s="16"/>
      <c r="D18" s="16"/>
      <c r="E18" s="16"/>
      <c r="F18" s="16"/>
      <c r="G18" s="17"/>
    </row>
    <row r="19" spans="2:7" s="1" customFormat="1" ht="19.5">
      <c r="B19" s="18"/>
      <c r="C19" s="20" t="s">
        <v>200</v>
      </c>
      <c r="D19" s="38">
        <f>(1+D7)^D8*(1+D9)*(1+D11)/(D12-D11)</f>
        <v>93.328560000000024</v>
      </c>
      <c r="E19" s="38" t="s">
        <v>73</v>
      </c>
      <c r="F19" s="38"/>
      <c r="G19" s="47"/>
    </row>
    <row r="20" spans="2:7" s="1" customFormat="1" ht="15">
      <c r="B20" s="18"/>
      <c r="C20" s="20"/>
      <c r="D20" s="38"/>
      <c r="E20" s="38"/>
      <c r="F20" s="38"/>
      <c r="G20" s="47"/>
    </row>
    <row r="21" spans="2:7" s="1" customFormat="1" ht="19.5">
      <c r="B21" s="18"/>
      <c r="C21" s="20" t="s">
        <v>193</v>
      </c>
      <c r="D21" s="38">
        <f>(1+D7)/(1+D12)+((1+D7)^2/(1+D12))^2+((1+D7)^3/(1+D12))^3+((1+D7)^3*(1+D9)+D19)/(1+D12)^4</f>
        <v>74.429311492890506</v>
      </c>
      <c r="E21" s="38" t="s">
        <v>73</v>
      </c>
      <c r="F21" s="38"/>
      <c r="G21" s="47"/>
    </row>
    <row r="22" spans="2:7" s="1" customFormat="1" ht="15">
      <c r="B22" s="18"/>
      <c r="C22" s="20"/>
      <c r="D22" s="38"/>
      <c r="E22" s="38"/>
      <c r="F22" s="38"/>
      <c r="G22" s="47"/>
    </row>
    <row r="23" spans="2:7" s="1" customFormat="1" ht="15">
      <c r="B23" s="18"/>
      <c r="C23" s="20" t="s">
        <v>201</v>
      </c>
      <c r="D23" s="36">
        <f>D13/D21</f>
        <v>0.87331185384146415</v>
      </c>
      <c r="E23" s="22"/>
      <c r="F23" s="22"/>
      <c r="G23" s="47"/>
    </row>
    <row r="24" spans="2:7" s="1" customFormat="1" ht="15">
      <c r="B24" s="18"/>
      <c r="C24" s="20"/>
      <c r="D24" s="36"/>
      <c r="E24" s="22"/>
      <c r="F24" s="22"/>
      <c r="G24" s="47"/>
    </row>
    <row r="25" spans="2:7" s="1" customFormat="1" ht="15.75">
      <c r="B25" s="18"/>
      <c r="C25" s="20" t="s">
        <v>202</v>
      </c>
      <c r="D25" s="23">
        <f>D23*(1+D7)</f>
        <v>1.1353054099939035</v>
      </c>
      <c r="E25" s="22"/>
      <c r="F25" s="22"/>
      <c r="G25" s="47"/>
    </row>
    <row r="26" spans="2:7" s="1" customFormat="1" ht="15" customHeight="1" thickBot="1">
      <c r="B26" s="24"/>
      <c r="C26" s="25"/>
      <c r="D26" s="25"/>
      <c r="E26" s="25"/>
      <c r="F26" s="25"/>
      <c r="G26" s="26"/>
    </row>
    <row r="27" spans="2:7" s="1" customFormat="1" ht="15"/>
    <row r="28" spans="2:7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1211114"/>
  <dimension ref="B1:E18"/>
  <sheetViews>
    <sheetView workbookViewId="0"/>
  </sheetViews>
  <sheetFormatPr defaultRowHeight="12.75"/>
  <cols>
    <col min="2" max="2" width="3.140625" customWidth="1"/>
    <col min="3" max="3" width="23" customWidth="1"/>
    <col min="4" max="4" width="16.5703125" customWidth="1"/>
    <col min="5" max="5" width="3.140625" customWidth="1"/>
    <col min="6" max="6" width="10.140625" customWidth="1"/>
    <col min="7" max="7" width="13.42578125" customWidth="1"/>
    <col min="8" max="8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39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4</v>
      </c>
      <c r="D7" s="71">
        <v>9</v>
      </c>
      <c r="E7" s="11"/>
    </row>
    <row r="8" spans="2:5" s="1" customFormat="1" ht="15">
      <c r="B8" s="9"/>
      <c r="C8" s="10" t="s">
        <v>5</v>
      </c>
      <c r="D8" s="72">
        <v>-0.04</v>
      </c>
      <c r="E8" s="11"/>
    </row>
    <row r="9" spans="2:5" s="1" customFormat="1" ht="15">
      <c r="B9" s="9"/>
      <c r="C9" s="10" t="s">
        <v>6</v>
      </c>
      <c r="D9" s="73">
        <v>0.11</v>
      </c>
      <c r="E9" s="11"/>
    </row>
    <row r="10" spans="2:5" s="1" customFormat="1" ht="15" customHeight="1" thickBot="1">
      <c r="B10" s="12"/>
      <c r="C10" s="13"/>
      <c r="D10" s="13"/>
      <c r="E10" s="14"/>
    </row>
    <row r="11" spans="2:5" s="1" customFormat="1" ht="15"/>
    <row r="12" spans="2:5" s="1" customFormat="1" ht="15">
      <c r="C12" s="2" t="s">
        <v>2</v>
      </c>
    </row>
    <row r="13" spans="2:5" s="1" customFormat="1" ht="15.75" thickBot="1">
      <c r="C13" s="3"/>
    </row>
    <row r="14" spans="2:5" s="1" customFormat="1" ht="15">
      <c r="B14" s="15"/>
      <c r="C14" s="16"/>
      <c r="D14" s="16"/>
      <c r="E14" s="17"/>
    </row>
    <row r="15" spans="2:5" s="1" customFormat="1" ht="15.75">
      <c r="B15" s="18"/>
      <c r="C15" s="19" t="s">
        <v>190</v>
      </c>
      <c r="D15" s="28">
        <f>(D7*(1+D8))/(D9-D8)</f>
        <v>57.600000000000009</v>
      </c>
      <c r="E15" s="21"/>
    </row>
    <row r="16" spans="2:5" s="1" customFormat="1" ht="15" customHeight="1" thickBot="1">
      <c r="B16" s="24"/>
      <c r="C16" s="25"/>
      <c r="D16" s="25"/>
      <c r="E16" s="26"/>
    </row>
    <row r="17" s="1" customFormat="1" ht="15"/>
    <row r="18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1211112112"/>
  <dimension ref="B1:E17"/>
  <sheetViews>
    <sheetView workbookViewId="0"/>
  </sheetViews>
  <sheetFormatPr defaultRowHeight="12.75"/>
  <cols>
    <col min="2" max="2" width="3.140625" customWidth="1"/>
    <col min="3" max="3" width="22.85546875" customWidth="1"/>
    <col min="4" max="4" width="15" customWidth="1"/>
    <col min="5" max="5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41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11</v>
      </c>
      <c r="D7" s="78">
        <v>58.32</v>
      </c>
      <c r="E7" s="11"/>
    </row>
    <row r="8" spans="2:5" s="1" customFormat="1" ht="15">
      <c r="B8" s="9"/>
      <c r="C8" s="10" t="s">
        <v>6</v>
      </c>
      <c r="D8" s="77">
        <v>0.115</v>
      </c>
      <c r="E8" s="11"/>
    </row>
    <row r="9" spans="2:5" s="1" customFormat="1" ht="15">
      <c r="B9" s="9"/>
      <c r="C9" s="10" t="s">
        <v>5</v>
      </c>
      <c r="D9" s="73">
        <v>0.05</v>
      </c>
      <c r="E9" s="11"/>
    </row>
    <row r="10" spans="2:5" s="1" customFormat="1" ht="15" customHeight="1" thickBot="1">
      <c r="B10" s="12"/>
      <c r="C10" s="13"/>
      <c r="D10" s="13"/>
      <c r="E10" s="14"/>
    </row>
    <row r="11" spans="2:5" s="1" customFormat="1" ht="15"/>
    <row r="12" spans="2:5" s="1" customFormat="1" ht="15">
      <c r="C12" s="2" t="s">
        <v>2</v>
      </c>
    </row>
    <row r="13" spans="2:5" s="1" customFormat="1" ht="15.75" thickBot="1">
      <c r="C13" s="3"/>
    </row>
    <row r="14" spans="2:5" s="1" customFormat="1" ht="15">
      <c r="B14" s="15"/>
      <c r="C14" s="16"/>
      <c r="D14" s="16"/>
      <c r="E14" s="17"/>
    </row>
    <row r="15" spans="2:5" s="1" customFormat="1" ht="15.75">
      <c r="B15" s="18"/>
      <c r="C15" s="19" t="s">
        <v>201</v>
      </c>
      <c r="D15" s="23">
        <f>(D7*(D8-D9))/(1+D9)</f>
        <v>3.6102857142857139</v>
      </c>
      <c r="E15" s="34"/>
    </row>
    <row r="16" spans="2:5" s="1" customFormat="1" ht="15" customHeight="1" thickBot="1">
      <c r="B16" s="24"/>
      <c r="C16" s="25"/>
      <c r="D16" s="25"/>
      <c r="E16" s="26"/>
    </row>
    <row r="17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121111"/>
  <dimension ref="B1:E23"/>
  <sheetViews>
    <sheetView workbookViewId="0"/>
  </sheetViews>
  <sheetFormatPr defaultRowHeight="12.75"/>
  <cols>
    <col min="2" max="2" width="3.140625" customWidth="1"/>
    <col min="3" max="3" width="22.85546875" customWidth="1"/>
    <col min="4" max="4" width="19.5703125" customWidth="1"/>
    <col min="5" max="5" width="3.140625" customWidth="1"/>
    <col min="6" max="6" width="10.140625" customWidth="1"/>
    <col min="7" max="7" width="13.42578125" customWidth="1"/>
    <col min="8" max="8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3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4</v>
      </c>
      <c r="D7" s="71">
        <v>2.15</v>
      </c>
      <c r="E7" s="11"/>
    </row>
    <row r="8" spans="2:5" s="1" customFormat="1" ht="15">
      <c r="B8" s="9"/>
      <c r="C8" s="10" t="s">
        <v>5</v>
      </c>
      <c r="D8" s="72">
        <v>0.05</v>
      </c>
      <c r="E8" s="11"/>
    </row>
    <row r="9" spans="2:5" s="1" customFormat="1" ht="15">
      <c r="B9" s="9"/>
      <c r="C9" s="10" t="s">
        <v>6</v>
      </c>
      <c r="D9" s="73">
        <v>0.11</v>
      </c>
      <c r="E9" s="11"/>
    </row>
    <row r="10" spans="2:5" s="1" customFormat="1" ht="15">
      <c r="B10" s="9"/>
      <c r="C10" s="10" t="s">
        <v>236</v>
      </c>
      <c r="D10" s="74">
        <v>0</v>
      </c>
      <c r="E10" s="11"/>
    </row>
    <row r="11" spans="2:5" s="1" customFormat="1" ht="15">
      <c r="B11" s="9"/>
      <c r="C11" s="10" t="s">
        <v>236</v>
      </c>
      <c r="D11" s="74">
        <v>3</v>
      </c>
      <c r="E11" s="11"/>
    </row>
    <row r="12" spans="2:5" s="1" customFormat="1" ht="15">
      <c r="B12" s="9"/>
      <c r="C12" s="10" t="s">
        <v>236</v>
      </c>
      <c r="D12" s="74">
        <v>15</v>
      </c>
      <c r="E12" s="11"/>
    </row>
    <row r="13" spans="2:5" s="1" customFormat="1" ht="15" customHeight="1" thickBot="1">
      <c r="B13" s="12"/>
      <c r="C13" s="13"/>
      <c r="D13" s="13"/>
      <c r="E13" s="14"/>
    </row>
    <row r="14" spans="2:5" s="1" customFormat="1" ht="15"/>
    <row r="15" spans="2:5" s="1" customFormat="1" ht="15">
      <c r="C15" s="2" t="s">
        <v>2</v>
      </c>
    </row>
    <row r="16" spans="2:5" s="1" customFormat="1" ht="15.75" thickBot="1">
      <c r="C16" s="3"/>
    </row>
    <row r="17" spans="2:5" s="1" customFormat="1" ht="15">
      <c r="B17" s="15"/>
      <c r="C17" s="16"/>
      <c r="D17" s="16"/>
      <c r="E17" s="17"/>
    </row>
    <row r="18" spans="2:5" s="1" customFormat="1" ht="15.75">
      <c r="B18" s="18"/>
      <c r="C18" s="19" t="str">
        <f>"Price at Year "&amp;D10</f>
        <v>Price at Year 0</v>
      </c>
      <c r="D18" s="28">
        <f>(D7*(1+D8)^(D10+1))/(D9-D8)</f>
        <v>37.625</v>
      </c>
      <c r="E18" s="21"/>
    </row>
    <row r="19" spans="2:5" s="1" customFormat="1" ht="15.75">
      <c r="B19" s="18"/>
      <c r="C19" s="19" t="str">
        <f>"Price at Year "&amp;D11</f>
        <v>Price at Year 3</v>
      </c>
      <c r="D19" s="28">
        <f>(D7*(1+D8)^(D11+1))/(D9-D8)</f>
        <v>43.555640625000002</v>
      </c>
      <c r="E19" s="21"/>
    </row>
    <row r="20" spans="2:5" s="1" customFormat="1" ht="15.75">
      <c r="B20" s="18"/>
      <c r="C20" s="19" t="str">
        <f>"Price at Year "&amp;D12</f>
        <v>Price at Year 15</v>
      </c>
      <c r="D20" s="28">
        <f>(D7*(1+D8)^(D12+1))/(D9-D8)</f>
        <v>78.219672750352714</v>
      </c>
      <c r="E20" s="21"/>
    </row>
    <row r="21" spans="2:5" s="1" customFormat="1" ht="15" customHeight="1" thickBot="1">
      <c r="B21" s="24"/>
      <c r="C21" s="25"/>
      <c r="D21" s="25"/>
      <c r="E21" s="26"/>
    </row>
    <row r="22" spans="2:5" s="1" customFormat="1" ht="15"/>
    <row r="23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112111121113"/>
  <dimension ref="B1:E29"/>
  <sheetViews>
    <sheetView workbookViewId="0"/>
  </sheetViews>
  <sheetFormatPr defaultRowHeight="12.75"/>
  <cols>
    <col min="2" max="2" width="3.140625" customWidth="1"/>
    <col min="3" max="3" width="30" bestFit="1" customWidth="1"/>
    <col min="4" max="4" width="16.140625" customWidth="1"/>
    <col min="5" max="5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46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14</v>
      </c>
      <c r="D7" s="78">
        <v>8</v>
      </c>
      <c r="E7" s="11"/>
    </row>
    <row r="8" spans="2:5" s="1" customFormat="1" ht="15">
      <c r="B8" s="9"/>
      <c r="C8" s="10" t="s">
        <v>6</v>
      </c>
      <c r="D8" s="77">
        <v>5.6000000000000001E-2</v>
      </c>
      <c r="E8" s="11"/>
    </row>
    <row r="9" spans="2:5" s="1" customFormat="1" ht="15">
      <c r="B9" s="9"/>
      <c r="C9" s="10" t="s">
        <v>40</v>
      </c>
      <c r="D9" s="79">
        <v>5</v>
      </c>
      <c r="E9" s="11"/>
    </row>
    <row r="10" spans="2:5" s="1" customFormat="1" ht="15" customHeight="1" thickBot="1">
      <c r="B10" s="12"/>
      <c r="C10" s="13"/>
      <c r="D10" s="13"/>
      <c r="E10" s="14"/>
    </row>
    <row r="11" spans="2:5" s="1" customFormat="1" ht="15"/>
    <row r="12" spans="2:5" s="1" customFormat="1" ht="15">
      <c r="C12" s="2" t="s">
        <v>2</v>
      </c>
    </row>
    <row r="13" spans="2:5" s="1" customFormat="1" ht="15.75" thickBot="1">
      <c r="C13" s="3"/>
    </row>
    <row r="14" spans="2:5" s="1" customFormat="1" ht="15">
      <c r="B14" s="15"/>
      <c r="C14" s="16"/>
      <c r="D14" s="16"/>
      <c r="E14" s="17"/>
    </row>
    <row r="15" spans="2:5" s="1" customFormat="1" ht="15">
      <c r="B15" s="18"/>
      <c r="C15" s="20" t="s">
        <v>203</v>
      </c>
      <c r="D15" s="131">
        <f>D7/D8</f>
        <v>142.85714285714286</v>
      </c>
      <c r="E15" s="21"/>
    </row>
    <row r="16" spans="2:5" s="1" customFormat="1" ht="15">
      <c r="B16" s="18"/>
      <c r="C16" s="20"/>
      <c r="D16" s="20"/>
      <c r="E16" s="21"/>
    </row>
    <row r="17" spans="2:5" s="1" customFormat="1" ht="15.75">
      <c r="B17" s="18"/>
      <c r="C17" s="19" t="s">
        <v>193</v>
      </c>
      <c r="D17" s="28">
        <f>D15/(1+D8)^(D9-1)</f>
        <v>114.88049208845756</v>
      </c>
      <c r="E17" s="34"/>
    </row>
    <row r="18" spans="2:5" s="1" customFormat="1" ht="15" customHeight="1" thickBot="1">
      <c r="B18" s="24"/>
      <c r="C18" s="25"/>
      <c r="D18" s="25"/>
      <c r="E18" s="26"/>
    </row>
    <row r="19" spans="2:5" s="1" customFormat="1" ht="15"/>
    <row r="20" spans="2:5" s="1" customFormat="1" ht="15"/>
    <row r="21" spans="2:5" s="1" customFormat="1" ht="15"/>
    <row r="22" spans="2:5" s="1" customFormat="1" ht="15"/>
    <row r="23" spans="2:5" s="1" customFormat="1" ht="15"/>
    <row r="24" spans="2:5" s="1" customFormat="1" ht="15"/>
    <row r="25" spans="2:5" s="1" customFormat="1" ht="15"/>
    <row r="26" spans="2:5" s="1" customFormat="1" ht="15"/>
    <row r="27" spans="2:5" s="1" customFormat="1" ht="15"/>
    <row r="28" spans="2:5" s="1" customFormat="1" ht="15"/>
    <row r="29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1121111211131"/>
  <dimension ref="B1:E26"/>
  <sheetViews>
    <sheetView workbookViewId="0"/>
  </sheetViews>
  <sheetFormatPr defaultRowHeight="12.75"/>
  <cols>
    <col min="2" max="2" width="3.140625" customWidth="1"/>
    <col min="3" max="3" width="30.85546875" bestFit="1" customWidth="1"/>
    <col min="4" max="4" width="16.85546875" bestFit="1" customWidth="1"/>
    <col min="5" max="5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60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42</v>
      </c>
      <c r="D7" s="81">
        <v>1.9E-2</v>
      </c>
      <c r="E7" s="11"/>
    </row>
    <row r="8" spans="2:5" s="1" customFormat="1" ht="15">
      <c r="B8" s="9"/>
      <c r="C8" s="10" t="s">
        <v>207</v>
      </c>
      <c r="D8" s="78">
        <v>26.18</v>
      </c>
      <c r="E8" s="11"/>
    </row>
    <row r="9" spans="2:5" s="1" customFormat="1" ht="15">
      <c r="B9" s="9"/>
      <c r="C9" s="10" t="s">
        <v>43</v>
      </c>
      <c r="D9" s="92">
        <v>-0.13</v>
      </c>
      <c r="E9" s="11"/>
    </row>
    <row r="10" spans="2:5" s="1" customFormat="1" ht="15">
      <c r="B10" s="9"/>
      <c r="C10" s="10" t="s">
        <v>44</v>
      </c>
      <c r="D10" s="79">
        <v>23</v>
      </c>
      <c r="E10" s="11"/>
    </row>
    <row r="11" spans="2:5" s="1" customFormat="1" ht="15">
      <c r="B11" s="9"/>
      <c r="C11" s="10" t="s">
        <v>45</v>
      </c>
      <c r="D11" s="79">
        <v>25000000</v>
      </c>
      <c r="E11" s="11"/>
    </row>
    <row r="12" spans="2:5" s="1" customFormat="1" ht="15" customHeight="1" thickBot="1">
      <c r="B12" s="12"/>
      <c r="C12" s="13"/>
      <c r="D12" s="13"/>
      <c r="E12" s="14"/>
    </row>
    <row r="13" spans="2:5" s="1" customFormat="1" ht="15"/>
    <row r="14" spans="2:5" s="1" customFormat="1" ht="15">
      <c r="C14" s="2" t="s">
        <v>2</v>
      </c>
    </row>
    <row r="15" spans="2:5" s="1" customFormat="1" ht="15.75" thickBot="1">
      <c r="C15" s="3"/>
    </row>
    <row r="16" spans="2:5" s="1" customFormat="1" ht="15">
      <c r="B16" s="15"/>
      <c r="C16" s="16"/>
      <c r="D16" s="16"/>
      <c r="E16" s="17"/>
    </row>
    <row r="17" spans="2:5" s="1" customFormat="1" ht="15">
      <c r="B17" s="18"/>
      <c r="C17" s="19" t="s">
        <v>26</v>
      </c>
      <c r="D17" s="35">
        <f>D7*D8</f>
        <v>0.49741999999999997</v>
      </c>
      <c r="E17" s="34"/>
    </row>
    <row r="18" spans="2:5" s="1" customFormat="1" ht="15">
      <c r="B18" s="18"/>
      <c r="C18" s="19"/>
      <c r="D18" s="35"/>
      <c r="E18" s="34"/>
    </row>
    <row r="19" spans="2:5" s="1" customFormat="1" ht="15.75">
      <c r="B19" s="18"/>
      <c r="C19" s="19" t="s">
        <v>204</v>
      </c>
      <c r="D19" s="28">
        <f>D8-D9</f>
        <v>26.31</v>
      </c>
      <c r="E19" s="34"/>
    </row>
    <row r="20" spans="2:5" s="1" customFormat="1" ht="15">
      <c r="B20" s="18"/>
      <c r="C20" s="19"/>
      <c r="D20" s="35"/>
      <c r="E20" s="34"/>
    </row>
    <row r="21" spans="2:5" s="1" customFormat="1" ht="15">
      <c r="B21" s="18"/>
      <c r="C21" s="19" t="s">
        <v>205</v>
      </c>
      <c r="D21" s="133">
        <f>D8/D10</f>
        <v>1.1382608695652174</v>
      </c>
      <c r="E21" s="34"/>
    </row>
    <row r="22" spans="2:5" s="1" customFormat="1" ht="15">
      <c r="B22" s="18"/>
      <c r="C22" s="19"/>
      <c r="D22" s="35"/>
      <c r="E22" s="34"/>
    </row>
    <row r="23" spans="2:5" s="1" customFormat="1" ht="15.75">
      <c r="B23" s="18"/>
      <c r="C23" s="19" t="s">
        <v>206</v>
      </c>
      <c r="D23" s="48">
        <f>D21*D11</f>
        <v>28456521.739130437</v>
      </c>
      <c r="E23" s="34"/>
    </row>
    <row r="24" spans="2:5" s="1" customFormat="1" ht="15" customHeight="1" thickBot="1">
      <c r="B24" s="24"/>
      <c r="C24" s="25"/>
      <c r="D24" s="25"/>
      <c r="E24" s="26"/>
    </row>
    <row r="25" spans="2:5" s="1" customFormat="1" ht="15"/>
    <row r="26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1121111211132"/>
  <dimension ref="B1:H26"/>
  <sheetViews>
    <sheetView workbookViewId="0"/>
  </sheetViews>
  <sheetFormatPr defaultRowHeight="12.75"/>
  <cols>
    <col min="2" max="2" width="3.140625" customWidth="1"/>
    <col min="3" max="3" width="30.85546875" bestFit="1" customWidth="1"/>
    <col min="4" max="4" width="12.5703125" customWidth="1"/>
    <col min="5" max="5" width="3.5703125" bestFit="1" customWidth="1"/>
    <col min="6" max="6" width="6.85546875" customWidth="1"/>
    <col min="7" max="7" width="6.7109375" bestFit="1" customWidth="1"/>
    <col min="8" max="8" width="3.140625" customWidth="1"/>
  </cols>
  <sheetData>
    <row r="1" spans="2:8" s="1" customFormat="1" ht="18">
      <c r="C1" s="86" t="s">
        <v>228</v>
      </c>
      <c r="D1" s="86"/>
      <c r="E1" s="86"/>
    </row>
    <row r="2" spans="2:8" s="1" customFormat="1" ht="15">
      <c r="C2" s="1" t="s">
        <v>93</v>
      </c>
    </row>
    <row r="3" spans="2:8" s="1" customFormat="1" ht="15"/>
    <row r="4" spans="2:8" s="1" customFormat="1" ht="15">
      <c r="C4" s="2" t="s">
        <v>1</v>
      </c>
      <c r="D4" s="2"/>
      <c r="E4" s="2"/>
    </row>
    <row r="5" spans="2:8" s="1" customFormat="1" ht="15.75" thickBot="1">
      <c r="C5" s="3"/>
      <c r="D5" s="3"/>
      <c r="E5" s="3"/>
      <c r="F5" s="4"/>
      <c r="G5" s="4"/>
    </row>
    <row r="6" spans="2:8" s="1" customFormat="1" ht="15">
      <c r="B6" s="5"/>
      <c r="C6" s="6"/>
      <c r="D6" s="6"/>
      <c r="E6" s="6"/>
      <c r="F6" s="7"/>
      <c r="G6" s="7"/>
      <c r="H6" s="8"/>
    </row>
    <row r="7" spans="2:8" s="1" customFormat="1" ht="15">
      <c r="B7" s="9"/>
      <c r="C7" s="10" t="s">
        <v>91</v>
      </c>
      <c r="D7" s="104">
        <v>100000</v>
      </c>
      <c r="E7" s="49"/>
      <c r="F7" s="10"/>
      <c r="G7" s="10"/>
      <c r="H7" s="11"/>
    </row>
    <row r="8" spans="2:8" s="1" customFormat="1" ht="15">
      <c r="B8" s="9"/>
      <c r="C8" s="10" t="s">
        <v>83</v>
      </c>
      <c r="D8" s="134">
        <v>2.25</v>
      </c>
      <c r="E8" s="10" t="s">
        <v>85</v>
      </c>
      <c r="F8" s="89">
        <v>1</v>
      </c>
      <c r="G8" s="98" t="s">
        <v>84</v>
      </c>
      <c r="H8" s="11"/>
    </row>
    <row r="9" spans="2:8" s="1" customFormat="1" ht="15">
      <c r="B9" s="9"/>
      <c r="C9" s="10" t="s">
        <v>83</v>
      </c>
      <c r="D9" s="134">
        <v>2.4</v>
      </c>
      <c r="E9" s="10" t="s">
        <v>85</v>
      </c>
      <c r="F9" s="102">
        <v>2</v>
      </c>
      <c r="G9" s="99" t="s">
        <v>84</v>
      </c>
      <c r="H9" s="11"/>
    </row>
    <row r="10" spans="2:8" s="1" customFormat="1" ht="15">
      <c r="B10" s="9"/>
      <c r="C10" s="10" t="s">
        <v>86</v>
      </c>
      <c r="D10" s="104">
        <v>65</v>
      </c>
      <c r="E10" s="10" t="s">
        <v>85</v>
      </c>
      <c r="F10" s="103">
        <v>3</v>
      </c>
      <c r="G10" s="100" t="s">
        <v>84</v>
      </c>
      <c r="H10" s="11"/>
    </row>
    <row r="11" spans="2:8" s="1" customFormat="1" ht="15">
      <c r="B11" s="9"/>
      <c r="C11" s="10" t="s">
        <v>87</v>
      </c>
      <c r="D11" s="72">
        <v>0.28000000000000003</v>
      </c>
      <c r="E11" s="10"/>
      <c r="F11" s="103"/>
      <c r="G11" s="100"/>
      <c r="H11" s="11"/>
    </row>
    <row r="12" spans="2:8" s="1" customFormat="1" ht="15">
      <c r="B12" s="9"/>
      <c r="C12" s="10" t="s">
        <v>6</v>
      </c>
      <c r="D12" s="72">
        <v>0.15</v>
      </c>
      <c r="E12" s="10"/>
      <c r="F12" s="79"/>
      <c r="G12" s="101"/>
      <c r="H12" s="11"/>
    </row>
    <row r="13" spans="2:8" s="1" customFormat="1" ht="15" customHeight="1" thickBot="1">
      <c r="B13" s="12"/>
      <c r="C13" s="13"/>
      <c r="D13" s="13"/>
      <c r="E13" s="13"/>
      <c r="F13" s="13"/>
      <c r="G13" s="13"/>
      <c r="H13" s="14"/>
    </row>
    <row r="14" spans="2:8" s="1" customFormat="1" ht="15"/>
    <row r="15" spans="2:8" s="1" customFormat="1" ht="15">
      <c r="C15" s="2" t="s">
        <v>2</v>
      </c>
      <c r="D15" s="2"/>
      <c r="E15" s="2"/>
    </row>
    <row r="16" spans="2:8" s="1" customFormat="1" ht="15.75" thickBot="1">
      <c r="C16" s="3"/>
      <c r="D16" s="3"/>
      <c r="E16" s="3"/>
    </row>
    <row r="17" spans="2:8" s="1" customFormat="1" ht="15">
      <c r="B17" s="15"/>
      <c r="C17" s="16"/>
      <c r="D17" s="16"/>
      <c r="E17" s="16"/>
      <c r="F17" s="16"/>
      <c r="G17" s="16"/>
      <c r="H17" s="17"/>
    </row>
    <row r="18" spans="2:8" s="1" customFormat="1" ht="15">
      <c r="B18" s="18"/>
      <c r="C18" s="19" t="s">
        <v>88</v>
      </c>
      <c r="D18" s="106">
        <f>D8*(1-D11)</f>
        <v>1.6199999999999999</v>
      </c>
      <c r="E18" s="19"/>
      <c r="F18" s="35"/>
      <c r="G18" s="35"/>
      <c r="H18" s="34"/>
    </row>
    <row r="19" spans="2:8" s="1" customFormat="1" ht="15">
      <c r="B19" s="18"/>
      <c r="C19" s="19" t="s">
        <v>89</v>
      </c>
      <c r="D19" s="106">
        <f>D9*(1-D11)</f>
        <v>1.728</v>
      </c>
      <c r="E19" s="19"/>
      <c r="F19" s="35"/>
      <c r="G19" s="35"/>
      <c r="H19" s="34"/>
    </row>
    <row r="20" spans="2:8" s="1" customFormat="1" ht="15">
      <c r="B20" s="18"/>
      <c r="C20" s="19"/>
      <c r="D20" s="19"/>
      <c r="E20" s="19"/>
      <c r="F20" s="35"/>
      <c r="G20" s="35"/>
      <c r="H20" s="34"/>
    </row>
    <row r="21" spans="2:8" s="1" customFormat="1" ht="15.75">
      <c r="B21" s="18"/>
      <c r="C21" s="19" t="s">
        <v>90</v>
      </c>
      <c r="D21" s="106">
        <f>(D18/((1+D12)^F8))+(D19/((1+D12)^F9))+(D10/((1+D12)^F10))</f>
        <v>45.453867017342006</v>
      </c>
      <c r="E21" s="19"/>
      <c r="F21" s="97"/>
      <c r="G21" s="97"/>
      <c r="H21" s="34"/>
    </row>
    <row r="22" spans="2:8" s="1" customFormat="1" ht="15.75">
      <c r="B22" s="18"/>
      <c r="C22" s="19"/>
      <c r="D22" s="19"/>
      <c r="E22" s="19"/>
      <c r="F22" s="97"/>
      <c r="G22" s="97"/>
      <c r="H22" s="34"/>
    </row>
    <row r="23" spans="2:8" s="1" customFormat="1" ht="15.75">
      <c r="B23" s="18"/>
      <c r="C23" s="19" t="s">
        <v>92</v>
      </c>
      <c r="D23" s="107">
        <f>D7/D21</f>
        <v>2200.0328368507571</v>
      </c>
      <c r="E23" s="19"/>
      <c r="F23" s="97"/>
      <c r="G23" s="97"/>
      <c r="H23" s="34"/>
    </row>
    <row r="24" spans="2:8" s="1" customFormat="1" ht="15" customHeight="1" thickBot="1">
      <c r="B24" s="24"/>
      <c r="C24" s="25"/>
      <c r="D24" s="25"/>
      <c r="E24" s="25"/>
      <c r="F24" s="25"/>
      <c r="G24" s="25"/>
      <c r="H24" s="26"/>
    </row>
    <row r="25" spans="2:8" s="1" customFormat="1" ht="15"/>
    <row r="26" spans="2:8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1121111211133"/>
  <dimension ref="B1:E27"/>
  <sheetViews>
    <sheetView workbookViewId="0"/>
  </sheetViews>
  <sheetFormatPr defaultRowHeight="12.75"/>
  <cols>
    <col min="2" max="2" width="3.140625" customWidth="1"/>
    <col min="3" max="3" width="32.7109375" bestFit="1" customWidth="1"/>
    <col min="4" max="4" width="12.5703125" customWidth="1"/>
    <col min="5" max="5" width="3.140625" customWidth="1"/>
  </cols>
  <sheetData>
    <row r="1" spans="2:5" s="1" customFormat="1" ht="18">
      <c r="C1" s="86" t="s">
        <v>228</v>
      </c>
      <c r="D1" s="86"/>
    </row>
    <row r="2" spans="2:5" s="1" customFormat="1" ht="15">
      <c r="C2" s="1" t="s">
        <v>94</v>
      </c>
    </row>
    <row r="3" spans="2:5" s="1" customFormat="1" ht="15"/>
    <row r="4" spans="2:5" s="1" customFormat="1" ht="15">
      <c r="C4" s="2" t="s">
        <v>1</v>
      </c>
      <c r="D4" s="2"/>
    </row>
    <row r="5" spans="2:5" s="1" customFormat="1" ht="15.75" thickBot="1">
      <c r="C5" s="3"/>
      <c r="D5" s="3"/>
    </row>
    <row r="6" spans="2:5" s="1" customFormat="1" ht="15">
      <c r="B6" s="5"/>
      <c r="C6" s="6"/>
      <c r="D6" s="6"/>
      <c r="E6" s="8"/>
    </row>
    <row r="7" spans="2:5" s="1" customFormat="1" ht="15">
      <c r="B7" s="9"/>
      <c r="C7" s="10" t="s">
        <v>95</v>
      </c>
      <c r="D7" s="134">
        <v>0.8</v>
      </c>
      <c r="E7" s="11"/>
    </row>
    <row r="8" spans="2:5" s="1" customFormat="1" ht="15">
      <c r="B8" s="9"/>
      <c r="C8" s="10" t="s">
        <v>96</v>
      </c>
      <c r="D8" s="108">
        <v>12</v>
      </c>
      <c r="E8" s="11"/>
    </row>
    <row r="9" spans="2:5" s="1" customFormat="1" ht="15">
      <c r="B9" s="9"/>
      <c r="C9" s="10" t="s">
        <v>81</v>
      </c>
      <c r="D9" s="81">
        <v>0.01</v>
      </c>
      <c r="E9" s="11"/>
    </row>
    <row r="10" spans="2:5" s="1" customFormat="1" ht="15">
      <c r="B10" s="9"/>
      <c r="C10" s="10" t="s">
        <v>97</v>
      </c>
      <c r="D10" s="72">
        <v>0.1</v>
      </c>
      <c r="E10" s="11"/>
    </row>
    <row r="11" spans="2:5" s="1" customFormat="1" ht="15" customHeight="1" thickBot="1">
      <c r="B11" s="12"/>
      <c r="C11" s="13"/>
      <c r="D11" s="13"/>
      <c r="E11" s="14"/>
    </row>
    <row r="12" spans="2:5" s="1" customFormat="1" ht="15"/>
    <row r="13" spans="2:5" s="1" customFormat="1" ht="15">
      <c r="C13" s="2" t="s">
        <v>2</v>
      </c>
      <c r="D13" s="2"/>
    </row>
    <row r="14" spans="2:5" s="1" customFormat="1" ht="15.75" thickBot="1">
      <c r="C14" s="3"/>
      <c r="D14" s="3"/>
    </row>
    <row r="15" spans="2:5" s="1" customFormat="1" ht="15">
      <c r="B15" s="15"/>
      <c r="C15" s="16"/>
      <c r="D15" s="16"/>
      <c r="E15" s="17"/>
    </row>
    <row r="16" spans="2:5" s="1" customFormat="1" ht="15">
      <c r="B16" s="18"/>
      <c r="C16" s="19" t="s">
        <v>98</v>
      </c>
      <c r="D16" s="109">
        <f>D10/4</f>
        <v>2.5000000000000001E-2</v>
      </c>
      <c r="E16" s="34"/>
    </row>
    <row r="17" spans="2:5" s="1" customFormat="1" ht="15">
      <c r="B17" s="18"/>
      <c r="C17" s="19"/>
      <c r="D17" s="106"/>
      <c r="E17" s="34"/>
    </row>
    <row r="18" spans="2:5" s="1" customFormat="1" ht="15">
      <c r="B18" s="18"/>
      <c r="C18" s="19" t="s">
        <v>99</v>
      </c>
      <c r="D18" s="106">
        <f>PV(D16,D8,-D7)</f>
        <v>8.2062116785501313</v>
      </c>
      <c r="E18" s="34"/>
    </row>
    <row r="19" spans="2:5" s="1" customFormat="1" ht="15">
      <c r="B19" s="18"/>
      <c r="C19" s="19"/>
      <c r="D19" s="106"/>
      <c r="E19" s="34"/>
    </row>
    <row r="20" spans="2:5" s="1" customFormat="1" ht="15">
      <c r="B20" s="18"/>
      <c r="C20" s="19" t="s">
        <v>100</v>
      </c>
      <c r="D20" s="106">
        <f>((D7*(1+D9))/(D16-D9))</f>
        <v>53.866666666666667</v>
      </c>
      <c r="E20" s="34"/>
    </row>
    <row r="21" spans="2:5" s="1" customFormat="1" ht="15">
      <c r="B21" s="18"/>
      <c r="C21" s="19"/>
      <c r="D21" s="106"/>
      <c r="E21" s="34"/>
    </row>
    <row r="22" spans="2:5" s="1" customFormat="1" ht="15">
      <c r="B22" s="18"/>
      <c r="C22" s="19" t="s">
        <v>221</v>
      </c>
      <c r="D22" s="106">
        <f>D20/((1+D16)^D8)</f>
        <v>40.052877007773944</v>
      </c>
      <c r="E22" s="34"/>
    </row>
    <row r="23" spans="2:5" s="1" customFormat="1" ht="15">
      <c r="B23" s="18"/>
      <c r="C23" s="19"/>
      <c r="D23" s="105"/>
      <c r="E23" s="34"/>
    </row>
    <row r="24" spans="2:5" s="1" customFormat="1" ht="15.75">
      <c r="B24" s="18"/>
      <c r="C24" s="19" t="s">
        <v>90</v>
      </c>
      <c r="D24" s="110">
        <f>D18+D22</f>
        <v>48.259088686324077</v>
      </c>
      <c r="E24" s="34"/>
    </row>
    <row r="25" spans="2:5" s="1" customFormat="1" ht="15" customHeight="1" thickBot="1">
      <c r="B25" s="24"/>
      <c r="C25" s="25"/>
      <c r="D25" s="25"/>
      <c r="E25" s="26"/>
    </row>
    <row r="26" spans="2:5" s="1" customFormat="1" ht="15"/>
    <row r="27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1121111211135"/>
  <dimension ref="B1:E25"/>
  <sheetViews>
    <sheetView workbookViewId="0"/>
  </sheetViews>
  <sheetFormatPr defaultRowHeight="12.75"/>
  <cols>
    <col min="2" max="2" width="3.140625" customWidth="1"/>
    <col min="3" max="3" width="32.7109375" bestFit="1" customWidth="1"/>
    <col min="4" max="4" width="12.5703125" customWidth="1"/>
    <col min="5" max="5" width="3.140625" customWidth="1"/>
  </cols>
  <sheetData>
    <row r="1" spans="2:5" s="1" customFormat="1" ht="18">
      <c r="C1" s="86" t="s">
        <v>228</v>
      </c>
      <c r="D1" s="86"/>
    </row>
    <row r="2" spans="2:5" s="1" customFormat="1" ht="15">
      <c r="C2" s="1" t="s">
        <v>208</v>
      </c>
    </row>
    <row r="3" spans="2:5" s="1" customFormat="1" ht="15"/>
    <row r="4" spans="2:5" s="1" customFormat="1" ht="15">
      <c r="C4" s="2" t="s">
        <v>1</v>
      </c>
      <c r="D4" s="2"/>
    </row>
    <row r="5" spans="2:5" s="1" customFormat="1" ht="15.75" thickBot="1">
      <c r="C5" s="3"/>
      <c r="D5" s="3"/>
    </row>
    <row r="6" spans="2:5" s="1" customFormat="1" ht="15">
      <c r="B6" s="5"/>
      <c r="C6" s="6"/>
      <c r="D6" s="6"/>
      <c r="E6" s="8"/>
    </row>
    <row r="7" spans="2:5" s="1" customFormat="1" ht="15">
      <c r="B7" s="9"/>
      <c r="C7" s="10" t="s">
        <v>101</v>
      </c>
      <c r="D7" s="108">
        <v>2</v>
      </c>
      <c r="E7" s="11"/>
    </row>
    <row r="8" spans="2:5" s="1" customFormat="1" ht="15">
      <c r="B8" s="9"/>
      <c r="C8" s="10" t="s">
        <v>81</v>
      </c>
      <c r="D8" s="72">
        <v>0.04</v>
      </c>
      <c r="E8" s="11"/>
    </row>
    <row r="9" spans="2:5" s="1" customFormat="1" ht="15">
      <c r="B9" s="9"/>
      <c r="C9" s="10" t="s">
        <v>11</v>
      </c>
      <c r="D9" s="111">
        <v>45</v>
      </c>
      <c r="E9" s="11"/>
    </row>
    <row r="10" spans="2:5" s="1" customFormat="1" ht="15">
      <c r="B10" s="9"/>
      <c r="C10" s="10" t="s">
        <v>6</v>
      </c>
      <c r="D10" s="72">
        <v>0.11</v>
      </c>
      <c r="E10" s="11"/>
    </row>
    <row r="11" spans="2:5" s="1" customFormat="1" ht="15" customHeight="1" thickBot="1">
      <c r="B11" s="12"/>
      <c r="C11" s="13"/>
      <c r="D11" s="13"/>
      <c r="E11" s="14"/>
    </row>
    <row r="12" spans="2:5" s="1" customFormat="1" ht="15"/>
    <row r="13" spans="2:5" s="1" customFormat="1" ht="15">
      <c r="C13" s="2" t="s">
        <v>2</v>
      </c>
      <c r="D13" s="2"/>
    </row>
    <row r="14" spans="2:5" s="1" customFormat="1" ht="15.75" thickBot="1">
      <c r="C14" s="3"/>
      <c r="D14" s="3"/>
    </row>
    <row r="15" spans="2:5" s="1" customFormat="1" ht="15">
      <c r="B15" s="15"/>
      <c r="C15" s="16"/>
      <c r="D15" s="16"/>
      <c r="E15" s="17"/>
    </row>
    <row r="16" spans="2:5" s="1" customFormat="1" ht="15">
      <c r="B16" s="18"/>
      <c r="C16" s="19" t="s">
        <v>102</v>
      </c>
      <c r="D16" s="112">
        <f>PV(D10,D7,-1)</f>
        <v>1.7125233341449568</v>
      </c>
      <c r="E16" s="34"/>
    </row>
    <row r="17" spans="2:5" s="1" customFormat="1" ht="15">
      <c r="B17" s="18"/>
      <c r="C17" s="19"/>
      <c r="D17" s="106"/>
      <c r="E17" s="34"/>
    </row>
    <row r="18" spans="2:5" s="1" customFormat="1" ht="15">
      <c r="B18" s="18"/>
      <c r="C18" s="19" t="s">
        <v>103</v>
      </c>
      <c r="D18" s="113">
        <f>((1+D8)/(D10-D8))/((1+D10)^D7)</f>
        <v>12.058390436768812</v>
      </c>
      <c r="E18" s="34"/>
    </row>
    <row r="19" spans="2:5" s="1" customFormat="1" ht="15">
      <c r="B19" s="18"/>
      <c r="C19" s="19"/>
      <c r="D19" s="106"/>
      <c r="E19" s="34"/>
    </row>
    <row r="20" spans="2:5" s="1" customFormat="1" ht="15">
      <c r="B20" s="18"/>
      <c r="C20" s="19" t="s">
        <v>104</v>
      </c>
      <c r="D20" s="113">
        <f>D16+D18</f>
        <v>13.770913770913769</v>
      </c>
      <c r="E20" s="34"/>
    </row>
    <row r="21" spans="2:5" s="1" customFormat="1" ht="15">
      <c r="B21" s="18"/>
      <c r="C21" s="19"/>
      <c r="D21" s="105"/>
      <c r="E21" s="34"/>
    </row>
    <row r="22" spans="2:5" s="1" customFormat="1" ht="15.75">
      <c r="B22" s="18"/>
      <c r="C22" s="19" t="s">
        <v>105</v>
      </c>
      <c r="D22" s="110">
        <f>D9/D20</f>
        <v>3.2677570093457948</v>
      </c>
      <c r="E22" s="34"/>
    </row>
    <row r="23" spans="2:5" s="1" customFormat="1" ht="15" customHeight="1" thickBot="1">
      <c r="B23" s="24"/>
      <c r="C23" s="25"/>
      <c r="D23" s="25"/>
      <c r="E23" s="26"/>
    </row>
    <row r="24" spans="2:5" s="1" customFormat="1" ht="15"/>
    <row r="25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1121111211136"/>
  <dimension ref="B1:E26"/>
  <sheetViews>
    <sheetView workbookViewId="0"/>
  </sheetViews>
  <sheetFormatPr defaultRowHeight="12.75"/>
  <cols>
    <col min="2" max="2" width="3.140625" customWidth="1"/>
    <col min="3" max="3" width="30.85546875" bestFit="1" customWidth="1"/>
    <col min="4" max="4" width="16.85546875" bestFit="1" customWidth="1"/>
    <col min="5" max="5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106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108</v>
      </c>
      <c r="D7" s="114">
        <v>18000000</v>
      </c>
      <c r="E7" s="11"/>
    </row>
    <row r="8" spans="2:5" s="1" customFormat="1" ht="15">
      <c r="B8" s="9"/>
      <c r="C8" s="10" t="s">
        <v>109</v>
      </c>
      <c r="D8" s="72">
        <v>0.3</v>
      </c>
      <c r="E8" s="11"/>
    </row>
    <row r="9" spans="2:5" s="1" customFormat="1" ht="15">
      <c r="B9" s="9"/>
      <c r="C9" s="10" t="s">
        <v>110</v>
      </c>
      <c r="D9" s="79">
        <v>2000000</v>
      </c>
      <c r="E9" s="11"/>
    </row>
    <row r="10" spans="2:5" s="1" customFormat="1" ht="15">
      <c r="B10" s="9"/>
      <c r="C10" s="10" t="s">
        <v>11</v>
      </c>
      <c r="D10" s="93">
        <v>93</v>
      </c>
      <c r="E10" s="11"/>
    </row>
    <row r="11" spans="2:5" s="1" customFormat="1" ht="15">
      <c r="B11" s="9"/>
      <c r="C11" s="10" t="s">
        <v>79</v>
      </c>
      <c r="D11" s="72">
        <v>0.13</v>
      </c>
      <c r="E11" s="11"/>
    </row>
    <row r="12" spans="2:5" s="1" customFormat="1" ht="15" customHeight="1" thickBot="1">
      <c r="B12" s="12"/>
      <c r="C12" s="13"/>
      <c r="D12" s="13"/>
      <c r="E12" s="14"/>
    </row>
    <row r="13" spans="2:5" s="1" customFormat="1" ht="15"/>
    <row r="14" spans="2:5" s="1" customFormat="1" ht="15">
      <c r="C14" s="2" t="s">
        <v>2</v>
      </c>
    </row>
    <row r="15" spans="2:5" s="1" customFormat="1" ht="15.75" thickBot="1">
      <c r="C15" s="3"/>
    </row>
    <row r="16" spans="2:5" s="1" customFormat="1" ht="15">
      <c r="B16" s="15"/>
      <c r="C16" s="16"/>
      <c r="D16" s="16"/>
      <c r="E16" s="17"/>
    </row>
    <row r="17" spans="2:5" s="1" customFormat="1" ht="15">
      <c r="B17" s="18"/>
      <c r="C17" s="19" t="s">
        <v>81</v>
      </c>
      <c r="D17" s="53">
        <f>D11*(1-D8)</f>
        <v>9.0999999999999998E-2</v>
      </c>
      <c r="E17" s="34"/>
    </row>
    <row r="18" spans="2:5" s="1" customFormat="1" ht="15">
      <c r="B18" s="18"/>
      <c r="C18" s="19"/>
      <c r="D18" s="35"/>
      <c r="E18" s="34"/>
    </row>
    <row r="19" spans="2:5" s="1" customFormat="1" ht="15">
      <c r="B19" s="18"/>
      <c r="C19" s="19" t="s">
        <v>111</v>
      </c>
      <c r="D19" s="35">
        <f>(D7*D8)/D9</f>
        <v>2.7</v>
      </c>
      <c r="E19" s="34"/>
    </row>
    <row r="20" spans="2:5" s="1" customFormat="1" ht="15">
      <c r="B20" s="18"/>
      <c r="C20" s="19"/>
      <c r="D20" s="35"/>
      <c r="E20" s="34"/>
    </row>
    <row r="21" spans="2:5" s="1" customFormat="1" ht="15">
      <c r="B21" s="18"/>
      <c r="C21" s="19" t="s">
        <v>112</v>
      </c>
      <c r="D21" s="35">
        <f>D19*(1+D17)</f>
        <v>2.9457</v>
      </c>
      <c r="E21" s="34"/>
    </row>
    <row r="22" spans="2:5" s="1" customFormat="1" ht="15">
      <c r="B22" s="18"/>
      <c r="C22" s="19"/>
      <c r="D22" s="35"/>
      <c r="E22" s="34"/>
    </row>
    <row r="23" spans="2:5" s="1" customFormat="1" ht="15.75">
      <c r="B23" s="18"/>
      <c r="C23" s="19" t="s">
        <v>6</v>
      </c>
      <c r="D23" s="30">
        <f>(D21/D10)+D17</f>
        <v>0.1226741935483871</v>
      </c>
      <c r="E23" s="34"/>
    </row>
    <row r="24" spans="2:5" s="1" customFormat="1" ht="15" customHeight="1" thickBot="1">
      <c r="B24" s="24"/>
      <c r="C24" s="25"/>
      <c r="D24" s="25"/>
      <c r="E24" s="26"/>
    </row>
    <row r="25" spans="2:5" s="1" customFormat="1" ht="15"/>
    <row r="26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1121111211137"/>
  <dimension ref="B1:E23"/>
  <sheetViews>
    <sheetView workbookViewId="0"/>
  </sheetViews>
  <sheetFormatPr defaultRowHeight="12.75"/>
  <cols>
    <col min="2" max="2" width="3.140625" customWidth="1"/>
    <col min="3" max="3" width="40.5703125" bestFit="1" customWidth="1"/>
    <col min="4" max="4" width="16" customWidth="1"/>
    <col min="5" max="5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107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114</v>
      </c>
      <c r="D7" s="111">
        <v>1.35</v>
      </c>
      <c r="E7" s="11"/>
    </row>
    <row r="8" spans="2:5" s="1" customFormat="1" ht="15">
      <c r="B8" s="9"/>
      <c r="C8" s="10" t="s">
        <v>115</v>
      </c>
      <c r="D8" s="89">
        <v>4</v>
      </c>
      <c r="E8" s="11"/>
    </row>
    <row r="9" spans="2:5" s="1" customFormat="1" ht="15">
      <c r="B9" s="9"/>
      <c r="C9" s="10" t="s">
        <v>14</v>
      </c>
      <c r="D9" s="93">
        <v>1.77</v>
      </c>
      <c r="E9" s="11"/>
    </row>
    <row r="10" spans="2:5" s="1" customFormat="1" ht="15">
      <c r="B10" s="9"/>
      <c r="C10" s="10" t="s">
        <v>116</v>
      </c>
      <c r="D10" s="79">
        <v>5</v>
      </c>
      <c r="E10" s="11"/>
    </row>
    <row r="11" spans="2:5" s="1" customFormat="1" ht="15">
      <c r="B11" s="9"/>
      <c r="C11" s="10" t="s">
        <v>117</v>
      </c>
      <c r="D11" s="72">
        <v>0.05</v>
      </c>
      <c r="E11" s="11"/>
    </row>
    <row r="12" spans="2:5" s="1" customFormat="1" ht="15">
      <c r="B12" s="9"/>
      <c r="C12" s="10" t="s">
        <v>119</v>
      </c>
      <c r="D12" s="89">
        <v>7</v>
      </c>
      <c r="E12" s="11"/>
    </row>
    <row r="13" spans="2:5" s="1" customFormat="1" ht="15" customHeight="1" thickBot="1">
      <c r="B13" s="12"/>
      <c r="C13" s="13"/>
      <c r="D13" s="13"/>
      <c r="E13" s="14"/>
    </row>
    <row r="14" spans="2:5" s="1" customFormat="1" ht="15"/>
    <row r="15" spans="2:5" s="1" customFormat="1" ht="15">
      <c r="C15" s="2" t="s">
        <v>2</v>
      </c>
    </row>
    <row r="16" spans="2:5" s="1" customFormat="1" ht="15.75" thickBot="1">
      <c r="C16" s="3"/>
    </row>
    <row r="17" spans="2:5" s="1" customFormat="1" ht="15">
      <c r="B17" s="15"/>
      <c r="C17" s="16"/>
      <c r="D17" s="16"/>
      <c r="E17" s="17"/>
    </row>
    <row r="18" spans="2:5" s="1" customFormat="1" ht="15">
      <c r="B18" s="18"/>
      <c r="C18" s="19" t="s">
        <v>118</v>
      </c>
      <c r="D18" s="53">
        <f>RATE(D8,0,D7,-D9)</f>
        <v>7.0064298300883343E-2</v>
      </c>
      <c r="E18" s="34"/>
    </row>
    <row r="19" spans="2:5" s="1" customFormat="1" ht="15">
      <c r="B19" s="18"/>
      <c r="C19" s="19"/>
      <c r="D19" s="35"/>
      <c r="E19" s="34"/>
    </row>
    <row r="20" spans="2:5" s="1" customFormat="1" ht="15.75">
      <c r="B20" s="18"/>
      <c r="C20" s="19" t="s">
        <v>120</v>
      </c>
      <c r="D20" s="28">
        <f>D9*((1+D18)^D10)*((1+D11)^(D12-D10))</f>
        <v>2.7377969595025902</v>
      </c>
      <c r="E20" s="34"/>
    </row>
    <row r="21" spans="2:5" s="1" customFormat="1" ht="15" customHeight="1" thickBot="1">
      <c r="B21" s="24"/>
      <c r="C21" s="25"/>
      <c r="D21" s="25"/>
      <c r="E21" s="26"/>
    </row>
    <row r="22" spans="2:5" s="1" customFormat="1" ht="15"/>
    <row r="23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1121111211138"/>
  <dimension ref="B1:E30"/>
  <sheetViews>
    <sheetView workbookViewId="0"/>
  </sheetViews>
  <sheetFormatPr defaultRowHeight="12.75"/>
  <cols>
    <col min="2" max="2" width="3.140625" customWidth="1"/>
    <col min="3" max="3" width="40.5703125" bestFit="1" customWidth="1"/>
    <col min="4" max="4" width="17.5703125" bestFit="1" customWidth="1"/>
    <col min="5" max="5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113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123</v>
      </c>
      <c r="D7" s="114">
        <v>950000</v>
      </c>
      <c r="E7" s="11"/>
    </row>
    <row r="8" spans="2:5" s="1" customFormat="1" ht="15">
      <c r="B8" s="9"/>
      <c r="C8" s="10" t="s">
        <v>6</v>
      </c>
      <c r="D8" s="72">
        <v>0.12</v>
      </c>
      <c r="E8" s="11"/>
    </row>
    <row r="9" spans="2:5" s="1" customFormat="1" ht="15">
      <c r="B9" s="9"/>
      <c r="C9" s="10"/>
      <c r="D9" s="72"/>
      <c r="E9" s="11"/>
    </row>
    <row r="10" spans="2:5" s="1" customFormat="1" ht="15">
      <c r="B10" s="9" t="s">
        <v>125</v>
      </c>
      <c r="C10" s="10" t="s">
        <v>124</v>
      </c>
      <c r="D10" s="115">
        <v>100000</v>
      </c>
      <c r="E10" s="11"/>
    </row>
    <row r="11" spans="2:5" s="1" customFormat="1" ht="15">
      <c r="B11" s="9" t="s">
        <v>128</v>
      </c>
      <c r="C11" s="10" t="s">
        <v>124</v>
      </c>
      <c r="D11" s="115">
        <v>200000</v>
      </c>
      <c r="E11" s="11"/>
    </row>
    <row r="12" spans="2:5" s="1" customFormat="1" ht="15" customHeight="1" thickBot="1">
      <c r="B12" s="12"/>
      <c r="C12" s="13"/>
      <c r="D12" s="13"/>
      <c r="E12" s="14"/>
    </row>
    <row r="13" spans="2:5" s="1" customFormat="1" ht="15"/>
    <row r="14" spans="2:5" s="1" customFormat="1" ht="15">
      <c r="C14" s="2" t="s">
        <v>2</v>
      </c>
    </row>
    <row r="15" spans="2:5" s="1" customFormat="1" ht="15.75" thickBot="1">
      <c r="C15" s="3"/>
    </row>
    <row r="16" spans="2:5" s="1" customFormat="1" ht="15">
      <c r="B16" s="15"/>
      <c r="C16" s="16"/>
      <c r="D16" s="16"/>
      <c r="E16" s="17"/>
    </row>
    <row r="17" spans="2:5" s="1" customFormat="1" ht="15">
      <c r="B17" s="18" t="s">
        <v>126</v>
      </c>
      <c r="C17" s="20" t="s">
        <v>127</v>
      </c>
      <c r="D17" s="91">
        <f>D7/D8</f>
        <v>7916666.666666667</v>
      </c>
      <c r="E17" s="21"/>
    </row>
    <row r="18" spans="2:5" s="1" customFormat="1" ht="15">
      <c r="B18" s="18"/>
      <c r="C18" s="20"/>
      <c r="D18" s="20"/>
      <c r="E18" s="21"/>
    </row>
    <row r="19" spans="2:5" s="1" customFormat="1" ht="15.75">
      <c r="B19" s="18"/>
      <c r="C19" s="20" t="s">
        <v>44</v>
      </c>
      <c r="D19" s="116">
        <f>D17/D7</f>
        <v>8.3333333333333339</v>
      </c>
      <c r="E19" s="21"/>
    </row>
    <row r="20" spans="2:5" s="1" customFormat="1" ht="15.75">
      <c r="B20" s="18"/>
      <c r="C20" s="20"/>
      <c r="D20" s="117"/>
      <c r="E20" s="21"/>
    </row>
    <row r="21" spans="2:5" s="1" customFormat="1" ht="15">
      <c r="B21" s="18" t="s">
        <v>125</v>
      </c>
      <c r="C21" s="20" t="s">
        <v>127</v>
      </c>
      <c r="D21" s="91">
        <f>(D7+D10)/D8</f>
        <v>8750000</v>
      </c>
      <c r="E21" s="21"/>
    </row>
    <row r="22" spans="2:5" s="1" customFormat="1" ht="15.75">
      <c r="B22" s="18"/>
      <c r="C22" s="20"/>
      <c r="D22" s="117"/>
      <c r="E22" s="21"/>
    </row>
    <row r="23" spans="2:5" s="1" customFormat="1" ht="15.75">
      <c r="B23" s="18"/>
      <c r="C23" s="20" t="s">
        <v>44</v>
      </c>
      <c r="D23" s="116">
        <f>D21/D7</f>
        <v>9.2105263157894743</v>
      </c>
      <c r="E23" s="21"/>
    </row>
    <row r="24" spans="2:5" s="1" customFormat="1" ht="15.75">
      <c r="B24" s="18"/>
      <c r="C24" s="20"/>
      <c r="D24" s="117"/>
      <c r="E24" s="21"/>
    </row>
    <row r="25" spans="2:5" s="1" customFormat="1" ht="15">
      <c r="B25" s="18" t="s">
        <v>128</v>
      </c>
      <c r="C25" s="20" t="s">
        <v>127</v>
      </c>
      <c r="D25" s="91">
        <f>(D7+D11)/D8</f>
        <v>9583333.333333334</v>
      </c>
      <c r="E25" s="21"/>
    </row>
    <row r="26" spans="2:5" s="1" customFormat="1" ht="15">
      <c r="B26" s="18"/>
      <c r="C26" s="20"/>
      <c r="D26" s="53"/>
      <c r="E26" s="34"/>
    </row>
    <row r="27" spans="2:5" s="1" customFormat="1" ht="15.75">
      <c r="B27" s="18"/>
      <c r="C27" s="20" t="s">
        <v>44</v>
      </c>
      <c r="D27" s="118">
        <f>D25/D7</f>
        <v>10.087719298245615</v>
      </c>
      <c r="E27" s="34"/>
    </row>
    <row r="28" spans="2:5" s="1" customFormat="1" ht="15" customHeight="1" thickBot="1">
      <c r="B28" s="24"/>
      <c r="C28" s="25"/>
      <c r="D28" s="25"/>
      <c r="E28" s="26"/>
    </row>
    <row r="29" spans="2:5" s="1" customFormat="1" ht="15"/>
    <row r="30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1121111211145"/>
  <dimension ref="B1:E30"/>
  <sheetViews>
    <sheetView workbookViewId="0"/>
  </sheetViews>
  <sheetFormatPr defaultRowHeight="12.75"/>
  <cols>
    <col min="2" max="2" width="3.140625" customWidth="1"/>
    <col min="3" max="3" width="40.5703125" bestFit="1" customWidth="1"/>
    <col min="4" max="4" width="18.85546875" bestFit="1" customWidth="1"/>
    <col min="5" max="5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121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176</v>
      </c>
      <c r="D7" s="111">
        <v>9.4</v>
      </c>
      <c r="E7" s="11"/>
    </row>
    <row r="8" spans="2:5" s="1" customFormat="1" ht="15">
      <c r="B8" s="9"/>
      <c r="C8" s="10" t="s">
        <v>177</v>
      </c>
      <c r="D8" s="111">
        <v>1.95</v>
      </c>
      <c r="E8" s="11"/>
    </row>
    <row r="9" spans="2:5" s="1" customFormat="1" ht="15">
      <c r="B9" s="9"/>
      <c r="C9" s="10" t="s">
        <v>178</v>
      </c>
      <c r="D9" s="93">
        <v>2.75</v>
      </c>
      <c r="E9" s="11"/>
    </row>
    <row r="10" spans="2:5" s="1" customFormat="1" ht="15">
      <c r="B10" s="9"/>
      <c r="C10" s="10" t="s">
        <v>179</v>
      </c>
      <c r="D10" s="111">
        <v>3.05</v>
      </c>
      <c r="E10" s="11"/>
    </row>
    <row r="11" spans="2:5" s="1" customFormat="1" ht="15">
      <c r="B11" s="9"/>
      <c r="C11" s="10" t="s">
        <v>6</v>
      </c>
      <c r="D11" s="72">
        <v>0.12</v>
      </c>
      <c r="E11" s="11"/>
    </row>
    <row r="12" spans="2:5" s="1" customFormat="1" ht="15" customHeight="1" thickBot="1">
      <c r="B12" s="12"/>
      <c r="C12" s="13"/>
      <c r="D12" s="13"/>
      <c r="E12" s="14"/>
    </row>
    <row r="13" spans="2:5" s="1" customFormat="1" ht="15"/>
    <row r="14" spans="2:5" s="1" customFormat="1" ht="15">
      <c r="C14" s="2" t="s">
        <v>2</v>
      </c>
    </row>
    <row r="15" spans="2:5" s="1" customFormat="1" ht="15.75" thickBot="1">
      <c r="C15" s="3"/>
    </row>
    <row r="16" spans="2:5" s="1" customFormat="1" ht="15">
      <c r="B16" s="15"/>
      <c r="C16" s="16"/>
      <c r="D16" s="16"/>
      <c r="E16" s="17"/>
    </row>
    <row r="17" spans="2:5" s="1" customFormat="1" ht="15.75">
      <c r="B17" s="18" t="s">
        <v>126</v>
      </c>
      <c r="C17" s="20" t="s">
        <v>140</v>
      </c>
      <c r="D17" s="119">
        <f>D7/D11</f>
        <v>78.333333333333343</v>
      </c>
      <c r="E17" s="21"/>
    </row>
    <row r="18" spans="2:5" s="1" customFormat="1" ht="15">
      <c r="B18" s="18"/>
      <c r="C18" s="20"/>
      <c r="D18" s="20"/>
      <c r="E18" s="21"/>
    </row>
    <row r="19" spans="2:5" s="1" customFormat="1" ht="15">
      <c r="B19" s="18" t="s">
        <v>125</v>
      </c>
      <c r="C19" s="20" t="s">
        <v>182</v>
      </c>
      <c r="D19" s="122">
        <f>D8/(1+D11)</f>
        <v>1.7410714285714284</v>
      </c>
      <c r="E19" s="21"/>
    </row>
    <row r="20" spans="2:5" s="1" customFormat="1" ht="15">
      <c r="B20" s="18"/>
      <c r="C20" s="20" t="s">
        <v>180</v>
      </c>
      <c r="D20" s="91">
        <f>D9/((1+D11)^2)</f>
        <v>2.1922831632653059</v>
      </c>
      <c r="E20" s="21"/>
    </row>
    <row r="21" spans="2:5" s="1" customFormat="1" ht="15">
      <c r="B21" s="18"/>
      <c r="C21" s="20" t="s">
        <v>181</v>
      </c>
      <c r="D21" s="91">
        <f>D10/((1+D11)^3)</f>
        <v>2.1709297558309029</v>
      </c>
      <c r="E21" s="21"/>
    </row>
    <row r="22" spans="2:5" s="1" customFormat="1" ht="15">
      <c r="B22" s="18"/>
      <c r="C22" s="20"/>
      <c r="D22" s="91"/>
      <c r="E22" s="21"/>
    </row>
    <row r="23" spans="2:5" s="1" customFormat="1" ht="15">
      <c r="B23" s="18"/>
      <c r="C23" s="20" t="s">
        <v>151</v>
      </c>
      <c r="D23" s="91">
        <f>-D19+D20+D21</f>
        <v>2.6221414905247804</v>
      </c>
      <c r="E23" s="21"/>
    </row>
    <row r="24" spans="2:5" s="1" customFormat="1" ht="15">
      <c r="B24" s="18"/>
      <c r="C24" s="19"/>
      <c r="D24" s="53"/>
      <c r="E24" s="34"/>
    </row>
    <row r="25" spans="2:5" s="1" customFormat="1" ht="15.75">
      <c r="B25" s="18"/>
      <c r="C25" s="19" t="s">
        <v>146</v>
      </c>
      <c r="D25" s="28">
        <f>D17+D23</f>
        <v>80.955474823858125</v>
      </c>
      <c r="E25" s="34"/>
    </row>
    <row r="26" spans="2:5" s="1" customFormat="1" ht="15.75">
      <c r="B26" s="18"/>
      <c r="C26" s="19"/>
      <c r="D26" s="55"/>
      <c r="E26" s="34"/>
    </row>
    <row r="27" spans="2:5" s="1" customFormat="1" ht="15.75">
      <c r="B27" s="18" t="s">
        <v>128</v>
      </c>
      <c r="C27" s="19" t="s">
        <v>183</v>
      </c>
      <c r="D27" s="28">
        <f>D17</f>
        <v>78.333333333333343</v>
      </c>
      <c r="E27" s="34"/>
    </row>
    <row r="28" spans="2:5" s="1" customFormat="1" ht="15" customHeight="1" thickBot="1">
      <c r="B28" s="24"/>
      <c r="C28" s="25"/>
      <c r="D28" s="25"/>
      <c r="E28" s="26"/>
    </row>
    <row r="29" spans="2:5" s="1" customFormat="1" ht="15"/>
    <row r="30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1121111211140"/>
  <dimension ref="B1:E39"/>
  <sheetViews>
    <sheetView workbookViewId="0"/>
  </sheetViews>
  <sheetFormatPr defaultRowHeight="12.75"/>
  <cols>
    <col min="2" max="2" width="3.140625" customWidth="1"/>
    <col min="3" max="3" width="40.5703125" bestFit="1" customWidth="1"/>
    <col min="4" max="4" width="18.85546875" bestFit="1" customWidth="1"/>
    <col min="5" max="5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184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129</v>
      </c>
      <c r="D7" s="114">
        <v>7500000</v>
      </c>
      <c r="E7" s="11"/>
    </row>
    <row r="8" spans="2:5" s="1" customFormat="1" ht="15">
      <c r="B8" s="9"/>
      <c r="C8" s="10" t="s">
        <v>130</v>
      </c>
      <c r="D8" s="114">
        <v>3400000</v>
      </c>
      <c r="E8" s="11"/>
    </row>
    <row r="9" spans="2:5" s="1" customFormat="1" ht="15">
      <c r="B9" s="9"/>
      <c r="C9" s="10" t="s">
        <v>122</v>
      </c>
      <c r="D9" s="79">
        <v>1000000</v>
      </c>
      <c r="E9" s="11"/>
    </row>
    <row r="10" spans="2:5" s="1" customFormat="1" ht="15">
      <c r="B10" s="9"/>
      <c r="C10" s="10" t="s">
        <v>131</v>
      </c>
      <c r="D10" s="72">
        <v>0.05</v>
      </c>
      <c r="E10" s="11"/>
    </row>
    <row r="11" spans="2:5" s="1" customFormat="1" ht="15">
      <c r="B11" s="9"/>
      <c r="C11" s="10" t="s">
        <v>132</v>
      </c>
      <c r="D11" s="72">
        <v>0.05</v>
      </c>
      <c r="E11" s="11"/>
    </row>
    <row r="12" spans="2:5" s="1" customFormat="1" ht="15">
      <c r="B12" s="9"/>
      <c r="C12" s="10" t="s">
        <v>133</v>
      </c>
      <c r="D12" s="72">
        <v>0.13</v>
      </c>
      <c r="E12" s="11"/>
    </row>
    <row r="13" spans="2:5" s="1" customFormat="1" ht="15">
      <c r="B13" s="9"/>
      <c r="C13" s="10" t="s">
        <v>134</v>
      </c>
      <c r="D13" s="115">
        <v>17000000</v>
      </c>
      <c r="E13" s="11"/>
    </row>
    <row r="14" spans="2:5" s="1" customFormat="1" ht="15">
      <c r="B14" s="9"/>
      <c r="C14" s="10" t="s">
        <v>135</v>
      </c>
      <c r="D14" s="115">
        <v>6000000</v>
      </c>
      <c r="E14" s="11"/>
    </row>
    <row r="15" spans="2:5" s="1" customFormat="1" ht="15">
      <c r="B15" s="9"/>
      <c r="C15" s="10" t="s">
        <v>136</v>
      </c>
      <c r="D15" s="115">
        <v>4200000</v>
      </c>
      <c r="E15" s="11"/>
    </row>
    <row r="16" spans="2:5" s="1" customFormat="1" ht="15" customHeight="1" thickBot="1">
      <c r="B16" s="12"/>
      <c r="C16" s="13"/>
      <c r="D16" s="13"/>
      <c r="E16" s="14"/>
    </row>
    <row r="17" spans="2:5" s="1" customFormat="1" ht="15"/>
    <row r="18" spans="2:5" s="1" customFormat="1" ht="15">
      <c r="C18" s="2" t="s">
        <v>2</v>
      </c>
    </row>
    <row r="19" spans="2:5" s="1" customFormat="1" ht="15.75" thickBot="1">
      <c r="C19" s="3"/>
    </row>
    <row r="20" spans="2:5" s="1" customFormat="1" ht="15">
      <c r="B20" s="15"/>
      <c r="C20" s="16"/>
      <c r="D20" s="16"/>
      <c r="E20" s="17"/>
    </row>
    <row r="21" spans="2:5" s="1" customFormat="1" ht="15">
      <c r="B21" s="18" t="s">
        <v>126</v>
      </c>
      <c r="C21" s="20" t="s">
        <v>137</v>
      </c>
      <c r="D21" s="121">
        <f>(D7*(1+D10))/(D12-D10)</f>
        <v>98437500</v>
      </c>
      <c r="E21" s="21"/>
    </row>
    <row r="22" spans="2:5" s="1" customFormat="1" ht="15">
      <c r="B22" s="18"/>
      <c r="C22" s="20" t="s">
        <v>138</v>
      </c>
      <c r="D22" s="121">
        <f>(D8*(1+D11))/(D12-D11)</f>
        <v>44625000</v>
      </c>
      <c r="E22" s="21"/>
    </row>
    <row r="23" spans="2:5" s="1" customFormat="1" ht="15">
      <c r="B23" s="18"/>
      <c r="C23" s="20" t="s">
        <v>139</v>
      </c>
      <c r="D23" s="121">
        <f>D21-D22</f>
        <v>53812500</v>
      </c>
      <c r="E23" s="21"/>
    </row>
    <row r="24" spans="2:5" s="1" customFormat="1" ht="15">
      <c r="B24" s="18"/>
      <c r="C24" s="20"/>
      <c r="D24" s="120"/>
      <c r="E24" s="21"/>
    </row>
    <row r="25" spans="2:5" s="1" customFormat="1" ht="15.75">
      <c r="B25" s="18"/>
      <c r="C25" s="20" t="s">
        <v>140</v>
      </c>
      <c r="D25" s="119">
        <f>D23/D9</f>
        <v>53.8125</v>
      </c>
      <c r="E25" s="21"/>
    </row>
    <row r="26" spans="2:5" s="1" customFormat="1" ht="15">
      <c r="B26" s="18"/>
      <c r="C26" s="20"/>
      <c r="D26" s="20"/>
      <c r="E26" s="21"/>
    </row>
    <row r="27" spans="2:5" s="1" customFormat="1" ht="15">
      <c r="B27" s="18" t="s">
        <v>125</v>
      </c>
      <c r="C27" s="20" t="s">
        <v>141</v>
      </c>
      <c r="D27" s="122">
        <f>D14/(1+D12)</f>
        <v>5309734.5132743372</v>
      </c>
      <c r="E27" s="21"/>
    </row>
    <row r="28" spans="2:5" s="1" customFormat="1" ht="15">
      <c r="B28" s="18"/>
      <c r="C28" s="20" t="s">
        <v>142</v>
      </c>
      <c r="D28" s="91">
        <f>D13+D27</f>
        <v>22309734.513274338</v>
      </c>
      <c r="E28" s="21"/>
    </row>
    <row r="29" spans="2:5" s="1" customFormat="1" ht="15">
      <c r="B29" s="18"/>
      <c r="C29" s="20"/>
      <c r="D29" s="120"/>
      <c r="E29" s="21"/>
    </row>
    <row r="30" spans="2:5" s="1" customFormat="1" ht="15">
      <c r="B30" s="18"/>
      <c r="C30" s="20" t="s">
        <v>143</v>
      </c>
      <c r="D30" s="91">
        <f>(D15/D12)/(1+D12)</f>
        <v>28590878.148400277</v>
      </c>
      <c r="E30" s="21"/>
    </row>
    <row r="31" spans="2:5" s="1" customFormat="1" ht="15">
      <c r="B31" s="18"/>
      <c r="C31" s="20"/>
      <c r="D31" s="20"/>
      <c r="E31" s="21"/>
    </row>
    <row r="32" spans="2:5" s="1" customFormat="1" ht="15">
      <c r="B32" s="18"/>
      <c r="C32" s="20" t="s">
        <v>144</v>
      </c>
      <c r="D32" s="91">
        <f>D30-D28</f>
        <v>6281143.6351259388</v>
      </c>
      <c r="E32" s="21"/>
    </row>
    <row r="33" spans="2:5" s="1" customFormat="1" ht="15">
      <c r="B33" s="18"/>
      <c r="C33" s="20"/>
      <c r="D33" s="20"/>
      <c r="E33" s="21"/>
    </row>
    <row r="34" spans="2:5" s="1" customFormat="1" ht="15.75">
      <c r="B34" s="18"/>
      <c r="C34" s="20" t="s">
        <v>145</v>
      </c>
      <c r="D34" s="119">
        <f>D32/D9</f>
        <v>6.2811436351259387</v>
      </c>
      <c r="E34" s="21"/>
    </row>
    <row r="35" spans="2:5" s="1" customFormat="1" ht="15">
      <c r="B35" s="18"/>
      <c r="C35" s="19"/>
      <c r="D35" s="53"/>
      <c r="E35" s="34"/>
    </row>
    <row r="36" spans="2:5" s="1" customFormat="1" ht="15.75">
      <c r="B36" s="18"/>
      <c r="C36" s="19" t="s">
        <v>146</v>
      </c>
      <c r="D36" s="28">
        <f>D34+D25</f>
        <v>60.093643635125936</v>
      </c>
      <c r="E36" s="34"/>
    </row>
    <row r="37" spans="2:5" s="1" customFormat="1" ht="15" customHeight="1" thickBot="1">
      <c r="B37" s="24"/>
      <c r="C37" s="25"/>
      <c r="D37" s="25"/>
      <c r="E37" s="26"/>
    </row>
    <row r="38" spans="2:5" s="1" customFormat="1" ht="15"/>
    <row r="39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1211111"/>
  <dimension ref="B1:E17"/>
  <sheetViews>
    <sheetView workbookViewId="0"/>
  </sheetViews>
  <sheetFormatPr defaultRowHeight="12.75"/>
  <cols>
    <col min="2" max="2" width="3.140625" customWidth="1"/>
    <col min="3" max="3" width="21.5703125" customWidth="1"/>
    <col min="4" max="4" width="19.5703125" customWidth="1"/>
    <col min="5" max="5" width="3.140625" customWidth="1"/>
    <col min="6" max="6" width="26" bestFit="1" customWidth="1"/>
    <col min="7" max="7" width="13.42578125" customWidth="1"/>
    <col min="8" max="8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7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4</v>
      </c>
      <c r="D7" s="71">
        <v>3.2</v>
      </c>
      <c r="E7" s="11"/>
    </row>
    <row r="8" spans="2:5" s="1" customFormat="1" ht="15">
      <c r="B8" s="9"/>
      <c r="C8" s="10" t="s">
        <v>5</v>
      </c>
      <c r="D8" s="72">
        <v>0.06</v>
      </c>
      <c r="E8" s="11"/>
    </row>
    <row r="9" spans="2:5" s="1" customFormat="1" ht="15">
      <c r="B9" s="9"/>
      <c r="C9" s="10" t="s">
        <v>11</v>
      </c>
      <c r="D9" s="71">
        <v>63.5</v>
      </c>
      <c r="E9" s="11"/>
    </row>
    <row r="10" spans="2:5" s="1" customFormat="1" ht="15" customHeight="1" thickBot="1">
      <c r="B10" s="12"/>
      <c r="C10" s="13"/>
      <c r="D10" s="13"/>
      <c r="E10" s="14"/>
    </row>
    <row r="11" spans="2:5" s="1" customFormat="1" ht="15"/>
    <row r="12" spans="2:5" s="1" customFormat="1" ht="15">
      <c r="C12" s="2" t="s">
        <v>2</v>
      </c>
    </row>
    <row r="13" spans="2:5" s="1" customFormat="1" ht="15.75" thickBot="1">
      <c r="C13" s="3"/>
    </row>
    <row r="14" spans="2:5" s="1" customFormat="1" ht="15">
      <c r="B14" s="15"/>
      <c r="C14" s="16"/>
      <c r="D14" s="16"/>
      <c r="E14" s="17"/>
    </row>
    <row r="15" spans="2:5" s="1" customFormat="1" ht="15.75">
      <c r="B15" s="18"/>
      <c r="C15" s="19" t="s">
        <v>187</v>
      </c>
      <c r="D15" s="30">
        <f>D7/D9+D8</f>
        <v>0.11039370078740157</v>
      </c>
      <c r="E15" s="21"/>
    </row>
    <row r="16" spans="2:5" s="1" customFormat="1" ht="15" customHeight="1" thickBot="1">
      <c r="B16" s="24"/>
      <c r="C16" s="25"/>
      <c r="D16" s="25"/>
      <c r="E16" s="26"/>
    </row>
    <row r="17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1121111211141"/>
  <dimension ref="B1:E34"/>
  <sheetViews>
    <sheetView workbookViewId="0"/>
  </sheetViews>
  <sheetFormatPr defaultRowHeight="12.75"/>
  <cols>
    <col min="2" max="2" width="3.140625" customWidth="1"/>
    <col min="3" max="3" width="40.5703125" bestFit="1" customWidth="1"/>
    <col min="4" max="4" width="18.85546875" bestFit="1" customWidth="1"/>
    <col min="5" max="5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184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129</v>
      </c>
      <c r="D7" s="114">
        <v>71000000</v>
      </c>
      <c r="E7" s="11"/>
    </row>
    <row r="8" spans="2:5" s="1" customFormat="1" ht="15">
      <c r="B8" s="9"/>
      <c r="C8" s="10" t="s">
        <v>134</v>
      </c>
      <c r="D8" s="115">
        <v>16000000</v>
      </c>
      <c r="E8" s="11"/>
    </row>
    <row r="9" spans="2:5" s="1" customFormat="1" ht="15">
      <c r="B9" s="9"/>
      <c r="C9" s="10" t="s">
        <v>135</v>
      </c>
      <c r="D9" s="115">
        <v>5000000</v>
      </c>
      <c r="E9" s="11"/>
    </row>
    <row r="10" spans="2:5" s="1" customFormat="1" ht="15">
      <c r="B10" s="9"/>
      <c r="C10" s="10" t="s">
        <v>136</v>
      </c>
      <c r="D10" s="115">
        <v>11000000</v>
      </c>
      <c r="E10" s="11"/>
    </row>
    <row r="11" spans="2:5" s="1" customFormat="1" ht="15">
      <c r="B11" s="9"/>
      <c r="C11" s="10" t="s">
        <v>122</v>
      </c>
      <c r="D11" s="89">
        <v>15000000</v>
      </c>
      <c r="E11" s="11"/>
    </row>
    <row r="12" spans="2:5" s="1" customFormat="1" ht="15">
      <c r="B12" s="9"/>
      <c r="C12" s="10" t="s">
        <v>6</v>
      </c>
      <c r="D12" s="72">
        <v>0.12</v>
      </c>
      <c r="E12" s="11"/>
    </row>
    <row r="13" spans="2:5" s="1" customFormat="1" ht="15" customHeight="1" thickBot="1">
      <c r="B13" s="12"/>
      <c r="C13" s="13"/>
      <c r="D13" s="13"/>
      <c r="E13" s="14"/>
    </row>
    <row r="14" spans="2:5" s="1" customFormat="1" ht="15"/>
    <row r="15" spans="2:5" s="1" customFormat="1" ht="15">
      <c r="C15" s="2" t="s">
        <v>2</v>
      </c>
    </row>
    <row r="16" spans="2:5" s="1" customFormat="1" ht="15.75" thickBot="1">
      <c r="C16" s="3"/>
    </row>
    <row r="17" spans="2:5" s="1" customFormat="1" ht="15">
      <c r="B17" s="15"/>
      <c r="C17" s="16"/>
      <c r="D17" s="16"/>
      <c r="E17" s="17"/>
    </row>
    <row r="18" spans="2:5" s="1" customFormat="1" ht="15">
      <c r="B18" s="18" t="s">
        <v>126</v>
      </c>
      <c r="C18" s="20" t="s">
        <v>148</v>
      </c>
      <c r="D18" s="121">
        <f>D7/D12</f>
        <v>591666666.66666675</v>
      </c>
      <c r="E18" s="21"/>
    </row>
    <row r="19" spans="2:5" s="1" customFormat="1" ht="15">
      <c r="B19" s="18"/>
      <c r="C19" s="20"/>
      <c r="D19" s="121"/>
      <c r="E19" s="21"/>
    </row>
    <row r="20" spans="2:5" s="1" customFormat="1" ht="15.75">
      <c r="B20" s="18"/>
      <c r="C20" s="20" t="s">
        <v>149</v>
      </c>
      <c r="D20" s="123">
        <f>D18/D11</f>
        <v>39.44444444444445</v>
      </c>
      <c r="E20" s="21"/>
    </row>
    <row r="21" spans="2:5" s="1" customFormat="1" ht="15">
      <c r="B21" s="18"/>
      <c r="C21" s="20"/>
      <c r="D21" s="20"/>
      <c r="E21" s="21"/>
    </row>
    <row r="22" spans="2:5" s="1" customFormat="1" ht="15">
      <c r="B22" s="18" t="s">
        <v>125</v>
      </c>
      <c r="C22" s="20" t="s">
        <v>141</v>
      </c>
      <c r="D22" s="122">
        <f>D9/(1+D12)</f>
        <v>4464285.7142857136</v>
      </c>
      <c r="E22" s="21"/>
    </row>
    <row r="23" spans="2:5" s="1" customFormat="1" ht="15">
      <c r="B23" s="18"/>
      <c r="C23" s="20" t="s">
        <v>142</v>
      </c>
      <c r="D23" s="91">
        <f>D8+D22</f>
        <v>20464285.714285713</v>
      </c>
      <c r="E23" s="21"/>
    </row>
    <row r="24" spans="2:5" s="1" customFormat="1" ht="15">
      <c r="B24" s="18"/>
      <c r="C24" s="20"/>
      <c r="D24" s="120"/>
      <c r="E24" s="21"/>
    </row>
    <row r="25" spans="2:5" s="1" customFormat="1" ht="15">
      <c r="B25" s="18"/>
      <c r="C25" s="20" t="s">
        <v>143</v>
      </c>
      <c r="D25" s="91">
        <f>(D10/D12)/(1+D12)</f>
        <v>81845238.09523809</v>
      </c>
      <c r="E25" s="21"/>
    </row>
    <row r="26" spans="2:5" s="1" customFormat="1" ht="15">
      <c r="B26" s="18"/>
      <c r="C26" s="20"/>
      <c r="D26" s="20"/>
      <c r="E26" s="21"/>
    </row>
    <row r="27" spans="2:5" s="1" customFormat="1" ht="15.75">
      <c r="B27" s="18"/>
      <c r="C27" s="20" t="s">
        <v>151</v>
      </c>
      <c r="D27" s="119">
        <f>D25-D23</f>
        <v>61380952.380952373</v>
      </c>
      <c r="E27" s="21"/>
    </row>
    <row r="28" spans="2:5" s="1" customFormat="1" ht="15">
      <c r="B28" s="18"/>
      <c r="C28" s="20"/>
      <c r="D28" s="91"/>
      <c r="E28" s="21"/>
    </row>
    <row r="29" spans="2:5" s="1" customFormat="1" ht="15">
      <c r="B29" s="18" t="s">
        <v>128</v>
      </c>
      <c r="C29" s="20" t="s">
        <v>150</v>
      </c>
      <c r="D29" s="91">
        <f>D27/D11</f>
        <v>4.0920634920634917</v>
      </c>
      <c r="E29" s="21"/>
    </row>
    <row r="30" spans="2:5" s="1" customFormat="1" ht="15">
      <c r="B30" s="18"/>
      <c r="C30" s="20"/>
      <c r="D30" s="20"/>
      <c r="E30" s="21"/>
    </row>
    <row r="31" spans="2:5" s="1" customFormat="1" ht="15.75">
      <c r="B31" s="18"/>
      <c r="C31" s="20" t="s">
        <v>146</v>
      </c>
      <c r="D31" s="119">
        <f>D20+D29</f>
        <v>43.536507936507945</v>
      </c>
      <c r="E31" s="21"/>
    </row>
    <row r="32" spans="2:5" s="1" customFormat="1" ht="15" customHeight="1" thickBot="1">
      <c r="B32" s="24"/>
      <c r="C32" s="25"/>
      <c r="D32" s="25"/>
      <c r="E32" s="26"/>
    </row>
    <row r="33" s="1" customFormat="1" ht="15"/>
    <row r="34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J63"/>
  <sheetViews>
    <sheetView workbookViewId="0"/>
  </sheetViews>
  <sheetFormatPr defaultRowHeight="12.75"/>
  <cols>
    <col min="2" max="2" width="3.140625" customWidth="1"/>
    <col min="3" max="3" width="29.140625" bestFit="1" customWidth="1"/>
    <col min="4" max="4" width="18.140625" customWidth="1"/>
    <col min="5" max="5" width="3.140625" customWidth="1"/>
  </cols>
  <sheetData>
    <row r="1" spans="1:10" ht="18">
      <c r="A1" s="1"/>
      <c r="B1" s="1"/>
      <c r="C1" s="86" t="s">
        <v>228</v>
      </c>
      <c r="D1" s="1"/>
      <c r="E1" s="1"/>
      <c r="F1" s="1"/>
      <c r="G1" s="1"/>
      <c r="H1" s="1"/>
      <c r="I1" s="1"/>
      <c r="J1" s="1"/>
    </row>
    <row r="2" spans="1:10" ht="15">
      <c r="A2" s="1"/>
      <c r="B2" s="1"/>
      <c r="C2" s="1" t="s">
        <v>147</v>
      </c>
      <c r="D2" s="1"/>
      <c r="E2" s="1"/>
      <c r="F2" s="1"/>
      <c r="G2" s="1"/>
      <c r="H2" s="1"/>
      <c r="I2" s="1"/>
      <c r="J2" s="1"/>
    </row>
    <row r="3" spans="1:10" ht="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"/>
      <c r="B4" s="1"/>
      <c r="C4" s="2" t="s">
        <v>238</v>
      </c>
      <c r="D4" s="1"/>
      <c r="E4" s="1"/>
      <c r="F4" s="1"/>
      <c r="G4" s="1"/>
      <c r="H4" s="1"/>
      <c r="I4" s="1"/>
      <c r="J4" s="1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>
      <c r="A6" s="1"/>
      <c r="B6" s="5"/>
      <c r="C6" s="7"/>
      <c r="D6" s="7"/>
      <c r="E6" s="8"/>
      <c r="F6" s="1"/>
      <c r="G6" s="1"/>
      <c r="H6" s="1"/>
      <c r="I6" s="1"/>
      <c r="J6" s="1"/>
    </row>
    <row r="7" spans="1:10" ht="15">
      <c r="A7" s="1"/>
      <c r="B7" s="9"/>
      <c r="C7" s="10" t="s">
        <v>176</v>
      </c>
      <c r="D7" s="111">
        <v>2.35</v>
      </c>
      <c r="E7" s="11"/>
      <c r="F7" s="1"/>
      <c r="G7" s="1"/>
      <c r="H7" s="1"/>
      <c r="I7" s="1"/>
      <c r="J7" s="1"/>
    </row>
    <row r="8" spans="1:10" ht="15">
      <c r="A8" s="1"/>
      <c r="B8" s="9"/>
      <c r="C8" s="10" t="s">
        <v>237</v>
      </c>
      <c r="D8" s="79">
        <v>21</v>
      </c>
      <c r="E8" s="11"/>
      <c r="F8" s="1"/>
      <c r="G8" s="1"/>
      <c r="H8" s="1"/>
      <c r="I8" s="1"/>
      <c r="J8" s="1"/>
    </row>
    <row r="9" spans="1:10" ht="15">
      <c r="A9" s="1"/>
      <c r="B9" s="9"/>
      <c r="C9" s="10" t="s">
        <v>239</v>
      </c>
      <c r="D9" s="72">
        <v>7.0000000000000007E-2</v>
      </c>
      <c r="E9" s="11"/>
      <c r="F9" s="1"/>
      <c r="G9" s="1"/>
      <c r="H9" s="1"/>
      <c r="I9" s="1"/>
      <c r="J9" s="1"/>
    </row>
    <row r="10" spans="1:10" ht="15.75" thickBot="1">
      <c r="A10" s="1"/>
      <c r="B10" s="12"/>
      <c r="C10" s="13"/>
      <c r="D10" s="13"/>
      <c r="E10" s="14"/>
      <c r="F10" s="1"/>
      <c r="G10" s="1"/>
      <c r="H10" s="1"/>
      <c r="I10" s="1"/>
      <c r="J10" s="1"/>
    </row>
    <row r="11" spans="1:10" ht="1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5">
      <c r="A12" s="1"/>
      <c r="B12" s="1"/>
      <c r="C12" s="2" t="s">
        <v>240</v>
      </c>
      <c r="D12" s="1"/>
      <c r="E12" s="1"/>
      <c r="F12" s="1"/>
      <c r="G12" s="1"/>
      <c r="H12" s="1"/>
      <c r="I12" s="1"/>
      <c r="J12" s="1"/>
    </row>
    <row r="13" spans="1:10" ht="15.75" thickBot="1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5">
      <c r="A14" s="1"/>
      <c r="B14" s="15"/>
      <c r="C14" s="16"/>
      <c r="D14" s="16"/>
      <c r="E14" s="17"/>
      <c r="F14" s="1"/>
      <c r="G14" s="1"/>
      <c r="H14" s="1"/>
      <c r="I14" s="1"/>
      <c r="J14" s="1"/>
    </row>
    <row r="15" spans="1:10" ht="15.75">
      <c r="A15" s="1"/>
      <c r="B15" s="141" t="s">
        <v>70</v>
      </c>
      <c r="C15" s="20" t="s">
        <v>241</v>
      </c>
      <c r="D15" s="142">
        <f>D8*D7</f>
        <v>49.35</v>
      </c>
      <c r="E15" s="21"/>
      <c r="F15" s="1"/>
      <c r="G15" s="1"/>
      <c r="H15" s="1"/>
      <c r="I15" s="1"/>
      <c r="J15" s="1"/>
    </row>
    <row r="16" spans="1:10" ht="15">
      <c r="A16" s="1"/>
      <c r="B16" s="141"/>
      <c r="C16" s="20"/>
      <c r="D16" s="20"/>
      <c r="E16" s="21"/>
      <c r="F16" s="1"/>
      <c r="G16" s="1"/>
      <c r="H16" s="1"/>
      <c r="I16" s="1"/>
      <c r="J16" s="1"/>
    </row>
    <row r="17" spans="1:10" ht="15">
      <c r="A17" s="1"/>
      <c r="B17" s="141" t="s">
        <v>71</v>
      </c>
      <c r="C17" s="20" t="s">
        <v>242</v>
      </c>
      <c r="D17" s="131">
        <f>D7*(1+D9)</f>
        <v>2.5145000000000004</v>
      </c>
      <c r="E17" s="21"/>
      <c r="F17" s="1"/>
      <c r="G17" s="1"/>
      <c r="H17" s="1"/>
      <c r="I17" s="1"/>
      <c r="J17" s="1"/>
    </row>
    <row r="18" spans="1:10" ht="15">
      <c r="A18" s="1"/>
      <c r="B18" s="141"/>
      <c r="C18" s="20"/>
      <c r="D18" s="20"/>
      <c r="E18" s="21"/>
      <c r="F18" s="1"/>
      <c r="G18" s="1"/>
      <c r="H18" s="1"/>
      <c r="I18" s="1"/>
      <c r="J18" s="1"/>
    </row>
    <row r="19" spans="1:10" ht="15.75">
      <c r="A19" s="1"/>
      <c r="B19" s="141"/>
      <c r="C19" s="20" t="s">
        <v>243</v>
      </c>
      <c r="D19" s="142">
        <f>D17*D8</f>
        <v>52.804500000000012</v>
      </c>
      <c r="E19" s="21"/>
      <c r="F19" s="1"/>
      <c r="G19" s="1"/>
      <c r="H19" s="1"/>
      <c r="I19" s="1"/>
      <c r="J19" s="1"/>
    </row>
    <row r="20" spans="1:10" ht="15">
      <c r="A20" s="1"/>
      <c r="B20" s="141"/>
      <c r="C20" s="20"/>
      <c r="D20" s="20"/>
      <c r="E20" s="21"/>
      <c r="F20" s="1"/>
      <c r="G20" s="1"/>
      <c r="H20" s="1"/>
      <c r="I20" s="1"/>
      <c r="J20" s="1"/>
    </row>
    <row r="21" spans="1:10" ht="15.75">
      <c r="A21" s="1"/>
      <c r="B21" s="141" t="s">
        <v>244</v>
      </c>
      <c r="C21" s="20" t="s">
        <v>245</v>
      </c>
      <c r="D21" s="143">
        <f>(D19-D15)/D15</f>
        <v>7.0000000000000201E-2</v>
      </c>
      <c r="E21" s="21"/>
      <c r="F21" s="1"/>
      <c r="G21" s="1"/>
      <c r="H21" s="1"/>
      <c r="I21" s="1"/>
      <c r="J21" s="1"/>
    </row>
    <row r="22" spans="1:10" ht="15.75" thickBot="1">
      <c r="A22" s="1"/>
      <c r="B22" s="24"/>
      <c r="C22" s="25"/>
      <c r="D22" s="25"/>
      <c r="E22" s="26"/>
      <c r="F22" s="1"/>
      <c r="G22" s="1"/>
      <c r="H22" s="1"/>
      <c r="I22" s="1"/>
      <c r="J22" s="1"/>
    </row>
    <row r="23" spans="1:10" ht="1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">
      <c r="A63" s="1"/>
      <c r="B63" s="1"/>
      <c r="C63" s="1"/>
      <c r="D63" s="1"/>
      <c r="E63" s="1"/>
      <c r="F63" s="1"/>
      <c r="G63" s="1"/>
      <c r="H63" s="1"/>
      <c r="I63" s="1"/>
      <c r="J63" s="1"/>
    </row>
  </sheetData>
  <phoneticPr fontId="3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B1:E29"/>
  <sheetViews>
    <sheetView workbookViewId="0"/>
  </sheetViews>
  <sheetFormatPr defaultRowHeight="12.75"/>
  <cols>
    <col min="2" max="2" width="3.140625" customWidth="1"/>
    <col min="3" max="3" width="40.5703125" bestFit="1" customWidth="1"/>
    <col min="4" max="4" width="19.140625" customWidth="1"/>
    <col min="5" max="5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152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247</v>
      </c>
      <c r="D7" s="114">
        <v>28000000</v>
      </c>
      <c r="E7" s="11"/>
    </row>
    <row r="8" spans="2:5" s="1" customFormat="1" ht="15">
      <c r="B8" s="9"/>
      <c r="C8" s="10" t="s">
        <v>246</v>
      </c>
      <c r="D8" s="115">
        <v>12000000</v>
      </c>
      <c r="E8" s="11"/>
    </row>
    <row r="9" spans="2:5" s="1" customFormat="1" ht="15">
      <c r="B9" s="9"/>
      <c r="C9" s="10" t="s">
        <v>250</v>
      </c>
      <c r="D9" s="115">
        <v>54000000</v>
      </c>
      <c r="E9" s="11"/>
    </row>
    <row r="10" spans="2:5" s="1" customFormat="1" ht="15">
      <c r="B10" s="9"/>
      <c r="C10" s="10" t="s">
        <v>251</v>
      </c>
      <c r="D10" s="115">
        <v>18000000</v>
      </c>
      <c r="E10" s="11"/>
    </row>
    <row r="11" spans="2:5" s="1" customFormat="1" ht="15">
      <c r="B11" s="9"/>
      <c r="C11" s="10" t="s">
        <v>249</v>
      </c>
      <c r="D11" s="147">
        <v>7.5</v>
      </c>
      <c r="E11" s="11"/>
    </row>
    <row r="12" spans="2:5" s="1" customFormat="1" ht="15">
      <c r="B12" s="9"/>
      <c r="C12" s="10" t="s">
        <v>122</v>
      </c>
      <c r="D12" s="89">
        <v>950000</v>
      </c>
      <c r="E12" s="11"/>
    </row>
    <row r="13" spans="2:5" s="1" customFormat="1" ht="15" customHeight="1" thickBot="1">
      <c r="B13" s="12"/>
      <c r="C13" s="13"/>
      <c r="D13" s="13"/>
      <c r="E13" s="14"/>
    </row>
    <row r="14" spans="2:5" s="1" customFormat="1" ht="15"/>
    <row r="15" spans="2:5" s="1" customFormat="1" ht="15">
      <c r="C15" s="2" t="s">
        <v>2</v>
      </c>
    </row>
    <row r="16" spans="2:5" s="1" customFormat="1" ht="15.75" thickBot="1">
      <c r="C16" s="3"/>
    </row>
    <row r="17" spans="2:5" s="1" customFormat="1" ht="15">
      <c r="B17" s="15"/>
      <c r="C17" s="16"/>
      <c r="D17" s="16"/>
      <c r="E17" s="17"/>
    </row>
    <row r="18" spans="2:5" s="1" customFormat="1" ht="15">
      <c r="B18" s="18"/>
      <c r="C18" s="20" t="s">
        <v>247</v>
      </c>
      <c r="D18" s="144">
        <f>D7</f>
        <v>28000000</v>
      </c>
      <c r="E18" s="21"/>
    </row>
    <row r="19" spans="2:5" s="1" customFormat="1" ht="15">
      <c r="B19" s="18"/>
      <c r="C19" s="20" t="s">
        <v>246</v>
      </c>
      <c r="D19" s="146">
        <f>D8</f>
        <v>12000000</v>
      </c>
      <c r="E19" s="21"/>
    </row>
    <row r="20" spans="2:5" s="1" customFormat="1" ht="15">
      <c r="B20" s="18"/>
      <c r="C20" s="20" t="s">
        <v>248</v>
      </c>
      <c r="D20" s="144">
        <f>D18-D19</f>
        <v>16000000</v>
      </c>
      <c r="E20" s="21"/>
    </row>
    <row r="21" spans="2:5" s="1" customFormat="1" ht="15">
      <c r="B21" s="18"/>
      <c r="C21" s="20"/>
      <c r="D21" s="145"/>
      <c r="E21" s="21"/>
    </row>
    <row r="22" spans="2:5" s="1" customFormat="1" ht="15.75">
      <c r="B22" s="18"/>
      <c r="C22" s="20" t="s">
        <v>252</v>
      </c>
      <c r="D22" s="149">
        <f>D20*D11</f>
        <v>120000000</v>
      </c>
      <c r="E22" s="21"/>
    </row>
    <row r="23" spans="2:5" s="1" customFormat="1" ht="15">
      <c r="B23" s="18"/>
      <c r="C23" s="20"/>
      <c r="D23" s="131"/>
      <c r="E23" s="21"/>
    </row>
    <row r="24" spans="2:5" s="1" customFormat="1" ht="15">
      <c r="B24" s="18"/>
      <c r="C24" s="20" t="s">
        <v>253</v>
      </c>
      <c r="D24" s="148">
        <f>D22-D9-D10</f>
        <v>48000000</v>
      </c>
      <c r="E24" s="21"/>
    </row>
    <row r="25" spans="2:5" s="1" customFormat="1" ht="15">
      <c r="B25" s="18"/>
      <c r="C25" s="20"/>
      <c r="D25" s="131"/>
      <c r="E25" s="21"/>
    </row>
    <row r="26" spans="2:5" s="1" customFormat="1" ht="15.75">
      <c r="B26" s="18"/>
      <c r="C26" s="20" t="s">
        <v>16</v>
      </c>
      <c r="D26" s="142">
        <f>D24/D12</f>
        <v>50.526315789473685</v>
      </c>
      <c r="E26" s="21"/>
    </row>
    <row r="27" spans="2:5" s="1" customFormat="1" ht="15" customHeight="1" thickBot="1">
      <c r="B27" s="24"/>
      <c r="C27" s="25"/>
      <c r="D27" s="25"/>
      <c r="E27" s="26"/>
    </row>
    <row r="28" spans="2:5" s="1" customFormat="1" ht="15"/>
    <row r="29" spans="2:5" s="1" customFormat="1" ht="15"/>
  </sheetData>
  <phoneticPr fontId="30" type="noConversion"/>
  <pageMargins left="0.75" right="0.75" top="1" bottom="1" header="0.5" footer="0.5"/>
  <pageSetup orientation="portrait" horizont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dimension ref="B1:J48"/>
  <sheetViews>
    <sheetView zoomScaleNormal="100" workbookViewId="0"/>
  </sheetViews>
  <sheetFormatPr defaultRowHeight="12.75"/>
  <cols>
    <col min="2" max="2" width="3.140625" customWidth="1"/>
    <col min="3" max="3" width="40.5703125" bestFit="1" customWidth="1"/>
    <col min="4" max="4" width="19.140625" customWidth="1"/>
    <col min="5" max="9" width="16.85546875" bestFit="1" customWidth="1"/>
    <col min="10" max="10" width="3.140625" customWidth="1"/>
  </cols>
  <sheetData>
    <row r="1" spans="2:10" s="1" customFormat="1" ht="18">
      <c r="C1" s="86" t="s">
        <v>228</v>
      </c>
    </row>
    <row r="2" spans="2:10" s="1" customFormat="1" ht="15">
      <c r="C2" s="1" t="s">
        <v>162</v>
      </c>
    </row>
    <row r="3" spans="2:10" s="1" customFormat="1" ht="15"/>
    <row r="4" spans="2:10" s="1" customFormat="1" ht="15">
      <c r="C4" s="2" t="s">
        <v>1</v>
      </c>
    </row>
    <row r="5" spans="2:10" s="1" customFormat="1" ht="15.75" thickBot="1">
      <c r="C5" s="3"/>
      <c r="D5" s="4"/>
    </row>
    <row r="6" spans="2:10" s="1" customFormat="1" ht="15">
      <c r="B6" s="5"/>
      <c r="C6" s="6"/>
      <c r="D6" s="7"/>
      <c r="E6" s="7"/>
      <c r="F6" s="7"/>
      <c r="G6" s="7"/>
      <c r="H6" s="7"/>
      <c r="I6" s="7"/>
      <c r="J6" s="8"/>
    </row>
    <row r="7" spans="2:10" s="1" customFormat="1" ht="15">
      <c r="B7" s="9"/>
      <c r="C7" s="10" t="s">
        <v>247</v>
      </c>
      <c r="D7" s="114">
        <v>145000000</v>
      </c>
      <c r="E7" s="114"/>
      <c r="F7" s="114"/>
      <c r="G7" s="114"/>
      <c r="H7" s="114"/>
      <c r="I7" s="114"/>
      <c r="J7" s="11"/>
    </row>
    <row r="8" spans="2:10" s="1" customFormat="1" ht="15">
      <c r="B8" s="9"/>
      <c r="C8" s="10" t="s">
        <v>246</v>
      </c>
      <c r="D8" s="115">
        <v>81000000</v>
      </c>
      <c r="E8" s="115"/>
      <c r="F8" s="115"/>
      <c r="G8" s="115"/>
      <c r="H8" s="115"/>
      <c r="I8" s="115"/>
      <c r="J8" s="11"/>
    </row>
    <row r="9" spans="2:10" s="1" customFormat="1" ht="15">
      <c r="B9" s="9"/>
      <c r="C9" s="10" t="s">
        <v>262</v>
      </c>
      <c r="D9" s="114">
        <v>15000000</v>
      </c>
      <c r="E9" s="115"/>
      <c r="F9" s="115"/>
      <c r="G9" s="115"/>
      <c r="H9" s="115"/>
      <c r="I9" s="115"/>
      <c r="J9" s="11"/>
    </row>
    <row r="10" spans="2:10" s="1" customFormat="1" ht="15">
      <c r="B10" s="9"/>
      <c r="C10" s="10"/>
      <c r="D10" s="115"/>
      <c r="E10" s="115"/>
      <c r="F10" s="115"/>
      <c r="G10" s="115"/>
      <c r="H10" s="115"/>
      <c r="I10" s="115"/>
      <c r="J10" s="11"/>
    </row>
    <row r="11" spans="2:10" s="1" customFormat="1" ht="17.25">
      <c r="B11" s="9"/>
      <c r="C11" s="10"/>
      <c r="D11" s="152" t="s">
        <v>254</v>
      </c>
      <c r="E11" s="152" t="s">
        <v>255</v>
      </c>
      <c r="F11" s="152" t="s">
        <v>256</v>
      </c>
      <c r="G11" s="152" t="s">
        <v>257</v>
      </c>
      <c r="H11" s="115"/>
      <c r="I11" s="115"/>
      <c r="J11" s="11"/>
    </row>
    <row r="12" spans="2:10" s="1" customFormat="1" ht="15">
      <c r="B12" s="9"/>
      <c r="C12" s="10" t="s">
        <v>264</v>
      </c>
      <c r="D12" s="72">
        <v>0.14000000000000001</v>
      </c>
      <c r="E12" s="72">
        <v>0.12</v>
      </c>
      <c r="F12" s="72">
        <v>0.1</v>
      </c>
      <c r="G12" s="72">
        <v>0.08</v>
      </c>
      <c r="H12" s="115"/>
      <c r="I12" s="115"/>
      <c r="J12" s="11"/>
    </row>
    <row r="13" spans="2:10" s="1" customFormat="1" ht="15">
      <c r="B13" s="9"/>
      <c r="C13" s="10"/>
      <c r="D13" s="72"/>
      <c r="E13" s="72"/>
      <c r="F13" s="72"/>
      <c r="G13" s="72"/>
      <c r="H13" s="115"/>
      <c r="I13" s="115"/>
      <c r="J13" s="11"/>
    </row>
    <row r="14" spans="2:10" s="1" customFormat="1" ht="15">
      <c r="B14" s="9"/>
      <c r="C14" s="10" t="s">
        <v>271</v>
      </c>
      <c r="D14" s="72">
        <v>0.06</v>
      </c>
      <c r="E14" s="72"/>
      <c r="F14" s="72"/>
      <c r="G14" s="72"/>
      <c r="H14" s="72"/>
      <c r="I14" s="72"/>
      <c r="J14" s="11"/>
    </row>
    <row r="15" spans="2:10" s="1" customFormat="1" ht="15">
      <c r="B15" s="9"/>
      <c r="C15" s="10" t="s">
        <v>122</v>
      </c>
      <c r="D15" s="89">
        <v>5500000</v>
      </c>
      <c r="E15" s="72"/>
      <c r="F15" s="72"/>
      <c r="G15" s="72"/>
      <c r="H15" s="72"/>
      <c r="I15" s="72"/>
      <c r="J15" s="11"/>
    </row>
    <row r="16" spans="2:10" s="1" customFormat="1" ht="15">
      <c r="B16" s="9"/>
      <c r="C16" s="10" t="s">
        <v>6</v>
      </c>
      <c r="D16" s="72">
        <v>0.13</v>
      </c>
      <c r="E16" s="72"/>
      <c r="F16" s="72"/>
      <c r="G16" s="72"/>
      <c r="H16" s="72"/>
      <c r="I16" s="72"/>
      <c r="J16" s="11"/>
    </row>
    <row r="17" spans="2:10" s="1" customFormat="1" ht="15">
      <c r="B17" s="9"/>
      <c r="C17" s="10" t="s">
        <v>87</v>
      </c>
      <c r="D17" s="72">
        <v>0.4</v>
      </c>
      <c r="E17" s="72"/>
      <c r="F17" s="72"/>
      <c r="G17" s="72"/>
      <c r="H17" s="72"/>
      <c r="I17" s="72"/>
      <c r="J17" s="11"/>
    </row>
    <row r="18" spans="2:10" s="1" customFormat="1" ht="15.75">
      <c r="B18" s="153" t="s">
        <v>71</v>
      </c>
      <c r="C18" s="10" t="s">
        <v>270</v>
      </c>
      <c r="D18" s="89">
        <v>11</v>
      </c>
      <c r="E18" s="72"/>
      <c r="F18" s="72"/>
      <c r="G18" s="72"/>
      <c r="H18" s="72"/>
      <c r="I18" s="72"/>
      <c r="J18" s="11"/>
    </row>
    <row r="19" spans="2:10" s="1" customFormat="1" ht="15" customHeight="1" thickBot="1">
      <c r="B19" s="12"/>
      <c r="C19" s="13"/>
      <c r="D19" s="13"/>
      <c r="E19" s="13"/>
      <c r="F19" s="13"/>
      <c r="G19" s="13"/>
      <c r="H19" s="13"/>
      <c r="I19" s="13"/>
      <c r="J19" s="14"/>
    </row>
    <row r="20" spans="2:10" s="1" customFormat="1" ht="15"/>
    <row r="21" spans="2:10" s="1" customFormat="1" ht="15">
      <c r="C21" s="2" t="s">
        <v>2</v>
      </c>
    </row>
    <row r="22" spans="2:10" s="1" customFormat="1" ht="15.75" thickBot="1">
      <c r="C22" s="3"/>
    </row>
    <row r="23" spans="2:10" s="1" customFormat="1" ht="15">
      <c r="B23" s="15"/>
      <c r="C23" s="16"/>
      <c r="D23" s="16"/>
      <c r="E23" s="16"/>
      <c r="F23" s="16"/>
      <c r="G23" s="16"/>
      <c r="H23" s="16"/>
      <c r="I23" s="16"/>
      <c r="J23" s="17"/>
    </row>
    <row r="24" spans="2:10" s="1" customFormat="1" ht="15">
      <c r="B24" s="18"/>
      <c r="C24" s="20"/>
      <c r="D24" s="151" t="s">
        <v>254</v>
      </c>
      <c r="E24" s="151" t="s">
        <v>255</v>
      </c>
      <c r="F24" s="151" t="s">
        <v>256</v>
      </c>
      <c r="G24" s="151" t="s">
        <v>257</v>
      </c>
      <c r="H24" s="151" t="s">
        <v>258</v>
      </c>
      <c r="I24" s="151" t="s">
        <v>260</v>
      </c>
      <c r="J24" s="21"/>
    </row>
    <row r="25" spans="2:10" s="1" customFormat="1" ht="15">
      <c r="B25" s="141" t="s">
        <v>70</v>
      </c>
      <c r="C25" s="20" t="s">
        <v>247</v>
      </c>
      <c r="D25" s="144">
        <f>D7</f>
        <v>145000000</v>
      </c>
      <c r="E25" s="144">
        <f>D25*(1+D12)</f>
        <v>165300000.00000003</v>
      </c>
      <c r="F25" s="144">
        <f>E25*(1+E12)</f>
        <v>185136000.00000006</v>
      </c>
      <c r="G25" s="144">
        <f>F25*(1+F12)</f>
        <v>203649600.00000009</v>
      </c>
      <c r="H25" s="144">
        <f>G25*(1+G12)</f>
        <v>219941568.00000012</v>
      </c>
      <c r="I25" s="144">
        <f>H25*(1+D14)</f>
        <v>233138062.08000013</v>
      </c>
      <c r="J25" s="21"/>
    </row>
    <row r="26" spans="2:10" s="1" customFormat="1" ht="15">
      <c r="B26" s="82"/>
      <c r="C26" s="20" t="s">
        <v>246</v>
      </c>
      <c r="D26" s="146">
        <f>D8</f>
        <v>81000000</v>
      </c>
      <c r="E26" s="146">
        <f>D26*(1+D12)</f>
        <v>92340000.000000015</v>
      </c>
      <c r="F26" s="146">
        <f>E26*(1+E12)</f>
        <v>103420800.00000003</v>
      </c>
      <c r="G26" s="146">
        <f>F26*(1+F12)</f>
        <v>113762880.00000004</v>
      </c>
      <c r="H26" s="146">
        <f>G26*(1+G12)</f>
        <v>122863910.40000005</v>
      </c>
      <c r="I26" s="146">
        <f>H26*(1+D14)</f>
        <v>130235745.02400006</v>
      </c>
      <c r="J26" s="21"/>
    </row>
    <row r="27" spans="2:10" s="1" customFormat="1" ht="15">
      <c r="B27" s="82"/>
      <c r="C27" s="20" t="s">
        <v>259</v>
      </c>
      <c r="D27" s="144">
        <f t="shared" ref="D27:I27" si="0">D25-D26</f>
        <v>64000000</v>
      </c>
      <c r="E27" s="144">
        <f t="shared" si="0"/>
        <v>72960000.000000015</v>
      </c>
      <c r="F27" s="144">
        <f t="shared" si="0"/>
        <v>81715200.00000003</v>
      </c>
      <c r="G27" s="144">
        <f t="shared" si="0"/>
        <v>89886720.000000045</v>
      </c>
      <c r="H27" s="144">
        <f t="shared" si="0"/>
        <v>97077657.600000069</v>
      </c>
      <c r="I27" s="144">
        <f t="shared" si="0"/>
        <v>102902317.05600007</v>
      </c>
      <c r="J27" s="21"/>
    </row>
    <row r="28" spans="2:10" s="1" customFormat="1" ht="15">
      <c r="B28" s="82"/>
      <c r="C28" s="20" t="s">
        <v>261</v>
      </c>
      <c r="D28" s="146">
        <f t="shared" ref="D28:I28" si="1">D27*$D$17</f>
        <v>25600000</v>
      </c>
      <c r="E28" s="146">
        <f t="shared" si="1"/>
        <v>29184000.000000007</v>
      </c>
      <c r="F28" s="146">
        <f t="shared" si="1"/>
        <v>32686080.000000015</v>
      </c>
      <c r="G28" s="146">
        <f t="shared" si="1"/>
        <v>35954688.000000022</v>
      </c>
      <c r="H28" s="146">
        <f t="shared" si="1"/>
        <v>38831063.040000029</v>
      </c>
      <c r="I28" s="146">
        <f t="shared" si="1"/>
        <v>41160926.822400033</v>
      </c>
      <c r="J28" s="21"/>
    </row>
    <row r="29" spans="2:10" s="1" customFormat="1" ht="15">
      <c r="B29" s="82"/>
      <c r="C29" s="20" t="s">
        <v>108</v>
      </c>
      <c r="D29" s="144">
        <f t="shared" ref="D29:I29" si="2">D27-D28</f>
        <v>38400000</v>
      </c>
      <c r="E29" s="144">
        <f t="shared" si="2"/>
        <v>43776000.000000007</v>
      </c>
      <c r="F29" s="144">
        <f t="shared" si="2"/>
        <v>49029120.000000015</v>
      </c>
      <c r="G29" s="144">
        <f t="shared" si="2"/>
        <v>53932032.000000022</v>
      </c>
      <c r="H29" s="144">
        <f t="shared" si="2"/>
        <v>58246594.56000004</v>
      </c>
      <c r="I29" s="144">
        <f t="shared" si="2"/>
        <v>61741390.233600035</v>
      </c>
      <c r="J29" s="21"/>
    </row>
    <row r="30" spans="2:10" s="1" customFormat="1" ht="15">
      <c r="B30" s="82"/>
      <c r="C30" s="20" t="s">
        <v>262</v>
      </c>
      <c r="D30" s="146">
        <f>D9</f>
        <v>15000000</v>
      </c>
      <c r="E30" s="146">
        <f>D30*(1+D12)</f>
        <v>17100000.000000004</v>
      </c>
      <c r="F30" s="146">
        <f>E30*(1+E12)</f>
        <v>19152000.000000007</v>
      </c>
      <c r="G30" s="146">
        <f>F30*(1+F12)</f>
        <v>21067200.000000011</v>
      </c>
      <c r="H30" s="146">
        <f>G30*(1+G12)</f>
        <v>22752576.000000015</v>
      </c>
      <c r="I30" s="146">
        <f>H30*(1+D14)</f>
        <v>24117730.560000017</v>
      </c>
      <c r="J30" s="21"/>
    </row>
    <row r="31" spans="2:10" s="1" customFormat="1" ht="15">
      <c r="B31" s="82"/>
      <c r="C31" s="20" t="s">
        <v>263</v>
      </c>
      <c r="D31" s="144">
        <f t="shared" ref="D31:I31" si="3">D29-D30</f>
        <v>23400000</v>
      </c>
      <c r="E31" s="144">
        <f t="shared" si="3"/>
        <v>26676000.000000004</v>
      </c>
      <c r="F31" s="144">
        <f t="shared" si="3"/>
        <v>29877120.000000007</v>
      </c>
      <c r="G31" s="144">
        <f t="shared" si="3"/>
        <v>32864832.000000011</v>
      </c>
      <c r="H31" s="144">
        <f t="shared" si="3"/>
        <v>35494018.560000025</v>
      </c>
      <c r="I31" s="144">
        <f t="shared" si="3"/>
        <v>37623659.673600018</v>
      </c>
      <c r="J31" s="21"/>
    </row>
    <row r="32" spans="2:10" s="1" customFormat="1" ht="15">
      <c r="B32" s="82"/>
      <c r="C32" s="20"/>
      <c r="D32" s="144"/>
      <c r="E32" s="144"/>
      <c r="F32" s="144"/>
      <c r="G32" s="144"/>
      <c r="H32" s="144"/>
      <c r="I32" s="144"/>
      <c r="J32" s="21"/>
    </row>
    <row r="33" spans="2:10" s="1" customFormat="1" ht="15">
      <c r="B33" s="82"/>
      <c r="C33" s="20" t="s">
        <v>265</v>
      </c>
      <c r="D33" s="144">
        <f>I31*(1+D14)</f>
        <v>39881079.254016019</v>
      </c>
      <c r="E33" s="144"/>
      <c r="F33" s="144"/>
      <c r="G33" s="144"/>
      <c r="H33" s="144"/>
      <c r="I33" s="144"/>
      <c r="J33" s="21"/>
    </row>
    <row r="34" spans="2:10" s="1" customFormat="1" ht="15">
      <c r="B34" s="82"/>
      <c r="C34" s="20"/>
      <c r="D34" s="144"/>
      <c r="E34" s="144"/>
      <c r="F34" s="144"/>
      <c r="G34" s="144"/>
      <c r="H34" s="144"/>
      <c r="I34" s="144"/>
      <c r="J34" s="21"/>
    </row>
    <row r="35" spans="2:10" s="1" customFormat="1" ht="15">
      <c r="B35" s="82"/>
      <c r="C35" s="20" t="s">
        <v>266</v>
      </c>
      <c r="D35" s="144">
        <f>D33/(D16-D14)</f>
        <v>569729703.62880027</v>
      </c>
      <c r="E35" s="144"/>
      <c r="F35" s="144"/>
      <c r="G35" s="144"/>
      <c r="H35" s="144"/>
      <c r="I35" s="144"/>
      <c r="J35" s="21"/>
    </row>
    <row r="36" spans="2:10" s="1" customFormat="1" ht="15">
      <c r="B36" s="82"/>
      <c r="C36" s="20"/>
      <c r="D36" s="144"/>
      <c r="E36" s="144"/>
      <c r="F36" s="144"/>
      <c r="G36" s="144"/>
      <c r="H36" s="144"/>
      <c r="I36" s="144"/>
      <c r="J36" s="21"/>
    </row>
    <row r="37" spans="2:10" s="1" customFormat="1" ht="15">
      <c r="B37" s="82"/>
      <c r="C37" s="20" t="s">
        <v>267</v>
      </c>
      <c r="D37" s="148">
        <f>NPV(D16,D31,E31,F31,G31,H31,I31+D35)</f>
        <v>393449949.67443883</v>
      </c>
      <c r="E37" s="144"/>
      <c r="F37" s="144"/>
      <c r="G37" s="144"/>
      <c r="H37" s="144"/>
      <c r="I37" s="144"/>
      <c r="J37" s="21"/>
    </row>
    <row r="38" spans="2:10" s="1" customFormat="1" ht="15">
      <c r="B38" s="82"/>
      <c r="C38" s="20"/>
      <c r="D38" s="144"/>
      <c r="E38" s="144"/>
      <c r="F38" s="144"/>
      <c r="G38" s="144"/>
      <c r="H38" s="144"/>
      <c r="I38" s="144"/>
      <c r="J38" s="21"/>
    </row>
    <row r="39" spans="2:10" s="1" customFormat="1" ht="15.75">
      <c r="B39" s="82"/>
      <c r="C39" s="20" t="s">
        <v>268</v>
      </c>
      <c r="D39" s="142">
        <f>D37/D15</f>
        <v>71.536354486261601</v>
      </c>
      <c r="E39" s="144"/>
      <c r="F39" s="144"/>
      <c r="G39" s="144"/>
      <c r="H39" s="144"/>
      <c r="I39" s="144"/>
      <c r="J39" s="21"/>
    </row>
    <row r="40" spans="2:10" s="1" customFormat="1" ht="15">
      <c r="B40" s="82"/>
      <c r="C40" s="20"/>
      <c r="D40" s="144"/>
      <c r="E40" s="144"/>
      <c r="F40" s="144"/>
      <c r="G40" s="144"/>
      <c r="H40" s="144"/>
      <c r="I40" s="144"/>
      <c r="J40" s="21"/>
    </row>
    <row r="41" spans="2:10" s="1" customFormat="1" ht="15">
      <c r="B41" s="141" t="s">
        <v>71</v>
      </c>
      <c r="C41" s="20" t="s">
        <v>269</v>
      </c>
      <c r="D41" s="144">
        <f>D18*I29</f>
        <v>679155292.56960034</v>
      </c>
      <c r="E41" s="144"/>
      <c r="F41" s="144"/>
      <c r="G41" s="144"/>
      <c r="H41" s="144"/>
      <c r="I41" s="144"/>
      <c r="J41" s="21"/>
    </row>
    <row r="42" spans="2:10" s="1" customFormat="1" ht="15">
      <c r="B42" s="18"/>
      <c r="C42" s="20"/>
      <c r="D42" s="144"/>
      <c r="E42" s="144"/>
      <c r="F42" s="144"/>
      <c r="G42" s="144"/>
      <c r="H42" s="144"/>
      <c r="I42" s="144"/>
      <c r="J42" s="21"/>
    </row>
    <row r="43" spans="2:10" s="1" customFormat="1" ht="15">
      <c r="B43" s="18"/>
      <c r="C43" s="20" t="s">
        <v>267</v>
      </c>
      <c r="D43" s="148">
        <f>NPV(D16,D31,E31,F31,G31,H31,D41+I31)</f>
        <v>446009087.41798806</v>
      </c>
      <c r="E43" s="144"/>
      <c r="F43" s="144"/>
      <c r="G43" s="144"/>
      <c r="H43" s="144"/>
      <c r="I43" s="144"/>
      <c r="J43" s="21"/>
    </row>
    <row r="44" spans="2:10" s="1" customFormat="1" ht="15">
      <c r="B44" s="18"/>
      <c r="C44" s="20"/>
      <c r="D44" s="144"/>
      <c r="E44" s="145"/>
      <c r="F44" s="145"/>
      <c r="G44" s="145"/>
      <c r="H44" s="145"/>
      <c r="I44" s="145"/>
      <c r="J44" s="21"/>
    </row>
    <row r="45" spans="2:10" s="1" customFormat="1" ht="15.75">
      <c r="B45" s="18"/>
      <c r="C45" s="20" t="s">
        <v>268</v>
      </c>
      <c r="D45" s="142">
        <f>D43/D15</f>
        <v>81.092561348725098</v>
      </c>
      <c r="E45" s="150"/>
      <c r="F45" s="150"/>
      <c r="G45" s="150"/>
      <c r="H45" s="150"/>
      <c r="I45" s="150"/>
      <c r="J45" s="21"/>
    </row>
    <row r="46" spans="2:10" s="1" customFormat="1" ht="15" customHeight="1" thickBot="1">
      <c r="B46" s="24"/>
      <c r="C46" s="25"/>
      <c r="D46" s="25"/>
      <c r="E46" s="25"/>
      <c r="F46" s="25"/>
      <c r="G46" s="25"/>
      <c r="H46" s="25"/>
      <c r="I46" s="25"/>
      <c r="J46" s="26"/>
    </row>
    <row r="47" spans="2:10" s="1" customFormat="1" ht="15"/>
    <row r="48" spans="2:10" s="1" customFormat="1" ht="15"/>
  </sheetData>
  <phoneticPr fontId="30" type="noConversion"/>
  <pageMargins left="0.75" right="0.75" top="1" bottom="1" header="0.5" footer="0.5"/>
  <pageSetup scale="58" orientation="landscape" horizontalDpi="300" r:id="rId1"/>
  <headerFooter alignWithMargins="0"/>
  <ignoredErrors>
    <ignoredError sqref="D28:D30 E28:I30" formula="1"/>
  </ignoredErrors>
</worksheet>
</file>

<file path=xl/worksheets/sheet34.xml><?xml version="1.0" encoding="utf-8"?>
<worksheet xmlns="http://schemas.openxmlformats.org/spreadsheetml/2006/main" xmlns:r="http://schemas.openxmlformats.org/officeDocument/2006/relationships">
  <sheetPr codeName="Sheet1121111311"/>
  <dimension ref="B1:G51"/>
  <sheetViews>
    <sheetView workbookViewId="0"/>
  </sheetViews>
  <sheetFormatPr defaultRowHeight="12.75"/>
  <cols>
    <col min="2" max="2" width="3.140625" customWidth="1"/>
    <col min="3" max="3" width="29.7109375" bestFit="1" customWidth="1"/>
    <col min="4" max="4" width="13.140625" customWidth="1"/>
    <col min="5" max="5" width="3.140625" customWidth="1"/>
    <col min="7" max="7" width="10.85546875" customWidth="1"/>
  </cols>
  <sheetData>
    <row r="1" spans="2:5" s="1" customFormat="1" ht="18">
      <c r="C1" s="86" t="s">
        <v>228</v>
      </c>
    </row>
    <row r="2" spans="2:5" s="1" customFormat="1" ht="15">
      <c r="C2" s="1" t="s">
        <v>234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  <c r="E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6</v>
      </c>
      <c r="D7" s="72">
        <v>0.17</v>
      </c>
      <c r="E7" s="43"/>
    </row>
    <row r="8" spans="2:5" s="1" customFormat="1" ht="15">
      <c r="B8" s="9"/>
      <c r="C8" s="10" t="s">
        <v>47</v>
      </c>
      <c r="D8" s="93">
        <v>3.5</v>
      </c>
      <c r="E8" s="44"/>
    </row>
    <row r="9" spans="2:5" s="1" customFormat="1" ht="15">
      <c r="B9" s="9"/>
      <c r="C9" s="10"/>
      <c r="D9" s="77"/>
      <c r="E9" s="45"/>
    </row>
    <row r="10" spans="2:5" s="1" customFormat="1" ht="15">
      <c r="B10" s="9"/>
      <c r="C10" s="10" t="s">
        <v>49</v>
      </c>
      <c r="D10" s="77">
        <v>8.5000000000000006E-2</v>
      </c>
      <c r="E10" s="44"/>
    </row>
    <row r="11" spans="2:5" s="1" customFormat="1" ht="15">
      <c r="B11" s="9"/>
      <c r="C11" s="10" t="s">
        <v>48</v>
      </c>
      <c r="D11" s="73">
        <v>0</v>
      </c>
      <c r="E11" s="44"/>
    </row>
    <row r="12" spans="2:5" s="1" customFormat="1" ht="15">
      <c r="B12" s="9"/>
      <c r="C12" s="10" t="s">
        <v>50</v>
      </c>
      <c r="D12" s="73">
        <v>-0.05</v>
      </c>
      <c r="E12" s="44"/>
    </row>
    <row r="13" spans="2:5" s="1" customFormat="1" ht="15">
      <c r="B13" s="9"/>
      <c r="C13" s="10"/>
      <c r="D13" s="74"/>
      <c r="E13" s="46"/>
    </row>
    <row r="14" spans="2:5" s="1" customFormat="1" ht="15">
      <c r="B14" s="9"/>
      <c r="C14" s="49" t="s">
        <v>51</v>
      </c>
      <c r="D14" s="74"/>
      <c r="E14" s="46"/>
    </row>
    <row r="15" spans="2:5" s="1" customFormat="1" ht="15">
      <c r="B15" s="9"/>
      <c r="C15" s="10" t="s">
        <v>52</v>
      </c>
      <c r="D15" s="72">
        <v>0.3</v>
      </c>
      <c r="E15" s="46"/>
    </row>
    <row r="16" spans="2:5" s="1" customFormat="1" ht="15">
      <c r="B16" s="9"/>
      <c r="C16" s="10" t="s">
        <v>20</v>
      </c>
      <c r="D16" s="74">
        <v>2</v>
      </c>
      <c r="E16" s="46"/>
    </row>
    <row r="17" spans="2:5" s="1" customFormat="1" ht="15">
      <c r="B17" s="9"/>
      <c r="C17" s="10" t="s">
        <v>36</v>
      </c>
      <c r="D17" s="72">
        <v>0.08</v>
      </c>
      <c r="E17" s="46"/>
    </row>
    <row r="18" spans="2:5" s="1" customFormat="1" ht="15" customHeight="1" thickBot="1">
      <c r="B18" s="12"/>
      <c r="C18" s="13"/>
      <c r="D18" s="13"/>
      <c r="E18" s="14"/>
    </row>
    <row r="19" spans="2:5" s="1" customFormat="1" ht="15"/>
    <row r="20" spans="2:5" s="1" customFormat="1" ht="15">
      <c r="C20" s="2" t="s">
        <v>2</v>
      </c>
    </row>
    <row r="21" spans="2:5" s="1" customFormat="1" ht="15.75" thickBot="1">
      <c r="C21" s="3"/>
    </row>
    <row r="22" spans="2:5" s="1" customFormat="1" ht="15">
      <c r="B22" s="15"/>
      <c r="C22" s="16"/>
      <c r="D22" s="16"/>
      <c r="E22" s="17"/>
    </row>
    <row r="23" spans="2:5" s="1" customFormat="1" ht="15">
      <c r="B23" s="18"/>
      <c r="C23" s="50" t="s">
        <v>53</v>
      </c>
      <c r="D23" s="38"/>
      <c r="E23" s="54"/>
    </row>
    <row r="24" spans="2:5" s="1" customFormat="1" ht="15">
      <c r="B24" s="18"/>
      <c r="C24" s="20" t="s">
        <v>210</v>
      </c>
      <c r="D24" s="36">
        <f>D8*(1+D10)/(D7-D10)</f>
        <v>44.67647058823529</v>
      </c>
      <c r="E24" s="54"/>
    </row>
    <row r="25" spans="2:5" s="1" customFormat="1" ht="15.75">
      <c r="B25" s="18"/>
      <c r="C25" s="20" t="s">
        <v>211</v>
      </c>
      <c r="D25" s="154">
        <f>D8*(1+D10)/D24</f>
        <v>8.5000000000000006E-2</v>
      </c>
      <c r="E25" s="54"/>
    </row>
    <row r="26" spans="2:5" s="1" customFormat="1" ht="15.75">
      <c r="B26" s="18"/>
      <c r="C26" s="20" t="s">
        <v>212</v>
      </c>
      <c r="D26" s="155">
        <f>D7-D25</f>
        <v>8.5000000000000006E-2</v>
      </c>
      <c r="E26" s="54"/>
    </row>
    <row r="27" spans="2:5" s="1" customFormat="1" ht="15.75">
      <c r="B27" s="18"/>
      <c r="C27" s="20"/>
      <c r="D27" s="51"/>
      <c r="E27" s="54"/>
    </row>
    <row r="28" spans="2:5" s="1" customFormat="1" ht="15">
      <c r="B28" s="18"/>
      <c r="C28" s="20" t="s">
        <v>213</v>
      </c>
      <c r="D28" s="36">
        <f>D8/(D7-D11)</f>
        <v>20.588235294117645</v>
      </c>
      <c r="E28" s="47"/>
    </row>
    <row r="29" spans="2:5" s="1" customFormat="1" ht="15.75">
      <c r="B29" s="18"/>
      <c r="C29" s="20" t="s">
        <v>211</v>
      </c>
      <c r="D29" s="84">
        <f>D8*(1+D11)/D28</f>
        <v>0.17</v>
      </c>
      <c r="E29" s="47"/>
    </row>
    <row r="30" spans="2:5" s="1" customFormat="1" ht="15.75">
      <c r="B30" s="18"/>
      <c r="C30" s="20" t="s">
        <v>212</v>
      </c>
      <c r="D30" s="85">
        <f>D7-D29</f>
        <v>0</v>
      </c>
      <c r="E30" s="47"/>
    </row>
    <row r="31" spans="2:5" s="1" customFormat="1" ht="15.75">
      <c r="B31" s="18"/>
      <c r="C31" s="20"/>
      <c r="D31" s="52"/>
      <c r="E31" s="47"/>
    </row>
    <row r="32" spans="2:5" s="1" customFormat="1" ht="15">
      <c r="B32" s="18"/>
      <c r="C32" s="20" t="s">
        <v>214</v>
      </c>
      <c r="D32" s="36">
        <f>D8*(1+D12)/(D7-D12)</f>
        <v>15.11363636363636</v>
      </c>
      <c r="E32" s="47"/>
    </row>
    <row r="33" spans="2:7" s="1" customFormat="1" ht="15.75">
      <c r="B33" s="18"/>
      <c r="C33" s="20" t="s">
        <v>211</v>
      </c>
      <c r="D33" s="85">
        <f>D8*(1+D12)/D32</f>
        <v>0.22000000000000003</v>
      </c>
      <c r="E33" s="47"/>
    </row>
    <row r="34" spans="2:7" s="1" customFormat="1" ht="15.75">
      <c r="B34" s="18"/>
      <c r="C34" s="20" t="s">
        <v>212</v>
      </c>
      <c r="D34" s="85">
        <f>D7-D33</f>
        <v>-5.0000000000000017E-2</v>
      </c>
      <c r="E34" s="47"/>
    </row>
    <row r="35" spans="2:7" s="1" customFormat="1" ht="15.75">
      <c r="B35" s="18"/>
      <c r="C35" s="20"/>
      <c r="D35" s="52"/>
      <c r="E35" s="47"/>
    </row>
    <row r="36" spans="2:7" s="1" customFormat="1" ht="15">
      <c r="B36" s="18"/>
      <c r="C36" s="20" t="s">
        <v>215</v>
      </c>
      <c r="D36" s="36">
        <f>D8*(1+D15)^D16*(1+D17)/(D7-D17)</f>
        <v>70.98</v>
      </c>
      <c r="E36" s="47"/>
    </row>
    <row r="37" spans="2:7" s="1" customFormat="1" ht="15">
      <c r="B37" s="18"/>
      <c r="C37" s="20" t="s">
        <v>216</v>
      </c>
      <c r="D37" s="37">
        <f>D8*(1+D15)/(1+D7)+D8*(1+D15)^D16/(1+D7)^D16+D36/(1+D7)^2</f>
        <v>60.061728395061742</v>
      </c>
      <c r="E37" s="47"/>
    </row>
    <row r="38" spans="2:7" s="1" customFormat="1" ht="15.75">
      <c r="B38" s="18"/>
      <c r="C38" s="20" t="s">
        <v>211</v>
      </c>
      <c r="D38" s="30">
        <f>D8*(1+D15)/D37</f>
        <v>7.5755395683453214E-2</v>
      </c>
      <c r="E38" s="47"/>
    </row>
    <row r="39" spans="2:7" s="1" customFormat="1" ht="15.75">
      <c r="B39" s="18"/>
      <c r="C39" s="20" t="s">
        <v>212</v>
      </c>
      <c r="D39" s="30">
        <f>D7-D38</f>
        <v>9.4244604316546798E-2</v>
      </c>
      <c r="E39" s="47"/>
    </row>
    <row r="40" spans="2:7" s="1" customFormat="1" ht="15" customHeight="1" thickBot="1">
      <c r="B40" s="24"/>
      <c r="C40" s="25"/>
      <c r="D40" s="25"/>
      <c r="E40" s="26"/>
    </row>
    <row r="41" spans="2:7" s="1" customFormat="1" ht="15.75" thickBot="1"/>
    <row r="42" spans="2:7" s="1" customFormat="1" ht="15">
      <c r="B42" s="15"/>
      <c r="C42" s="16"/>
      <c r="D42" s="16"/>
      <c r="E42" s="16"/>
      <c r="F42" s="16"/>
      <c r="G42" s="16"/>
    </row>
    <row r="43" spans="2:7" s="1" customFormat="1" ht="15">
      <c r="B43" s="18"/>
      <c r="C43" s="20" t="s">
        <v>54</v>
      </c>
      <c r="D43" s="20"/>
      <c r="E43" s="20"/>
      <c r="F43" s="20"/>
      <c r="G43" s="20"/>
    </row>
    <row r="44" spans="2:7" s="1" customFormat="1" ht="15">
      <c r="B44" s="18"/>
      <c r="C44" s="20" t="s">
        <v>55</v>
      </c>
      <c r="D44" s="20"/>
      <c r="E44" s="20"/>
      <c r="F44" s="20"/>
      <c r="G44" s="20"/>
    </row>
    <row r="45" spans="2:7" s="1" customFormat="1" ht="15">
      <c r="B45" s="18"/>
      <c r="C45" s="20" t="s">
        <v>56</v>
      </c>
      <c r="D45" s="20"/>
      <c r="E45" s="20"/>
      <c r="F45" s="20"/>
      <c r="G45" s="20"/>
    </row>
    <row r="46" spans="2:7" s="1" customFormat="1" ht="15">
      <c r="B46" s="18"/>
      <c r="C46" s="20" t="s">
        <v>57</v>
      </c>
      <c r="D46" s="20"/>
      <c r="E46" s="20"/>
      <c r="F46" s="20"/>
      <c r="G46" s="20"/>
    </row>
    <row r="47" spans="2:7" s="1" customFormat="1" ht="15">
      <c r="B47" s="18"/>
      <c r="C47" s="20" t="s">
        <v>58</v>
      </c>
      <c r="D47" s="20"/>
      <c r="E47" s="20"/>
      <c r="F47" s="20"/>
      <c r="G47" s="20"/>
    </row>
    <row r="48" spans="2:7" s="1" customFormat="1" ht="15">
      <c r="B48" s="18"/>
      <c r="C48" s="20" t="s">
        <v>59</v>
      </c>
      <c r="D48" s="20"/>
      <c r="E48" s="20"/>
      <c r="F48" s="20"/>
      <c r="G48" s="20"/>
    </row>
    <row r="49" spans="2:7" s="1" customFormat="1" ht="15.75" thickBot="1">
      <c r="B49" s="24"/>
      <c r="C49" s="25"/>
      <c r="D49" s="25"/>
      <c r="E49" s="25"/>
      <c r="F49" s="25"/>
      <c r="G49" s="25"/>
    </row>
    <row r="50" spans="2:7" s="1" customFormat="1" ht="15"/>
    <row r="51" spans="2:7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sheetPr codeName="Sheet11211115"/>
  <dimension ref="B1:E25"/>
  <sheetViews>
    <sheetView workbookViewId="0"/>
  </sheetViews>
  <sheetFormatPr defaultRowHeight="12.75"/>
  <cols>
    <col min="2" max="2" width="3.140625" customWidth="1"/>
    <col min="3" max="3" width="26.5703125" bestFit="1" customWidth="1"/>
    <col min="4" max="4" width="14.42578125" customWidth="1"/>
    <col min="5" max="5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233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4</v>
      </c>
      <c r="D7" s="71">
        <v>3.2</v>
      </c>
      <c r="E7" s="11"/>
    </row>
    <row r="8" spans="2:5" s="1" customFormat="1" ht="15">
      <c r="B8" s="9"/>
      <c r="C8" s="10" t="s">
        <v>5</v>
      </c>
      <c r="D8" s="72">
        <v>0.05</v>
      </c>
      <c r="E8" s="11"/>
    </row>
    <row r="9" spans="2:5" s="1" customFormat="1" ht="15">
      <c r="B9" s="9"/>
      <c r="C9" s="10" t="s">
        <v>6</v>
      </c>
      <c r="D9" s="73">
        <v>0.11</v>
      </c>
      <c r="E9" s="11"/>
    </row>
    <row r="10" spans="2:5" s="1" customFormat="1" ht="15">
      <c r="B10" s="9"/>
      <c r="C10" s="10"/>
      <c r="D10" s="74"/>
      <c r="E10" s="11"/>
    </row>
    <row r="11" spans="2:5" s="1" customFormat="1" ht="15">
      <c r="B11" s="9"/>
      <c r="C11" s="10" t="s">
        <v>61</v>
      </c>
      <c r="D11" s="74">
        <v>4</v>
      </c>
      <c r="E11" s="11"/>
    </row>
    <row r="12" spans="2:5" s="1" customFormat="1" ht="15" customHeight="1" thickBot="1">
      <c r="B12" s="12"/>
      <c r="C12" s="13"/>
      <c r="D12" s="13"/>
      <c r="E12" s="14"/>
    </row>
    <row r="13" spans="2:5" s="1" customFormat="1" ht="15"/>
    <row r="14" spans="2:5" s="1" customFormat="1" ht="15">
      <c r="C14" s="2" t="s">
        <v>2</v>
      </c>
    </row>
    <row r="15" spans="2:5" s="1" customFormat="1" ht="15.75" thickBot="1">
      <c r="C15" s="3"/>
    </row>
    <row r="16" spans="2:5" s="1" customFormat="1" ht="15">
      <c r="B16" s="15"/>
      <c r="C16" s="16"/>
      <c r="D16" s="16"/>
      <c r="E16" s="17"/>
    </row>
    <row r="17" spans="2:5" s="1" customFormat="1" ht="15.75">
      <c r="B17" s="82" t="s">
        <v>70</v>
      </c>
      <c r="C17" s="19" t="s">
        <v>190</v>
      </c>
      <c r="D17" s="28">
        <f>(D7*(1+D8))/(D9-D8)</f>
        <v>56.000000000000007</v>
      </c>
      <c r="E17" s="34"/>
    </row>
    <row r="18" spans="2:5" s="1" customFormat="1" ht="15.75">
      <c r="B18" s="82"/>
      <c r="C18" s="19"/>
      <c r="D18" s="55"/>
      <c r="E18" s="34"/>
    </row>
    <row r="19" spans="2:5" s="1" customFormat="1" ht="15">
      <c r="B19" s="82" t="s">
        <v>71</v>
      </c>
      <c r="C19" s="20" t="s">
        <v>217</v>
      </c>
      <c r="D19" s="94">
        <f>D7*(1+D8)/D11</f>
        <v>0.84000000000000008</v>
      </c>
      <c r="E19" s="47"/>
    </row>
    <row r="20" spans="2:5" s="1" customFormat="1" ht="15">
      <c r="B20" s="82"/>
      <c r="C20" s="20" t="s">
        <v>218</v>
      </c>
      <c r="D20" s="53">
        <f>(1+D9)^(1/D11)-1</f>
        <v>2.6433327247938676E-2</v>
      </c>
      <c r="E20" s="47"/>
    </row>
    <row r="21" spans="2:5" s="1" customFormat="1" ht="15">
      <c r="B21" s="18"/>
      <c r="C21" s="20" t="s">
        <v>219</v>
      </c>
      <c r="D21" s="36">
        <f>FV(D20,D11,-D19)</f>
        <v>3.4955871855748248</v>
      </c>
      <c r="E21" s="47"/>
    </row>
    <row r="22" spans="2:5" s="1" customFormat="1" ht="15">
      <c r="B22" s="18"/>
      <c r="C22" s="20"/>
      <c r="D22" s="22"/>
      <c r="E22" s="47"/>
    </row>
    <row r="23" spans="2:5" s="1" customFormat="1" ht="15.75">
      <c r="B23" s="18"/>
      <c r="C23" s="20" t="s">
        <v>193</v>
      </c>
      <c r="D23" s="23">
        <f>D21/(D9-D8)</f>
        <v>58.259786426247082</v>
      </c>
      <c r="E23" s="47"/>
    </row>
    <row r="24" spans="2:5" s="1" customFormat="1" ht="15" customHeight="1" thickBot="1">
      <c r="B24" s="24"/>
      <c r="C24" s="25"/>
      <c r="D24" s="25"/>
      <c r="E24" s="26"/>
    </row>
    <row r="25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sheetPr codeName="Sheet1121111211144"/>
  <dimension ref="B1:F29"/>
  <sheetViews>
    <sheetView workbookViewId="0"/>
  </sheetViews>
  <sheetFormatPr defaultRowHeight="12.75"/>
  <cols>
    <col min="2" max="2" width="3.140625" customWidth="1"/>
    <col min="3" max="3" width="40.5703125" bestFit="1" customWidth="1"/>
    <col min="4" max="4" width="4" bestFit="1" customWidth="1"/>
    <col min="5" max="5" width="18.85546875" bestFit="1" customWidth="1"/>
    <col min="6" max="6" width="3.140625" customWidth="1"/>
  </cols>
  <sheetData>
    <row r="1" spans="2:6" s="1" customFormat="1" ht="18">
      <c r="C1" s="86" t="s">
        <v>228</v>
      </c>
      <c r="D1" s="86"/>
    </row>
    <row r="2" spans="2:6" s="1" customFormat="1" ht="15">
      <c r="C2" s="1" t="s">
        <v>209</v>
      </c>
    </row>
    <row r="3" spans="2:6" s="1" customFormat="1" ht="15"/>
    <row r="4" spans="2:6" s="1" customFormat="1" ht="15">
      <c r="C4" s="2" t="s">
        <v>1</v>
      </c>
      <c r="D4" s="2"/>
    </row>
    <row r="5" spans="2:6" s="1" customFormat="1" ht="15.75" thickBot="1">
      <c r="C5" s="3"/>
      <c r="D5" s="3"/>
      <c r="E5" s="4"/>
    </row>
    <row r="6" spans="2:6" s="1" customFormat="1" ht="15">
      <c r="B6" s="5"/>
      <c r="C6" s="6"/>
      <c r="D6" s="6"/>
      <c r="E6" s="7"/>
      <c r="F6" s="8"/>
    </row>
    <row r="7" spans="2:6" s="1" customFormat="1" ht="15">
      <c r="B7" s="9"/>
      <c r="C7" s="10" t="s">
        <v>153</v>
      </c>
      <c r="D7" s="10"/>
      <c r="E7" s="111">
        <v>8.5</v>
      </c>
      <c r="F7" s="11"/>
    </row>
    <row r="8" spans="2:6" s="1" customFormat="1" ht="15">
      <c r="B8" s="9"/>
      <c r="C8" s="10" t="s">
        <v>154</v>
      </c>
      <c r="D8" s="10"/>
      <c r="E8" s="89">
        <v>3</v>
      </c>
      <c r="F8" s="11"/>
    </row>
    <row r="9" spans="2:6" s="1" customFormat="1" ht="15">
      <c r="B9" s="9"/>
      <c r="C9" s="10" t="s">
        <v>155</v>
      </c>
      <c r="D9" s="10"/>
      <c r="E9" s="72">
        <v>0.2</v>
      </c>
      <c r="F9" s="11"/>
    </row>
    <row r="10" spans="2:6" s="1" customFormat="1" ht="15">
      <c r="B10" s="9"/>
      <c r="C10" s="10" t="s">
        <v>156</v>
      </c>
      <c r="D10" s="10"/>
      <c r="E10" s="72">
        <v>0.1</v>
      </c>
      <c r="F10" s="11"/>
    </row>
    <row r="11" spans="2:6" s="1" customFormat="1" ht="15">
      <c r="B11" s="9"/>
      <c r="C11" s="10" t="s">
        <v>6</v>
      </c>
      <c r="D11" s="10"/>
      <c r="E11" s="72">
        <v>0.12</v>
      </c>
      <c r="F11" s="11"/>
    </row>
    <row r="12" spans="2:6" s="1" customFormat="1" ht="15" customHeight="1" thickBot="1">
      <c r="B12" s="12"/>
      <c r="C12" s="13"/>
      <c r="D12" s="13"/>
      <c r="E12" s="13"/>
      <c r="F12" s="14"/>
    </row>
    <row r="13" spans="2:6" s="1" customFormat="1" ht="15"/>
    <row r="14" spans="2:6" s="1" customFormat="1" ht="15">
      <c r="C14" s="2" t="s">
        <v>2</v>
      </c>
      <c r="D14" s="2"/>
    </row>
    <row r="15" spans="2:6" s="1" customFormat="1" ht="15.75" thickBot="1">
      <c r="C15" s="3"/>
      <c r="D15" s="3"/>
    </row>
    <row r="16" spans="2:6" s="1" customFormat="1" ht="15">
      <c r="B16" s="15"/>
      <c r="C16" s="16"/>
      <c r="D16" s="16"/>
      <c r="E16" s="16"/>
      <c r="F16" s="17"/>
    </row>
    <row r="17" spans="2:6" s="1" customFormat="1" ht="15.75">
      <c r="B17" s="18" t="s">
        <v>126</v>
      </c>
      <c r="C17" s="20" t="s">
        <v>11</v>
      </c>
      <c r="D17" s="20"/>
      <c r="E17" s="123">
        <f>E7/E11</f>
        <v>70.833333333333343</v>
      </c>
      <c r="F17" s="21"/>
    </row>
    <row r="18" spans="2:6" s="1" customFormat="1" ht="15">
      <c r="B18" s="18"/>
      <c r="C18" s="20"/>
      <c r="D18" s="20"/>
      <c r="E18" s="20"/>
      <c r="F18" s="21"/>
    </row>
    <row r="19" spans="2:6" s="1" customFormat="1" ht="15">
      <c r="B19" s="18" t="s">
        <v>125</v>
      </c>
      <c r="C19" s="20" t="s">
        <v>157</v>
      </c>
      <c r="D19" s="20"/>
      <c r="E19" s="124">
        <f>E9*E10</f>
        <v>2.0000000000000004E-2</v>
      </c>
      <c r="F19" s="21"/>
    </row>
    <row r="20" spans="2:6" s="1" customFormat="1" ht="15">
      <c r="B20" s="18"/>
      <c r="C20" s="20" t="s">
        <v>158</v>
      </c>
      <c r="D20" s="20"/>
      <c r="E20" s="91">
        <f>E7*E9</f>
        <v>1.7000000000000002</v>
      </c>
      <c r="F20" s="21"/>
    </row>
    <row r="21" spans="2:6" s="1" customFormat="1" ht="15">
      <c r="B21" s="18"/>
      <c r="C21" s="20" t="s">
        <v>159</v>
      </c>
      <c r="D21" s="20"/>
      <c r="E21" s="135">
        <f>E20*E10</f>
        <v>0.17000000000000004</v>
      </c>
      <c r="F21" s="21"/>
    </row>
    <row r="22" spans="2:6" s="1" customFormat="1" ht="15">
      <c r="B22" s="18"/>
      <c r="C22" s="20" t="s">
        <v>160</v>
      </c>
      <c r="D22" s="126">
        <f>E8-1</f>
        <v>2</v>
      </c>
      <c r="E22" s="91">
        <f>(-E20+(E21/E11))/(E11-E19)</f>
        <v>-2.8333333333333326</v>
      </c>
      <c r="F22" s="21"/>
    </row>
    <row r="23" spans="2:6" s="1" customFormat="1" ht="15">
      <c r="B23" s="18"/>
      <c r="C23" s="20"/>
      <c r="D23" s="20"/>
      <c r="E23" s="91"/>
      <c r="F23" s="21"/>
    </row>
    <row r="24" spans="2:6" s="1" customFormat="1" ht="15">
      <c r="B24" s="18"/>
      <c r="C24" s="20" t="s">
        <v>161</v>
      </c>
      <c r="D24" s="20"/>
      <c r="E24" s="91">
        <f>E22/((1+E11)^(E8-1))</f>
        <v>-2.2587159863945567</v>
      </c>
      <c r="F24" s="21"/>
    </row>
    <row r="25" spans="2:6" s="1" customFormat="1" ht="15">
      <c r="B25" s="18"/>
      <c r="C25" s="20"/>
      <c r="D25" s="20"/>
      <c r="E25" s="20"/>
      <c r="F25" s="21"/>
    </row>
    <row r="26" spans="2:6" s="1" customFormat="1" ht="15.75">
      <c r="B26" s="18"/>
      <c r="C26" s="20" t="s">
        <v>146</v>
      </c>
      <c r="D26" s="20"/>
      <c r="E26" s="119">
        <f>E17+E24</f>
        <v>68.57461734693878</v>
      </c>
      <c r="F26" s="21"/>
    </row>
    <row r="27" spans="2:6" s="1" customFormat="1" ht="15" customHeight="1" thickBot="1">
      <c r="B27" s="24"/>
      <c r="C27" s="25"/>
      <c r="D27" s="25"/>
      <c r="E27" s="25"/>
      <c r="F27" s="26"/>
    </row>
    <row r="28" spans="2:6" s="1" customFormat="1" ht="15"/>
    <row r="29" spans="2:6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sheetPr codeName="Sheet11211113111"/>
  <dimension ref="B1:G30"/>
  <sheetViews>
    <sheetView workbookViewId="0"/>
  </sheetViews>
  <sheetFormatPr defaultRowHeight="12.75"/>
  <cols>
    <col min="2" max="2" width="3.140625" customWidth="1"/>
    <col min="3" max="3" width="28.7109375" customWidth="1"/>
    <col min="4" max="4" width="13.140625" customWidth="1"/>
    <col min="5" max="5" width="3.140625" customWidth="1"/>
    <col min="6" max="6" width="13.140625" customWidth="1"/>
    <col min="7" max="8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231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  <c r="E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6</v>
      </c>
      <c r="D7" s="81">
        <v>0.13</v>
      </c>
      <c r="E7" s="43"/>
    </row>
    <row r="8" spans="2:5" s="1" customFormat="1" ht="15">
      <c r="B8" s="9"/>
      <c r="C8" s="10" t="s">
        <v>47</v>
      </c>
      <c r="D8" s="71">
        <v>3.85</v>
      </c>
      <c r="E8" s="44"/>
    </row>
    <row r="9" spans="2:5" s="1" customFormat="1" ht="15">
      <c r="B9" s="9"/>
      <c r="C9" s="10"/>
      <c r="D9" s="77"/>
      <c r="E9" s="45"/>
    </row>
    <row r="10" spans="2:5" s="1" customFormat="1" ht="15">
      <c r="B10" s="9"/>
      <c r="C10" s="10" t="s">
        <v>62</v>
      </c>
      <c r="D10" s="73">
        <v>0.2</v>
      </c>
      <c r="E10" s="44"/>
    </row>
    <row r="11" spans="2:5" s="1" customFormat="1" ht="15">
      <c r="B11" s="9"/>
      <c r="C11" s="10" t="s">
        <v>63</v>
      </c>
      <c r="D11" s="73">
        <v>0.15</v>
      </c>
      <c r="E11" s="44"/>
    </row>
    <row r="12" spans="2:5" s="1" customFormat="1" ht="15">
      <c r="B12" s="9"/>
      <c r="C12" s="10" t="s">
        <v>64</v>
      </c>
      <c r="D12" s="73">
        <v>0.1</v>
      </c>
      <c r="E12" s="44"/>
    </row>
    <row r="13" spans="2:5" s="1" customFormat="1" ht="15">
      <c r="B13" s="9"/>
      <c r="C13" s="10" t="s">
        <v>72</v>
      </c>
      <c r="D13" s="73">
        <v>0.05</v>
      </c>
      <c r="E13" s="44"/>
    </row>
    <row r="14" spans="2:5" s="1" customFormat="1" ht="15" customHeight="1" thickBot="1">
      <c r="B14" s="12"/>
      <c r="C14" s="13"/>
      <c r="D14" s="13"/>
      <c r="E14" s="14"/>
    </row>
    <row r="15" spans="2:5" s="1" customFormat="1" ht="15"/>
    <row r="16" spans="2:5" s="1" customFormat="1" ht="15">
      <c r="C16" s="2" t="s">
        <v>2</v>
      </c>
    </row>
    <row r="17" spans="2:7" s="1" customFormat="1" ht="15.75" thickBot="1">
      <c r="C17" s="3"/>
    </row>
    <row r="18" spans="2:7" s="1" customFormat="1" ht="15">
      <c r="B18" s="15"/>
      <c r="C18" s="16"/>
      <c r="D18" s="16"/>
      <c r="E18" s="17"/>
    </row>
    <row r="19" spans="2:7" s="1" customFormat="1" ht="15">
      <c r="B19" s="18"/>
      <c r="C19" s="20" t="s">
        <v>220</v>
      </c>
      <c r="D19" s="131">
        <f>(D8*(1+D10)*(1+D11)*(1+D12)*(1+D13))/(D7-D13)</f>
        <v>76.706437500000007</v>
      </c>
      <c r="E19" s="21"/>
    </row>
    <row r="20" spans="2:7" s="1" customFormat="1" ht="15">
      <c r="B20" s="18"/>
      <c r="C20" s="20"/>
      <c r="D20" s="20"/>
      <c r="E20" s="21"/>
    </row>
    <row r="21" spans="2:7" s="1" customFormat="1" ht="15.75">
      <c r="B21" s="18"/>
      <c r="C21" s="20" t="s">
        <v>193</v>
      </c>
      <c r="D21" s="23">
        <f>D8*(1+D10)/(1+D7)+D8*(1+D10)*(1+D11)/(1+D7)^2+D8*(1+D10)*(1+D11)*(1+D12)/(1+D7)^3+(D19/(1+D7)^3)</f>
        <v>65.461155924504681</v>
      </c>
      <c r="E21" s="54"/>
    </row>
    <row r="22" spans="2:7" s="1" customFormat="1" ht="16.5" thickBot="1">
      <c r="B22" s="24"/>
      <c r="C22" s="25"/>
      <c r="D22" s="56"/>
      <c r="E22" s="57"/>
    </row>
    <row r="23" spans="2:7" s="1" customFormat="1" ht="15.75" thickBot="1"/>
    <row r="24" spans="2:7" s="1" customFormat="1" ht="15">
      <c r="B24" s="15"/>
      <c r="C24" s="16"/>
      <c r="D24" s="16"/>
      <c r="E24" s="16"/>
      <c r="F24" s="16"/>
      <c r="G24" s="17"/>
    </row>
    <row r="25" spans="2:7" s="1" customFormat="1" ht="15">
      <c r="B25" s="18"/>
      <c r="C25" s="20" t="s">
        <v>232</v>
      </c>
      <c r="D25" s="20"/>
      <c r="E25" s="20"/>
      <c r="F25" s="20"/>
      <c r="G25" s="21"/>
    </row>
    <row r="26" spans="2:7" s="1" customFormat="1" ht="15">
      <c r="B26" s="18"/>
      <c r="C26" s="20" t="s">
        <v>301</v>
      </c>
      <c r="D26" s="20"/>
      <c r="E26" s="20"/>
      <c r="F26" s="20"/>
      <c r="G26" s="21"/>
    </row>
    <row r="27" spans="2:7" s="1" customFormat="1" ht="15">
      <c r="B27" s="18"/>
      <c r="C27" s="20" t="s">
        <v>76</v>
      </c>
      <c r="D27" s="20"/>
      <c r="E27" s="20"/>
      <c r="F27" s="20"/>
      <c r="G27" s="21"/>
    </row>
    <row r="28" spans="2:7" s="1" customFormat="1" ht="15.75" thickBot="1">
      <c r="B28" s="24"/>
      <c r="C28" s="25"/>
      <c r="D28" s="25"/>
      <c r="E28" s="25"/>
      <c r="F28" s="25"/>
      <c r="G28" s="26"/>
    </row>
    <row r="29" spans="2:7" s="1" customFormat="1" ht="15"/>
    <row r="30" spans="2:7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dimension ref="A1:G26"/>
  <sheetViews>
    <sheetView showGridLines="0" workbookViewId="0"/>
  </sheetViews>
  <sheetFormatPr defaultRowHeight="12.75"/>
  <cols>
    <col min="1" max="1" width="2.28515625" customWidth="1"/>
    <col min="2" max="2" width="6.28515625" customWidth="1"/>
    <col min="3" max="3" width="13.7109375" bestFit="1" customWidth="1"/>
    <col min="4" max="4" width="14.28515625" bestFit="1" customWidth="1"/>
    <col min="5" max="5" width="12" bestFit="1" customWidth="1"/>
    <col min="6" max="6" width="7.42578125" bestFit="1" customWidth="1"/>
    <col min="7" max="7" width="6" customWidth="1"/>
  </cols>
  <sheetData>
    <row r="1" spans="1:5">
      <c r="A1" s="156" t="s">
        <v>272</v>
      </c>
    </row>
    <row r="2" spans="1:5">
      <c r="A2" s="156" t="s">
        <v>273</v>
      </c>
    </row>
    <row r="3" spans="1:5">
      <c r="A3" s="156" t="s">
        <v>274</v>
      </c>
    </row>
    <row r="4" spans="1:5">
      <c r="A4" s="156" t="s">
        <v>275</v>
      </c>
    </row>
    <row r="5" spans="1:5">
      <c r="A5" s="156" t="s">
        <v>276</v>
      </c>
    </row>
    <row r="6" spans="1:5">
      <c r="A6" s="156"/>
      <c r="B6" t="s">
        <v>277</v>
      </c>
    </row>
    <row r="7" spans="1:5">
      <c r="A7" s="156"/>
      <c r="B7" t="s">
        <v>278</v>
      </c>
    </row>
    <row r="8" spans="1:5">
      <c r="A8" s="156"/>
      <c r="B8" t="s">
        <v>279</v>
      </c>
    </row>
    <row r="9" spans="1:5">
      <c r="A9" s="156" t="s">
        <v>280</v>
      </c>
    </row>
    <row r="10" spans="1:5">
      <c r="B10" t="s">
        <v>281</v>
      </c>
    </row>
    <row r="11" spans="1:5">
      <c r="B11" t="s">
        <v>282</v>
      </c>
    </row>
    <row r="12" spans="1:5">
      <c r="B12" t="s">
        <v>283</v>
      </c>
    </row>
    <row r="14" spans="1:5" ht="13.5" thickBot="1">
      <c r="A14" t="s">
        <v>284</v>
      </c>
    </row>
    <row r="15" spans="1:5" ht="13.5" thickBot="1">
      <c r="B15" s="158" t="s">
        <v>285</v>
      </c>
      <c r="C15" s="158" t="s">
        <v>286</v>
      </c>
      <c r="D15" s="158" t="s">
        <v>287</v>
      </c>
      <c r="E15" s="158" t="s">
        <v>288</v>
      </c>
    </row>
    <row r="16" spans="1:5" ht="13.5" thickBot="1">
      <c r="B16" s="157" t="s">
        <v>296</v>
      </c>
      <c r="C16" s="157" t="s">
        <v>193</v>
      </c>
      <c r="D16" s="159">
        <v>65.461200000000005</v>
      </c>
      <c r="E16" s="159">
        <v>78.430000000000007</v>
      </c>
    </row>
    <row r="19" spans="1:7" ht="13.5" thickBot="1">
      <c r="A19" t="s">
        <v>289</v>
      </c>
    </row>
    <row r="20" spans="1:7" ht="13.5" thickBot="1">
      <c r="B20" s="158" t="s">
        <v>285</v>
      </c>
      <c r="C20" s="158" t="s">
        <v>286</v>
      </c>
      <c r="D20" s="158" t="s">
        <v>287</v>
      </c>
      <c r="E20" s="158" t="s">
        <v>288</v>
      </c>
      <c r="F20" s="158" t="s">
        <v>290</v>
      </c>
    </row>
    <row r="21" spans="1:7" ht="13.5" thickBot="1">
      <c r="B21" s="157" t="s">
        <v>297</v>
      </c>
      <c r="C21" s="157" t="s">
        <v>6</v>
      </c>
      <c r="D21" s="160">
        <v>0.13</v>
      </c>
      <c r="E21" s="160">
        <v>0.11689532330226385</v>
      </c>
      <c r="F21" s="157" t="s">
        <v>298</v>
      </c>
    </row>
    <row r="24" spans="1:7" ht="13.5" thickBot="1">
      <c r="A24" t="s">
        <v>291</v>
      </c>
    </row>
    <row r="25" spans="1:7" ht="13.5" thickBot="1">
      <c r="B25" s="158" t="s">
        <v>285</v>
      </c>
      <c r="C25" s="158" t="s">
        <v>286</v>
      </c>
      <c r="D25" s="158" t="s">
        <v>292</v>
      </c>
      <c r="E25" s="158" t="s">
        <v>293</v>
      </c>
      <c r="F25" s="158" t="s">
        <v>294</v>
      </c>
      <c r="G25" s="158" t="s">
        <v>295</v>
      </c>
    </row>
    <row r="26" spans="1:7" ht="13.5" thickBot="1">
      <c r="B26" s="157" t="s">
        <v>296</v>
      </c>
      <c r="C26" s="157" t="s">
        <v>193</v>
      </c>
      <c r="D26" s="159">
        <v>78.430000000000007</v>
      </c>
      <c r="E26" s="157" t="s">
        <v>299</v>
      </c>
      <c r="F26" s="157" t="s">
        <v>300</v>
      </c>
      <c r="G26" s="157">
        <v>0</v>
      </c>
    </row>
  </sheetData>
  <phoneticPr fontId="30" type="noConversion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>
  <sheetPr codeName="Sheet1121111211143"/>
  <dimension ref="B1:F31"/>
  <sheetViews>
    <sheetView workbookViewId="0"/>
  </sheetViews>
  <sheetFormatPr defaultRowHeight="12.75"/>
  <cols>
    <col min="2" max="2" width="3.140625" customWidth="1"/>
    <col min="3" max="3" width="40.5703125" bestFit="1" customWidth="1"/>
    <col min="4" max="4" width="4" bestFit="1" customWidth="1"/>
    <col min="5" max="5" width="18.85546875" bestFit="1" customWidth="1"/>
    <col min="6" max="6" width="3.140625" customWidth="1"/>
  </cols>
  <sheetData>
    <row r="1" spans="2:6" s="1" customFormat="1" ht="18">
      <c r="C1" s="86" t="s">
        <v>228</v>
      </c>
      <c r="D1" s="86"/>
    </row>
    <row r="2" spans="2:6" s="1" customFormat="1" ht="15">
      <c r="C2" s="1" t="s">
        <v>230</v>
      </c>
    </row>
    <row r="3" spans="2:6" s="1" customFormat="1" ht="15"/>
    <row r="4" spans="2:6" s="1" customFormat="1" ht="15">
      <c r="C4" s="2" t="s">
        <v>1</v>
      </c>
      <c r="D4" s="2"/>
    </row>
    <row r="5" spans="2:6" s="1" customFormat="1" ht="15.75" thickBot="1">
      <c r="C5" s="3"/>
      <c r="D5" s="3"/>
      <c r="E5" s="4"/>
    </row>
    <row r="6" spans="2:6" s="1" customFormat="1" ht="15">
      <c r="B6" s="5"/>
      <c r="C6" s="6"/>
      <c r="D6" s="6"/>
      <c r="E6" s="7"/>
      <c r="F6" s="8"/>
    </row>
    <row r="7" spans="2:6" s="1" customFormat="1" ht="15">
      <c r="B7" s="9"/>
      <c r="C7" s="10" t="s">
        <v>163</v>
      </c>
      <c r="D7" s="10"/>
      <c r="E7" s="114">
        <v>18000000</v>
      </c>
      <c r="F7" s="11"/>
    </row>
    <row r="8" spans="2:6" s="1" customFormat="1" ht="15">
      <c r="B8" s="9"/>
      <c r="C8" s="10" t="s">
        <v>164</v>
      </c>
      <c r="D8" s="10"/>
      <c r="E8" s="72">
        <v>0.05</v>
      </c>
      <c r="F8" s="11"/>
    </row>
    <row r="9" spans="2:6" s="1" customFormat="1" ht="15">
      <c r="B9" s="9"/>
      <c r="C9" s="10" t="s">
        <v>165</v>
      </c>
      <c r="D9" s="10"/>
      <c r="E9" s="89">
        <v>2</v>
      </c>
      <c r="F9" s="11"/>
    </row>
    <row r="10" spans="2:6" s="1" customFormat="1" ht="15">
      <c r="B10" s="9"/>
      <c r="C10" s="10" t="s">
        <v>166</v>
      </c>
      <c r="D10" s="10"/>
      <c r="E10" s="72">
        <v>0.3</v>
      </c>
      <c r="F10" s="11"/>
    </row>
    <row r="11" spans="2:6" s="1" customFormat="1" ht="15">
      <c r="B11" s="9"/>
      <c r="C11" s="10" t="s">
        <v>167</v>
      </c>
      <c r="D11" s="10"/>
      <c r="E11" s="115">
        <v>6500000</v>
      </c>
      <c r="F11" s="11"/>
    </row>
    <row r="12" spans="2:6" s="1" customFormat="1" ht="15">
      <c r="B12" s="9"/>
      <c r="C12" s="10" t="s">
        <v>122</v>
      </c>
      <c r="D12" s="10"/>
      <c r="E12" s="89">
        <v>7500000</v>
      </c>
      <c r="F12" s="11"/>
    </row>
    <row r="13" spans="2:6" s="1" customFormat="1" ht="15">
      <c r="B13" s="9"/>
      <c r="C13" s="10" t="s">
        <v>6</v>
      </c>
      <c r="D13" s="10"/>
      <c r="E13" s="72">
        <v>0.1</v>
      </c>
      <c r="F13" s="11"/>
    </row>
    <row r="14" spans="2:6" s="1" customFormat="1" ht="15" customHeight="1" thickBot="1">
      <c r="B14" s="12"/>
      <c r="C14" s="13"/>
      <c r="D14" s="13"/>
      <c r="E14" s="13"/>
      <c r="F14" s="14"/>
    </row>
    <row r="15" spans="2:6" s="1" customFormat="1" ht="15"/>
    <row r="16" spans="2:6" s="1" customFormat="1" ht="15">
      <c r="C16" s="2" t="s">
        <v>2</v>
      </c>
      <c r="D16" s="2"/>
    </row>
    <row r="17" spans="2:6" s="1" customFormat="1" ht="15.75" thickBot="1">
      <c r="C17" s="3"/>
      <c r="D17" s="3"/>
    </row>
    <row r="18" spans="2:6" s="1" customFormat="1" ht="15">
      <c r="B18" s="15"/>
      <c r="C18" s="16"/>
      <c r="D18" s="16"/>
      <c r="E18" s="16"/>
      <c r="F18" s="17"/>
    </row>
    <row r="19" spans="2:6" s="1" customFormat="1" ht="15">
      <c r="B19" s="18"/>
      <c r="C19" s="20" t="s">
        <v>168</v>
      </c>
      <c r="D19" s="20"/>
      <c r="E19" s="127">
        <f>(E7/E12)*(1+E8)</f>
        <v>2.52</v>
      </c>
      <c r="F19" s="21"/>
    </row>
    <row r="20" spans="2:6" s="1" customFormat="1" ht="15">
      <c r="B20" s="18"/>
      <c r="C20" s="20" t="s">
        <v>169</v>
      </c>
      <c r="D20" s="20"/>
      <c r="E20" s="128">
        <f>E19/(E13-E8)</f>
        <v>50.4</v>
      </c>
      <c r="F20" s="21"/>
    </row>
    <row r="21" spans="2:6" s="1" customFormat="1" ht="15">
      <c r="B21" s="18"/>
      <c r="C21" s="20" t="s">
        <v>170</v>
      </c>
      <c r="D21" s="20"/>
      <c r="E21" s="129">
        <f>(E7/E12)*((1+E8)^E9)</f>
        <v>2.6459999999999999</v>
      </c>
      <c r="F21" s="21"/>
    </row>
    <row r="22" spans="2:6" s="1" customFormat="1" ht="15">
      <c r="B22" s="18"/>
      <c r="C22" s="20" t="s">
        <v>171</v>
      </c>
      <c r="D22" s="126">
        <f>E9</f>
        <v>2</v>
      </c>
      <c r="E22" s="91">
        <f>E21*E10</f>
        <v>0.79379999999999995</v>
      </c>
      <c r="F22" s="21"/>
    </row>
    <row r="23" spans="2:6" s="1" customFormat="1" ht="15">
      <c r="B23" s="18"/>
      <c r="C23" s="20" t="s">
        <v>172</v>
      </c>
      <c r="D23" s="126"/>
      <c r="E23" s="91">
        <f>E11/E12</f>
        <v>0.8666666666666667</v>
      </c>
      <c r="F23" s="21"/>
    </row>
    <row r="24" spans="2:6" s="1" customFormat="1" ht="15">
      <c r="B24" s="18"/>
      <c r="C24" s="20" t="s">
        <v>173</v>
      </c>
      <c r="D24" s="126">
        <f>E9</f>
        <v>2</v>
      </c>
      <c r="E24" s="91">
        <f>E23/E13</f>
        <v>8.6666666666666661</v>
      </c>
      <c r="F24" s="21"/>
    </row>
    <row r="25" spans="2:6" s="1" customFormat="1" ht="15">
      <c r="B25" s="18"/>
      <c r="C25" s="20" t="s">
        <v>174</v>
      </c>
      <c r="D25" s="126">
        <f>D24</f>
        <v>2</v>
      </c>
      <c r="E25" s="91">
        <f>E24-E22</f>
        <v>7.872866666666666</v>
      </c>
      <c r="F25" s="21"/>
    </row>
    <row r="26" spans="2:6" s="1" customFormat="1" ht="15">
      <c r="B26" s="18"/>
      <c r="C26" s="20" t="s">
        <v>175</v>
      </c>
      <c r="D26" s="125"/>
      <c r="E26" s="91">
        <f>E25/((1+E13)^E9)</f>
        <v>6.5065013774104665</v>
      </c>
      <c r="F26" s="21"/>
    </row>
    <row r="27" spans="2:6" s="1" customFormat="1" ht="15">
      <c r="B27" s="18"/>
      <c r="C27" s="20"/>
      <c r="D27" s="125"/>
      <c r="E27" s="20"/>
      <c r="F27" s="21"/>
    </row>
    <row r="28" spans="2:6" s="1" customFormat="1" ht="15.75">
      <c r="B28" s="18"/>
      <c r="C28" s="20" t="s">
        <v>11</v>
      </c>
      <c r="D28" s="20"/>
      <c r="E28" s="119">
        <f>E20+E26</f>
        <v>56.906501377410464</v>
      </c>
      <c r="F28" s="21"/>
    </row>
    <row r="29" spans="2:6" s="1" customFormat="1" ht="15" customHeight="1" thickBot="1">
      <c r="B29" s="24"/>
      <c r="C29" s="25"/>
      <c r="D29" s="25"/>
      <c r="E29" s="25"/>
      <c r="F29" s="26"/>
    </row>
    <row r="30" spans="2:6" s="1" customFormat="1" ht="15"/>
    <row r="31" spans="2:6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12111111"/>
  <dimension ref="B1:E19"/>
  <sheetViews>
    <sheetView workbookViewId="0"/>
  </sheetViews>
  <sheetFormatPr defaultRowHeight="12.75"/>
  <cols>
    <col min="2" max="2" width="3.140625" customWidth="1"/>
    <col min="3" max="3" width="21.5703125" customWidth="1"/>
    <col min="4" max="4" width="15.140625" customWidth="1"/>
    <col min="5" max="5" width="3.140625" customWidth="1"/>
    <col min="6" max="6" width="10" customWidth="1"/>
    <col min="7" max="7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0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4</v>
      </c>
      <c r="D7" s="75">
        <f ca="1">'#2'!D7</f>
        <v>3.2</v>
      </c>
      <c r="E7" s="11"/>
    </row>
    <row r="8" spans="2:5" s="1" customFormat="1" ht="15">
      <c r="B8" s="9"/>
      <c r="C8" s="10" t="s">
        <v>5</v>
      </c>
      <c r="D8" s="76">
        <f ca="1">'#2'!D8</f>
        <v>0.06</v>
      </c>
      <c r="E8" s="11"/>
    </row>
    <row r="9" spans="2:5" s="1" customFormat="1" ht="15">
      <c r="B9" s="9"/>
      <c r="C9" s="10" t="s">
        <v>6</v>
      </c>
      <c r="D9" s="75">
        <f ca="1">'#2'!D9</f>
        <v>63.5</v>
      </c>
      <c r="E9" s="11"/>
    </row>
    <row r="10" spans="2:5" s="1" customFormat="1" ht="15" customHeight="1" thickBot="1">
      <c r="B10" s="12"/>
      <c r="C10" s="13"/>
      <c r="D10" s="13"/>
      <c r="E10" s="14"/>
    </row>
    <row r="11" spans="2:5" s="1" customFormat="1" ht="15"/>
    <row r="12" spans="2:5" s="1" customFormat="1" ht="15">
      <c r="C12" s="2" t="s">
        <v>2</v>
      </c>
    </row>
    <row r="13" spans="2:5" s="1" customFormat="1" ht="15.75" thickBot="1">
      <c r="C13" s="3"/>
    </row>
    <row r="14" spans="2:5" s="1" customFormat="1" ht="15">
      <c r="B14" s="15"/>
      <c r="C14" s="16"/>
      <c r="D14" s="16"/>
      <c r="E14" s="17"/>
    </row>
    <row r="15" spans="2:5" s="1" customFormat="1" ht="15.75">
      <c r="B15" s="18"/>
      <c r="C15" s="19" t="s">
        <v>188</v>
      </c>
      <c r="D15" s="32">
        <f>D7/D9</f>
        <v>5.0393700787401581E-2</v>
      </c>
      <c r="E15" s="21"/>
    </row>
    <row r="16" spans="2:5" s="1" customFormat="1" ht="15.75">
      <c r="B16" s="18"/>
      <c r="C16" s="19"/>
      <c r="D16" s="31"/>
      <c r="E16" s="21"/>
    </row>
    <row r="17" spans="2:5" s="1" customFormat="1" ht="15.75">
      <c r="B17" s="18"/>
      <c r="C17" s="29" t="s">
        <v>189</v>
      </c>
      <c r="D17" s="33">
        <f>D8</f>
        <v>0.06</v>
      </c>
      <c r="E17" s="21"/>
    </row>
    <row r="18" spans="2:5" s="1" customFormat="1" ht="15" customHeight="1" thickBot="1">
      <c r="B18" s="24"/>
      <c r="C18" s="25"/>
      <c r="D18" s="25"/>
      <c r="E18" s="26"/>
    </row>
    <row r="19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1211112"/>
  <dimension ref="B1:E19"/>
  <sheetViews>
    <sheetView workbookViewId="0"/>
  </sheetViews>
  <sheetFormatPr defaultRowHeight="12.75"/>
  <cols>
    <col min="2" max="2" width="3.140625" customWidth="1"/>
    <col min="3" max="3" width="22.85546875" customWidth="1"/>
    <col min="4" max="4" width="19.5703125" customWidth="1"/>
    <col min="5" max="5" width="3.140625" customWidth="1"/>
    <col min="6" max="6" width="10.140625" customWidth="1"/>
    <col min="7" max="7" width="13.42578125" customWidth="1"/>
    <col min="8" max="8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8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4</v>
      </c>
      <c r="D7" s="71">
        <v>2.65</v>
      </c>
      <c r="E7" s="11"/>
    </row>
    <row r="8" spans="2:5" s="1" customFormat="1" ht="15">
      <c r="B8" s="9"/>
      <c r="C8" s="10" t="s">
        <v>5</v>
      </c>
      <c r="D8" s="81">
        <v>4.7500000000000001E-2</v>
      </c>
      <c r="E8" s="11"/>
    </row>
    <row r="9" spans="2:5" s="1" customFormat="1" ht="15">
      <c r="B9" s="9"/>
      <c r="C9" s="10" t="s">
        <v>6</v>
      </c>
      <c r="D9" s="73">
        <v>0.11</v>
      </c>
      <c r="E9" s="11"/>
    </row>
    <row r="10" spans="2:5" s="1" customFormat="1" ht="15" customHeight="1" thickBot="1">
      <c r="B10" s="12"/>
      <c r="C10" s="13"/>
      <c r="D10" s="13"/>
      <c r="E10" s="14"/>
    </row>
    <row r="11" spans="2:5" s="1" customFormat="1" ht="15"/>
    <row r="12" spans="2:5" s="1" customFormat="1" ht="15">
      <c r="C12" s="2" t="s">
        <v>2</v>
      </c>
    </row>
    <row r="13" spans="2:5" s="1" customFormat="1" ht="15.75" thickBot="1">
      <c r="C13" s="3"/>
    </row>
    <row r="14" spans="2:5" s="1" customFormat="1" ht="15">
      <c r="B14" s="15"/>
      <c r="C14" s="16"/>
      <c r="D14" s="16"/>
      <c r="E14" s="17"/>
    </row>
    <row r="15" spans="2:5" s="1" customFormat="1" ht="15.75">
      <c r="B15" s="18"/>
      <c r="C15" s="19" t="s">
        <v>190</v>
      </c>
      <c r="D15" s="28">
        <f>(D7)/(D9-D8)</f>
        <v>42.4</v>
      </c>
      <c r="E15" s="21"/>
    </row>
    <row r="16" spans="2:5" s="1" customFormat="1" ht="15" customHeight="1" thickBot="1">
      <c r="B16" s="24"/>
      <c r="C16" s="25"/>
      <c r="D16" s="25"/>
      <c r="E16" s="26"/>
    </row>
    <row r="17" s="1" customFormat="1" ht="15"/>
    <row r="18" s="1" customFormat="1" ht="15"/>
    <row r="19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12111121"/>
  <dimension ref="B1:E16"/>
  <sheetViews>
    <sheetView workbookViewId="0"/>
  </sheetViews>
  <sheetFormatPr defaultRowHeight="12.75"/>
  <cols>
    <col min="2" max="2" width="3.140625" customWidth="1"/>
    <col min="3" max="3" width="22.85546875" customWidth="1"/>
    <col min="4" max="4" width="19.5703125" customWidth="1"/>
    <col min="5" max="5" width="3.140625" customWidth="1"/>
    <col min="6" max="6" width="10.140625" customWidth="1"/>
    <col min="7" max="7" width="13.42578125" customWidth="1"/>
    <col min="8" max="8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9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5</v>
      </c>
      <c r="D7" s="77">
        <v>6.4000000000000001E-2</v>
      </c>
      <c r="E7" s="11"/>
    </row>
    <row r="8" spans="2:5" s="1" customFormat="1" ht="15">
      <c r="B8" s="9"/>
      <c r="C8" s="10" t="s">
        <v>42</v>
      </c>
      <c r="D8" s="77">
        <v>4.2999999999999997E-2</v>
      </c>
      <c r="E8" s="11"/>
    </row>
    <row r="9" spans="2:5" s="1" customFormat="1" ht="15" customHeight="1" thickBot="1">
      <c r="B9" s="12"/>
      <c r="C9" s="13"/>
      <c r="D9" s="13"/>
      <c r="E9" s="14"/>
    </row>
    <row r="10" spans="2:5" s="1" customFormat="1" ht="15"/>
    <row r="11" spans="2:5" s="1" customFormat="1" ht="15">
      <c r="C11" s="2" t="s">
        <v>2</v>
      </c>
    </row>
    <row r="12" spans="2:5" s="1" customFormat="1" ht="15.75" thickBot="1">
      <c r="C12" s="3"/>
    </row>
    <row r="13" spans="2:5" s="1" customFormat="1" ht="15">
      <c r="B13" s="15"/>
      <c r="C13" s="16"/>
      <c r="D13" s="16"/>
      <c r="E13" s="17"/>
    </row>
    <row r="14" spans="2:5" s="1" customFormat="1" ht="15.75">
      <c r="B14" s="18"/>
      <c r="C14" s="19" t="s">
        <v>191</v>
      </c>
      <c r="D14" s="83">
        <f>D7+D8</f>
        <v>0.107</v>
      </c>
      <c r="E14" s="21"/>
    </row>
    <row r="15" spans="2:5" s="1" customFormat="1" ht="15" customHeight="1" thickBot="1">
      <c r="B15" s="24"/>
      <c r="C15" s="25"/>
      <c r="D15" s="25"/>
      <c r="E15" s="26"/>
    </row>
    <row r="16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121111211"/>
  <dimension ref="B1:E19"/>
  <sheetViews>
    <sheetView workbookViewId="0"/>
  </sheetViews>
  <sheetFormatPr defaultRowHeight="12.75"/>
  <cols>
    <col min="2" max="2" width="3.140625" customWidth="1"/>
    <col min="3" max="3" width="22.85546875" customWidth="1"/>
    <col min="4" max="4" width="19.5703125" customWidth="1"/>
    <col min="5" max="5" width="3.140625" customWidth="1"/>
    <col min="6" max="6" width="14" customWidth="1"/>
    <col min="7" max="7" width="13.42578125" customWidth="1"/>
    <col min="8" max="8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10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11</v>
      </c>
      <c r="D7" s="78">
        <v>72</v>
      </c>
      <c r="E7" s="11"/>
    </row>
    <row r="8" spans="2:5" s="1" customFormat="1" ht="15">
      <c r="B8" s="9"/>
      <c r="C8" s="10" t="s">
        <v>6</v>
      </c>
      <c r="D8" s="77">
        <v>0.115</v>
      </c>
      <c r="E8" s="11"/>
    </row>
    <row r="9" spans="2:5" s="1" customFormat="1" ht="15" customHeight="1" thickBot="1">
      <c r="B9" s="12"/>
      <c r="C9" s="13"/>
      <c r="D9" s="13"/>
      <c r="E9" s="14"/>
    </row>
    <row r="10" spans="2:5" s="1" customFormat="1" ht="15"/>
    <row r="11" spans="2:5" s="1" customFormat="1" ht="15">
      <c r="C11" s="2" t="s">
        <v>2</v>
      </c>
    </row>
    <row r="12" spans="2:5" s="1" customFormat="1" ht="15.75" thickBot="1">
      <c r="C12" s="3"/>
    </row>
    <row r="13" spans="2:5" s="1" customFormat="1" ht="15">
      <c r="B13" s="15"/>
      <c r="C13" s="16"/>
      <c r="D13" s="16"/>
      <c r="E13" s="17"/>
    </row>
    <row r="14" spans="2:5" s="1" customFormat="1" ht="15">
      <c r="B14" s="18"/>
      <c r="C14" s="20" t="s">
        <v>105</v>
      </c>
      <c r="D14" s="131">
        <f>(D8/2)*D7</f>
        <v>4.1400000000000006</v>
      </c>
      <c r="E14" s="21"/>
    </row>
    <row r="15" spans="2:5" s="1" customFormat="1" ht="15">
      <c r="B15" s="18"/>
      <c r="C15" s="20"/>
      <c r="D15" s="20"/>
      <c r="E15" s="21"/>
    </row>
    <row r="16" spans="2:5" s="1" customFormat="1" ht="15.75">
      <c r="B16" s="18"/>
      <c r="C16" s="19" t="s">
        <v>192</v>
      </c>
      <c r="D16" s="23">
        <f>D14/(1+D8/2)</f>
        <v>3.9148936170212769</v>
      </c>
      <c r="E16" s="21"/>
    </row>
    <row r="17" spans="2:5" s="1" customFormat="1" ht="15" customHeight="1" thickBot="1">
      <c r="B17" s="24"/>
      <c r="C17" s="25"/>
      <c r="D17" s="25"/>
      <c r="E17" s="26"/>
    </row>
    <row r="18" spans="2:5" s="1" customFormat="1" ht="15"/>
    <row r="19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211112111"/>
  <dimension ref="B1:E18"/>
  <sheetViews>
    <sheetView workbookViewId="0"/>
  </sheetViews>
  <sheetFormatPr defaultRowHeight="12.75"/>
  <cols>
    <col min="2" max="2" width="3.140625" customWidth="1"/>
    <col min="3" max="3" width="28.42578125" customWidth="1"/>
    <col min="4" max="4" width="16.140625" customWidth="1"/>
    <col min="5" max="5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12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14</v>
      </c>
      <c r="D7" s="78">
        <v>9</v>
      </c>
      <c r="E7" s="11"/>
    </row>
    <row r="8" spans="2:5" s="1" customFormat="1" ht="15">
      <c r="B8" s="9"/>
      <c r="C8" s="10" t="s">
        <v>13</v>
      </c>
      <c r="D8" s="79">
        <v>12</v>
      </c>
      <c r="E8" s="11"/>
    </row>
    <row r="9" spans="2:5" s="1" customFormat="1" ht="15">
      <c r="B9" s="9"/>
      <c r="C9" s="10" t="s">
        <v>6</v>
      </c>
      <c r="D9" s="77">
        <v>0.1</v>
      </c>
      <c r="E9" s="11"/>
    </row>
    <row r="10" spans="2:5" s="1" customFormat="1" ht="15" customHeight="1" thickBot="1">
      <c r="B10" s="12"/>
      <c r="C10" s="13"/>
      <c r="D10" s="13"/>
      <c r="E10" s="14"/>
    </row>
    <row r="11" spans="2:5" s="1" customFormat="1" ht="15"/>
    <row r="12" spans="2:5" s="1" customFormat="1" ht="15">
      <c r="C12" s="2" t="s">
        <v>2</v>
      </c>
    </row>
    <row r="13" spans="2:5" s="1" customFormat="1" ht="15.75" thickBot="1">
      <c r="C13" s="3"/>
    </row>
    <row r="14" spans="2:5" s="1" customFormat="1" ht="15">
      <c r="B14" s="15"/>
      <c r="C14" s="16"/>
      <c r="D14" s="16"/>
      <c r="E14" s="17"/>
    </row>
    <row r="15" spans="2:5" s="1" customFormat="1" ht="15.75">
      <c r="B15" s="18"/>
      <c r="C15" s="19" t="s">
        <v>193</v>
      </c>
      <c r="D15" s="28">
        <f>PV(D9,D8,-D7)</f>
        <v>61.32322640606791</v>
      </c>
      <c r="E15" s="34"/>
    </row>
    <row r="16" spans="2:5" s="1" customFormat="1" ht="15" customHeight="1" thickBot="1">
      <c r="B16" s="24"/>
      <c r="C16" s="25"/>
      <c r="D16" s="25"/>
      <c r="E16" s="26"/>
    </row>
    <row r="17" s="1" customFormat="1" ht="15"/>
    <row r="18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12111121111"/>
  <dimension ref="B1:E16"/>
  <sheetViews>
    <sheetView workbookViewId="0"/>
  </sheetViews>
  <sheetFormatPr defaultRowHeight="12.75"/>
  <cols>
    <col min="2" max="2" width="3.140625" customWidth="1"/>
    <col min="3" max="3" width="28.42578125" customWidth="1"/>
    <col min="4" max="4" width="16.140625" customWidth="1"/>
    <col min="5" max="5" width="3.140625" customWidth="1"/>
  </cols>
  <sheetData>
    <row r="1" spans="2:5" s="1" customFormat="1" ht="18">
      <c r="C1" s="86" t="s">
        <v>228</v>
      </c>
    </row>
    <row r="2" spans="2:5" s="1" customFormat="1" ht="15">
      <c r="C2" s="1" t="s">
        <v>15</v>
      </c>
    </row>
    <row r="3" spans="2:5" s="1" customFormat="1" ht="15"/>
    <row r="4" spans="2:5" s="1" customFormat="1" ht="15">
      <c r="C4" s="2" t="s">
        <v>1</v>
      </c>
    </row>
    <row r="5" spans="2:5" s="1" customFormat="1" ht="15.75" thickBot="1">
      <c r="C5" s="3"/>
      <c r="D5" s="4"/>
    </row>
    <row r="6" spans="2:5" s="1" customFormat="1" ht="15">
      <c r="B6" s="5"/>
      <c r="C6" s="6"/>
      <c r="D6" s="7"/>
      <c r="E6" s="8"/>
    </row>
    <row r="7" spans="2:5" s="1" customFormat="1" ht="15">
      <c r="B7" s="9"/>
      <c r="C7" s="10" t="s">
        <v>14</v>
      </c>
      <c r="D7" s="78">
        <v>5.9</v>
      </c>
      <c r="E7" s="11"/>
    </row>
    <row r="8" spans="2:5" s="1" customFormat="1" ht="15">
      <c r="B8" s="9"/>
      <c r="C8" s="10" t="s">
        <v>16</v>
      </c>
      <c r="D8" s="80">
        <v>87</v>
      </c>
      <c r="E8" s="11"/>
    </row>
    <row r="9" spans="2:5" s="1" customFormat="1" ht="15" customHeight="1" thickBot="1">
      <c r="B9" s="12"/>
      <c r="C9" s="13"/>
      <c r="D9" s="13"/>
      <c r="E9" s="14"/>
    </row>
    <row r="10" spans="2:5" s="1" customFormat="1" ht="15"/>
    <row r="11" spans="2:5" s="1" customFormat="1" ht="15">
      <c r="C11" s="2" t="s">
        <v>2</v>
      </c>
    </row>
    <row r="12" spans="2:5" s="1" customFormat="1" ht="15.75" thickBot="1">
      <c r="C12" s="3"/>
    </row>
    <row r="13" spans="2:5" s="1" customFormat="1" ht="15">
      <c r="B13" s="15"/>
      <c r="C13" s="16"/>
      <c r="D13" s="16"/>
      <c r="E13" s="17"/>
    </row>
    <row r="14" spans="2:5" s="1" customFormat="1" ht="15.75">
      <c r="B14" s="18"/>
      <c r="C14" s="19" t="s">
        <v>187</v>
      </c>
      <c r="D14" s="30">
        <f>D7/D8</f>
        <v>6.7816091954022995E-2</v>
      </c>
      <c r="E14" s="34"/>
    </row>
    <row r="15" spans="2:5" s="1" customFormat="1" ht="15" customHeight="1" thickBot="1">
      <c r="B15" s="24"/>
      <c r="C15" s="25"/>
      <c r="D15" s="25"/>
      <c r="E15" s="26"/>
    </row>
    <row r="16" spans="2:5" s="1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39</vt:i4>
      </vt:variant>
    </vt:vector>
  </HeadingPairs>
  <TitlesOfParts>
    <vt:vector size="39" baseType="lpstr">
      <vt:lpstr>Chapter 9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  <vt:lpstr>#23</vt:lpstr>
      <vt:lpstr>#24</vt:lpstr>
      <vt:lpstr>#25</vt:lpstr>
      <vt:lpstr>#26</vt:lpstr>
      <vt:lpstr>#27</vt:lpstr>
      <vt:lpstr>#28</vt:lpstr>
      <vt:lpstr>#29</vt:lpstr>
      <vt:lpstr>#30</vt:lpstr>
      <vt:lpstr>#31</vt:lpstr>
      <vt:lpstr>#32</vt:lpstr>
      <vt:lpstr>#33</vt:lpstr>
      <vt:lpstr>#34</vt:lpstr>
      <vt:lpstr>#35</vt:lpstr>
      <vt:lpstr>#36,37</vt:lpstr>
      <vt:lpstr>#37 Answer Report</vt:lpstr>
      <vt:lpstr>#38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2011-10-19T16:12:54Z</cp:lastPrinted>
  <dcterms:created xsi:type="dcterms:W3CDTF">2002-04-24T16:34:19Z</dcterms:created>
  <dcterms:modified xsi:type="dcterms:W3CDTF">2012-11-06T10:30:22Z</dcterms:modified>
</cp:coreProperties>
</file>