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24.xml" ContentType="application/vnd.openxmlformats-officedocument.spreadsheetml.worksheet+xml"/>
  <Override PartName="/xl/worksheets/sheet35.xml" ContentType="application/vnd.openxmlformats-officedocument.spreadsheetml.worksheet+xml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docProps/core.xml" ContentType="application/vnd.openxmlformats-package.core-properties+xml"/>
  <Override PartName="/xl/worksheets/sheet16.xml" ContentType="application/vnd.openxmlformats-officedocument.spreadsheetml.worksheet+xml"/>
  <Override PartName="/xl/worksheets/sheet25.xml" ContentType="application/vnd.openxmlformats-officedocument.spreadsheetml.worksheet+xml"/>
  <Override PartName="/xl/worksheets/sheet34.xml" ContentType="application/vnd.openxmlformats-officedocument.spreadsheetml.worksheet+xml"/>
  <Default Extension="bin" ContentType="application/vnd.openxmlformats-officedocument.spreadsheetml.printerSettings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0" yWindow="15" windowWidth="15195" windowHeight="8955"/>
  </bookViews>
  <sheets>
    <sheet name="Case Solutions" sheetId="12" r:id="rId1"/>
    <sheet name="Chapter 2" sheetId="29" r:id="rId2"/>
    <sheet name="Chapter 3" sheetId="30" r:id="rId3"/>
    <sheet name="Chapter 4" sheetId="44" r:id="rId4"/>
    <sheet name="Chapter 5" sheetId="28" r:id="rId5"/>
    <sheet name="Chapter 6 Case #1" sheetId="32" r:id="rId6"/>
    <sheet name="Chapter 6 Case #2" sheetId="33" r:id="rId7"/>
    <sheet name="Chapter 7" sheetId="55" r:id="rId8"/>
    <sheet name="Chapter 8" sheetId="45" r:id="rId9"/>
    <sheet name="Chapter 9" sheetId="46" r:id="rId10"/>
    <sheet name="Chapter 10" sheetId="35" r:id="rId11"/>
    <sheet name="Chapter 11" sheetId="36" r:id="rId12"/>
    <sheet name="Chapter 11 Sharpe" sheetId="47" r:id="rId13"/>
    <sheet name="Chapter 12" sheetId="1" r:id="rId14"/>
    <sheet name="FMAGX" sheetId="65" r:id="rId15"/>
    <sheet name="FSLPX" sheetId="66" r:id="rId16"/>
    <sheet name="BSCFX" sheetId="67" r:id="rId17"/>
    <sheet name="Chapter 13" sheetId="48" r:id="rId18"/>
    <sheet name="Chapter 16" sheetId="38" r:id="rId19"/>
    <sheet name="Chapter 17" sheetId="37" r:id="rId20"/>
    <sheet name="Chapter 18" sheetId="8" r:id="rId21"/>
    <sheet name="Chapter 20" sheetId="9" r:id="rId22"/>
    <sheet name="Chapter 21" sheetId="10" r:id="rId23"/>
    <sheet name="Chapter 22" sheetId="20" r:id="rId24"/>
    <sheet name="$65 strike" sheetId="60" r:id="rId25"/>
    <sheet name="$70 strike" sheetId="61" r:id="rId26"/>
    <sheet name="$75 strike" sheetId="62" r:id="rId27"/>
    <sheet name="$80 strike" sheetId="64" r:id="rId28"/>
    <sheet name="Chapter 23" sheetId="40" r:id="rId29"/>
    <sheet name="Chapter 24" sheetId="11" r:id="rId30"/>
    <sheet name="Chapter 25" sheetId="19" r:id="rId31"/>
    <sheet name="Chapter 26" sheetId="41" r:id="rId32"/>
    <sheet name="Chapter 26 Answer Report" sheetId="68" r:id="rId33"/>
    <sheet name="Chapter 27" sheetId="16" r:id="rId34"/>
    <sheet name="Chapter 28" sheetId="18" r:id="rId35"/>
    <sheet name="Chapter 29" sheetId="17" r:id="rId36"/>
    <sheet name="Chapter 31" sheetId="53" r:id="rId37"/>
  </sheets>
  <definedNames>
    <definedName name="solver_adj" localSheetId="10" hidden="1">'Chapter 10'!#REF!</definedName>
    <definedName name="solver_adj" localSheetId="11" hidden="1">'Chapter 11'!$D$33</definedName>
    <definedName name="solver_adj" localSheetId="23" hidden="1">'Chapter 22'!$D$11</definedName>
    <definedName name="solver_adj" localSheetId="28" hidden="1">'Chapter 23'!$D$11</definedName>
    <definedName name="solver_adj" localSheetId="31" hidden="1">'Chapter 26'!$D$24</definedName>
    <definedName name="solver_adj" localSheetId="33" hidden="1">'Chapter 27'!$D$13</definedName>
    <definedName name="solver_adj" localSheetId="3" hidden="1">'Chapter 4'!$D$15</definedName>
    <definedName name="solver_cvg" localSheetId="10" hidden="1">0.0001</definedName>
    <definedName name="solver_cvg" localSheetId="11" hidden="1">0.0001</definedName>
    <definedName name="solver_cvg" localSheetId="23" hidden="1">0.0001</definedName>
    <definedName name="solver_cvg" localSheetId="28" hidden="1">0.0001</definedName>
    <definedName name="solver_cvg" localSheetId="31" hidden="1">0.0001</definedName>
    <definedName name="solver_cvg" localSheetId="33" hidden="1">0.0001</definedName>
    <definedName name="solver_cvg" localSheetId="3" hidden="1">0.0001</definedName>
    <definedName name="solver_drv" localSheetId="10" hidden="1">1</definedName>
    <definedName name="solver_drv" localSheetId="11" hidden="1">1</definedName>
    <definedName name="solver_drv" localSheetId="23" hidden="1">1</definedName>
    <definedName name="solver_drv" localSheetId="28" hidden="1">1</definedName>
    <definedName name="solver_drv" localSheetId="31" hidden="1">1</definedName>
    <definedName name="solver_drv" localSheetId="33" hidden="1">1</definedName>
    <definedName name="solver_drv" localSheetId="3" hidden="1">1</definedName>
    <definedName name="solver_eng" localSheetId="31" hidden="1">1</definedName>
    <definedName name="solver_est" localSheetId="10" hidden="1">1</definedName>
    <definedName name="solver_est" localSheetId="11" hidden="1">1</definedName>
    <definedName name="solver_est" localSheetId="23" hidden="1">1</definedName>
    <definedName name="solver_est" localSheetId="28" hidden="1">1</definedName>
    <definedName name="solver_est" localSheetId="31" hidden="1">1</definedName>
    <definedName name="solver_est" localSheetId="33" hidden="1">1</definedName>
    <definedName name="solver_est" localSheetId="3" hidden="1">1</definedName>
    <definedName name="solver_itr" localSheetId="10" hidden="1">100</definedName>
    <definedName name="solver_itr" localSheetId="11" hidden="1">100</definedName>
    <definedName name="solver_itr" localSheetId="23" hidden="1">100</definedName>
    <definedName name="solver_itr" localSheetId="28" hidden="1">100</definedName>
    <definedName name="solver_itr" localSheetId="31" hidden="1">100</definedName>
    <definedName name="solver_itr" localSheetId="33" hidden="1">100</definedName>
    <definedName name="solver_itr" localSheetId="3" hidden="1">100</definedName>
    <definedName name="solver_lhs1" localSheetId="11" hidden="1">'Chapter 11'!$D$34</definedName>
    <definedName name="solver_lin" localSheetId="10" hidden="1">2</definedName>
    <definedName name="solver_lin" localSheetId="11" hidden="1">2</definedName>
    <definedName name="solver_lin" localSheetId="23" hidden="1">2</definedName>
    <definedName name="solver_lin" localSheetId="28" hidden="1">2</definedName>
    <definedName name="solver_lin" localSheetId="31" hidden="1">2</definedName>
    <definedName name="solver_lin" localSheetId="33" hidden="1">2</definedName>
    <definedName name="solver_lin" localSheetId="3" hidden="1">2</definedName>
    <definedName name="solver_mip" localSheetId="31" hidden="1">2147483647</definedName>
    <definedName name="solver_mni" localSheetId="31" hidden="1">30</definedName>
    <definedName name="solver_mrt" localSheetId="31" hidden="1">0.075</definedName>
    <definedName name="solver_msl" localSheetId="31" hidden="1">2</definedName>
    <definedName name="solver_neg" localSheetId="10" hidden="1">2</definedName>
    <definedName name="solver_neg" localSheetId="11" hidden="1">2</definedName>
    <definedName name="solver_neg" localSheetId="23" hidden="1">2</definedName>
    <definedName name="solver_neg" localSheetId="28" hidden="1">2</definedName>
    <definedName name="solver_neg" localSheetId="31" hidden="1">2</definedName>
    <definedName name="solver_neg" localSheetId="33" hidden="1">2</definedName>
    <definedName name="solver_neg" localSheetId="3" hidden="1">2</definedName>
    <definedName name="solver_nod" localSheetId="31" hidden="1">2147483647</definedName>
    <definedName name="solver_num" localSheetId="10" hidden="1">0</definedName>
    <definedName name="solver_num" localSheetId="11" hidden="1">1</definedName>
    <definedName name="solver_num" localSheetId="23" hidden="1">0</definedName>
    <definedName name="solver_num" localSheetId="28" hidden="1">0</definedName>
    <definedName name="solver_num" localSheetId="31" hidden="1">0</definedName>
    <definedName name="solver_num" localSheetId="33" hidden="1">0</definedName>
    <definedName name="solver_num" localSheetId="3" hidden="1">0</definedName>
    <definedName name="solver_nwt" localSheetId="10" hidden="1">1</definedName>
    <definedName name="solver_nwt" localSheetId="11" hidden="1">1</definedName>
    <definedName name="solver_nwt" localSheetId="23" hidden="1">1</definedName>
    <definedName name="solver_nwt" localSheetId="28" hidden="1">1</definedName>
    <definedName name="solver_nwt" localSheetId="31" hidden="1">1</definedName>
    <definedName name="solver_nwt" localSheetId="33" hidden="1">1</definedName>
    <definedName name="solver_nwt" localSheetId="3" hidden="1">1</definedName>
    <definedName name="solver_opt" localSheetId="10" hidden="1">'Chapter 10'!#REF!</definedName>
    <definedName name="solver_opt" localSheetId="11" hidden="1">'Chapter 11'!$D$35</definedName>
    <definedName name="solver_opt" localSheetId="23" hidden="1">'Chapter 22'!$D$22</definedName>
    <definedName name="solver_opt" localSheetId="28" hidden="1">'Chapter 23'!$D$22</definedName>
    <definedName name="solver_opt" localSheetId="31" hidden="1">'Chapter 26'!$F$68</definedName>
    <definedName name="solver_opt" localSheetId="33" hidden="1">'Chapter 27'!$D$21</definedName>
    <definedName name="solver_opt" localSheetId="3" hidden="1">'Chapter 4'!$D$56</definedName>
    <definedName name="solver_pre" localSheetId="10" hidden="1">0.000001</definedName>
    <definedName name="solver_pre" localSheetId="11" hidden="1">0.000001</definedName>
    <definedName name="solver_pre" localSheetId="23" hidden="1">0.000001</definedName>
    <definedName name="solver_pre" localSheetId="28" hidden="1">0.000001</definedName>
    <definedName name="solver_pre" localSheetId="31" hidden="1">0.000001</definedName>
    <definedName name="solver_pre" localSheetId="33" hidden="1">0.000001</definedName>
    <definedName name="solver_pre" localSheetId="3" hidden="1">0.000001</definedName>
    <definedName name="solver_rbv" localSheetId="31" hidden="1">1</definedName>
    <definedName name="solver_rel1" localSheetId="11" hidden="1">2</definedName>
    <definedName name="solver_rhs1" localSheetId="11" hidden="1">'Chapter 11'!$E$9</definedName>
    <definedName name="solver_rlx" localSheetId="31" hidden="1">1</definedName>
    <definedName name="solver_rsd" localSheetId="31" hidden="1">0</definedName>
    <definedName name="solver_scl" localSheetId="10" hidden="1">2</definedName>
    <definedName name="solver_scl" localSheetId="11" hidden="1">2</definedName>
    <definedName name="solver_scl" localSheetId="23" hidden="1">2</definedName>
    <definedName name="solver_scl" localSheetId="28" hidden="1">2</definedName>
    <definedName name="solver_scl" localSheetId="31" hidden="1">2</definedName>
    <definedName name="solver_scl" localSheetId="33" hidden="1">2</definedName>
    <definedName name="solver_scl" localSheetId="3" hidden="1">2</definedName>
    <definedName name="solver_sho" localSheetId="10" hidden="1">2</definedName>
    <definedName name="solver_sho" localSheetId="11" hidden="1">2</definedName>
    <definedName name="solver_sho" localSheetId="23" hidden="1">2</definedName>
    <definedName name="solver_sho" localSheetId="28" hidden="1">2</definedName>
    <definedName name="solver_sho" localSheetId="31" hidden="1">2</definedName>
    <definedName name="solver_sho" localSheetId="33" hidden="1">2</definedName>
    <definedName name="solver_sho" localSheetId="3" hidden="1">2</definedName>
    <definedName name="solver_ssz" localSheetId="31" hidden="1">100</definedName>
    <definedName name="solver_tim" localSheetId="10" hidden="1">100</definedName>
    <definedName name="solver_tim" localSheetId="11" hidden="1">100</definedName>
    <definedName name="solver_tim" localSheetId="23" hidden="1">100</definedName>
    <definedName name="solver_tim" localSheetId="28" hidden="1">100</definedName>
    <definedName name="solver_tim" localSheetId="31" hidden="1">100</definedName>
    <definedName name="solver_tim" localSheetId="33" hidden="1">100</definedName>
    <definedName name="solver_tim" localSheetId="3" hidden="1">100</definedName>
    <definedName name="solver_tol" localSheetId="10" hidden="1">0.05</definedName>
    <definedName name="solver_tol" localSheetId="11" hidden="1">0.05</definedName>
    <definedName name="solver_tol" localSheetId="23" hidden="1">0.05</definedName>
    <definedName name="solver_tol" localSheetId="28" hidden="1">0.05</definedName>
    <definedName name="solver_tol" localSheetId="31" hidden="1">0.05</definedName>
    <definedName name="solver_tol" localSheetId="33" hidden="1">0.05</definedName>
    <definedName name="solver_tol" localSheetId="3" hidden="1">0.05</definedName>
    <definedName name="solver_typ" localSheetId="10" hidden="1">3</definedName>
    <definedName name="solver_typ" localSheetId="11" hidden="1">1</definedName>
    <definedName name="solver_typ" localSheetId="23" hidden="1">3</definedName>
    <definedName name="solver_typ" localSheetId="28" hidden="1">3</definedName>
    <definedName name="solver_typ" localSheetId="31" hidden="1">3</definedName>
    <definedName name="solver_typ" localSheetId="33" hidden="1">3</definedName>
    <definedName name="solver_typ" localSheetId="3" hidden="1">3</definedName>
    <definedName name="solver_val" localSheetId="10" hidden="1">728896.23</definedName>
    <definedName name="solver_val" localSheetId="23" hidden="1">7.36</definedName>
    <definedName name="solver_val" localSheetId="28" hidden="1">16.05</definedName>
    <definedName name="solver_val" localSheetId="31" hidden="1">0</definedName>
    <definedName name="solver_val" localSheetId="33" hidden="1">13191889.06</definedName>
    <definedName name="solver_val" localSheetId="3" hidden="1">728896.23</definedName>
    <definedName name="solver_ver" localSheetId="31" hidden="1">3</definedName>
  </definedNames>
  <calcPr calcId="114210"/>
</workbook>
</file>

<file path=xl/calcChain.xml><?xml version="1.0" encoding="utf-8"?>
<calcChain xmlns="http://schemas.openxmlformats.org/spreadsheetml/2006/main">
  <c r="D72" i="46"/>
  <c r="D67"/>
  <c r="D53"/>
  <c r="D48"/>
  <c r="D17"/>
  <c r="D32" i="53"/>
  <c r="C78" i="1"/>
  <c r="C79"/>
  <c r="C80"/>
  <c r="C81"/>
  <c r="C82"/>
  <c r="C83"/>
  <c r="C84"/>
  <c r="C85"/>
  <c r="C86"/>
  <c r="C87"/>
  <c r="C88"/>
  <c r="C89"/>
  <c r="C90"/>
  <c r="C91"/>
  <c r="C92"/>
  <c r="C93"/>
  <c r="C94"/>
  <c r="C95"/>
  <c r="C96"/>
  <c r="C97"/>
  <c r="C98"/>
  <c r="C99"/>
  <c r="C100"/>
  <c r="C101"/>
  <c r="C102"/>
  <c r="C103"/>
  <c r="C104"/>
  <c r="C105"/>
  <c r="C106"/>
  <c r="C107"/>
  <c r="C108"/>
  <c r="C109"/>
  <c r="C110"/>
  <c r="C111"/>
  <c r="C112"/>
  <c r="C113"/>
  <c r="C114"/>
  <c r="C115"/>
  <c r="C116"/>
  <c r="C117"/>
  <c r="C118"/>
  <c r="C119"/>
  <c r="C120"/>
  <c r="C121"/>
  <c r="C122"/>
  <c r="C123"/>
  <c r="C124"/>
  <c r="C125"/>
  <c r="C126"/>
  <c r="C127"/>
  <c r="C128"/>
  <c r="C129"/>
  <c r="C130"/>
  <c r="C131"/>
  <c r="C132"/>
  <c r="C133"/>
  <c r="C134"/>
  <c r="C135"/>
  <c r="C136"/>
  <c r="C77"/>
  <c r="D84" i="17"/>
  <c r="D91"/>
  <c r="D25" i="11"/>
  <c r="D44" i="33"/>
  <c r="I50" i="32"/>
  <c r="I51"/>
  <c r="I52"/>
  <c r="F136" i="30"/>
  <c r="D34" i="29"/>
  <c r="D42"/>
  <c r="D19"/>
  <c r="I53" i="32"/>
  <c r="I59"/>
  <c r="E76"/>
  <c r="G78" i="1"/>
  <c r="H78"/>
  <c r="I78"/>
  <c r="G79"/>
  <c r="H79"/>
  <c r="I79"/>
  <c r="G80"/>
  <c r="H80"/>
  <c r="I80"/>
  <c r="G81"/>
  <c r="H81"/>
  <c r="I81"/>
  <c r="G82"/>
  <c r="H82"/>
  <c r="I82"/>
  <c r="G83"/>
  <c r="H83"/>
  <c r="I83"/>
  <c r="G84"/>
  <c r="H84"/>
  <c r="I84"/>
  <c r="G85"/>
  <c r="H85"/>
  <c r="I85"/>
  <c r="G86"/>
  <c r="H86"/>
  <c r="I86"/>
  <c r="G87"/>
  <c r="H87"/>
  <c r="I87"/>
  <c r="G88"/>
  <c r="H88"/>
  <c r="I88"/>
  <c r="G89"/>
  <c r="H89"/>
  <c r="I89"/>
  <c r="G90"/>
  <c r="H90"/>
  <c r="I90"/>
  <c r="G91"/>
  <c r="H91"/>
  <c r="I91"/>
  <c r="G92"/>
  <c r="H92"/>
  <c r="I92"/>
  <c r="G93"/>
  <c r="H93"/>
  <c r="I93"/>
  <c r="G94"/>
  <c r="H94"/>
  <c r="I94"/>
  <c r="G95"/>
  <c r="H95"/>
  <c r="I95"/>
  <c r="G96"/>
  <c r="H96"/>
  <c r="I96"/>
  <c r="G97"/>
  <c r="H97"/>
  <c r="I97"/>
  <c r="G98"/>
  <c r="H98"/>
  <c r="I98"/>
  <c r="G99"/>
  <c r="H99"/>
  <c r="I99"/>
  <c r="G100"/>
  <c r="H100"/>
  <c r="I100"/>
  <c r="G101"/>
  <c r="H101"/>
  <c r="I101"/>
  <c r="G102"/>
  <c r="H102"/>
  <c r="I102"/>
  <c r="G103"/>
  <c r="H103"/>
  <c r="I103"/>
  <c r="G104"/>
  <c r="H104"/>
  <c r="I104"/>
  <c r="G105"/>
  <c r="H105"/>
  <c r="I105"/>
  <c r="G106"/>
  <c r="H106"/>
  <c r="I106"/>
  <c r="G107"/>
  <c r="H107"/>
  <c r="I107"/>
  <c r="G108"/>
  <c r="H108"/>
  <c r="I108"/>
  <c r="G109"/>
  <c r="H109"/>
  <c r="I109"/>
  <c r="G110"/>
  <c r="H110"/>
  <c r="I110"/>
  <c r="G111"/>
  <c r="H111"/>
  <c r="I111"/>
  <c r="G112"/>
  <c r="H112"/>
  <c r="I112"/>
  <c r="G113"/>
  <c r="H113"/>
  <c r="I113"/>
  <c r="G114"/>
  <c r="H114"/>
  <c r="I114"/>
  <c r="G115"/>
  <c r="H115"/>
  <c r="I115"/>
  <c r="G116"/>
  <c r="H116"/>
  <c r="I116"/>
  <c r="G117"/>
  <c r="H117"/>
  <c r="I117"/>
  <c r="G118"/>
  <c r="H118"/>
  <c r="I118"/>
  <c r="G119"/>
  <c r="H119"/>
  <c r="I119"/>
  <c r="G120"/>
  <c r="H120"/>
  <c r="I120"/>
  <c r="G121"/>
  <c r="H121"/>
  <c r="I121"/>
  <c r="G122"/>
  <c r="H122"/>
  <c r="I122"/>
  <c r="G123"/>
  <c r="H123"/>
  <c r="I123"/>
  <c r="G124"/>
  <c r="H124"/>
  <c r="I124"/>
  <c r="G125"/>
  <c r="H125"/>
  <c r="I125"/>
  <c r="G126"/>
  <c r="H126"/>
  <c r="I126"/>
  <c r="G127"/>
  <c r="H127"/>
  <c r="I127"/>
  <c r="G128"/>
  <c r="H128"/>
  <c r="I128"/>
  <c r="G129"/>
  <c r="H129"/>
  <c r="I129"/>
  <c r="G130"/>
  <c r="H130"/>
  <c r="I130"/>
  <c r="G131"/>
  <c r="H131"/>
  <c r="I131"/>
  <c r="G132"/>
  <c r="H132"/>
  <c r="I132"/>
  <c r="G133"/>
  <c r="H133"/>
  <c r="I133"/>
  <c r="G134"/>
  <c r="H134"/>
  <c r="I134"/>
  <c r="G135"/>
  <c r="H135"/>
  <c r="I135"/>
  <c r="G136"/>
  <c r="H136"/>
  <c r="I136"/>
  <c r="I77"/>
  <c r="H77"/>
  <c r="G77"/>
  <c r="G15" i="55"/>
  <c r="D48"/>
  <c r="G16"/>
  <c r="G17"/>
  <c r="G18"/>
  <c r="D42"/>
  <c r="D44"/>
  <c r="D46"/>
  <c r="D49"/>
  <c r="D50"/>
  <c r="D51"/>
  <c r="D52"/>
  <c r="D53"/>
  <c r="D54"/>
  <c r="D55"/>
  <c r="D62"/>
  <c r="E64"/>
  <c r="D68"/>
  <c r="D77"/>
  <c r="D93"/>
  <c r="E96"/>
  <c r="D79"/>
  <c r="D80"/>
  <c r="D81"/>
  <c r="D82"/>
  <c r="D83"/>
  <c r="D84"/>
  <c r="D85"/>
  <c r="D86"/>
  <c r="D105"/>
  <c r="D121"/>
  <c r="D107"/>
  <c r="D108"/>
  <c r="D109"/>
  <c r="D110"/>
  <c r="D111"/>
  <c r="D112"/>
  <c r="D113"/>
  <c r="D114"/>
  <c r="D133"/>
  <c r="D135"/>
  <c r="D136"/>
  <c r="D137"/>
  <c r="D138"/>
  <c r="D139"/>
  <c r="D140"/>
  <c r="D141"/>
  <c r="D142"/>
  <c r="D149"/>
  <c r="E150"/>
  <c r="D21" i="16"/>
  <c r="D19"/>
  <c r="D24"/>
  <c r="D21" i="53"/>
  <c r="D22"/>
  <c r="D18"/>
  <c r="D27"/>
  <c r="D143" i="55"/>
  <c r="D144"/>
  <c r="D145"/>
  <c r="E66"/>
  <c r="E94"/>
  <c r="D56"/>
  <c r="D57"/>
  <c r="D58"/>
  <c r="D19" i="53"/>
  <c r="D97" i="55"/>
  <c r="D101"/>
  <c r="D87"/>
  <c r="D88"/>
  <c r="D89"/>
  <c r="D91"/>
  <c r="D69"/>
  <c r="D73"/>
  <c r="E63"/>
  <c r="D71"/>
  <c r="D115"/>
  <c r="D147"/>
  <c r="D156"/>
  <c r="D116"/>
  <c r="D117"/>
  <c r="E124"/>
  <c r="D125"/>
  <c r="E122"/>
  <c r="D99"/>
  <c r="D155"/>
  <c r="D100"/>
  <c r="D60"/>
  <c r="D72"/>
  <c r="E152"/>
  <c r="D153"/>
  <c r="D157"/>
  <c r="D28" i="53"/>
  <c r="D30"/>
  <c r="D24"/>
  <c r="D75" i="55"/>
  <c r="D103"/>
  <c r="D119"/>
  <c r="D128"/>
  <c r="D159"/>
  <c r="D127"/>
  <c r="D129"/>
  <c r="H28" i="17"/>
  <c r="G28"/>
  <c r="F28"/>
  <c r="E28"/>
  <c r="H23"/>
  <c r="G23"/>
  <c r="F23"/>
  <c r="E23"/>
  <c r="H14"/>
  <c r="G14"/>
  <c r="F14"/>
  <c r="E14"/>
  <c r="D28"/>
  <c r="D23"/>
  <c r="D14"/>
  <c r="D16"/>
  <c r="D64" i="48"/>
  <c r="D63"/>
  <c r="I60"/>
  <c r="I59"/>
  <c r="I58"/>
  <c r="I57"/>
  <c r="F60"/>
  <c r="F59"/>
  <c r="F58"/>
  <c r="F57"/>
  <c r="D60"/>
  <c r="D59"/>
  <c r="G59"/>
  <c r="D58"/>
  <c r="G58"/>
  <c r="D57"/>
  <c r="G57"/>
  <c r="D52"/>
  <c r="D54"/>
  <c r="D34"/>
  <c r="D32" i="36"/>
  <c r="D10"/>
  <c r="E9"/>
  <c r="D9"/>
  <c r="E8"/>
  <c r="D8"/>
  <c r="D62" i="46"/>
  <c r="D35"/>
  <c r="D26"/>
  <c r="D28"/>
  <c r="D29"/>
  <c r="D30"/>
  <c r="H17"/>
  <c r="G17"/>
  <c r="F17"/>
  <c r="E17"/>
  <c r="D47" i="45"/>
  <c r="D45"/>
  <c r="D38"/>
  <c r="D30"/>
  <c r="D27"/>
  <c r="D28"/>
  <c r="D25"/>
  <c r="D35"/>
  <c r="D36"/>
  <c r="F36"/>
  <c r="D24"/>
  <c r="D36" i="46"/>
  <c r="D37"/>
  <c r="D38"/>
  <c r="D64"/>
  <c r="D61" i="48"/>
  <c r="D60" i="46"/>
  <c r="D27"/>
  <c r="D39" i="45"/>
  <c r="D40"/>
  <c r="F40"/>
  <c r="D131" i="55"/>
  <c r="H16" i="17"/>
  <c r="G16"/>
  <c r="G17"/>
  <c r="F16"/>
  <c r="E16"/>
  <c r="E17"/>
  <c r="D17"/>
  <c r="D18"/>
  <c r="G60" i="48"/>
  <c r="D32" i="45"/>
  <c r="D41" i="46"/>
  <c r="D42"/>
  <c r="D43"/>
  <c r="D44"/>
  <c r="D45"/>
  <c r="D31"/>
  <c r="D33"/>
  <c r="D55"/>
  <c r="D46"/>
  <c r="D49"/>
  <c r="D51"/>
  <c r="D57"/>
  <c r="G61" i="48"/>
  <c r="E59"/>
  <c r="J59"/>
  <c r="E60"/>
  <c r="E57"/>
  <c r="E58"/>
  <c r="J58"/>
  <c r="D65"/>
  <c r="H17" i="17"/>
  <c r="G18"/>
  <c r="F17"/>
  <c r="E18"/>
  <c r="D70" i="46"/>
  <c r="J57" i="48"/>
  <c r="E61"/>
  <c r="H57"/>
  <c r="H58"/>
  <c r="K58"/>
  <c r="H59"/>
  <c r="K59"/>
  <c r="H60"/>
  <c r="H18" i="17"/>
  <c r="F18"/>
  <c r="J60" i="48"/>
  <c r="K60"/>
  <c r="D66"/>
  <c r="D83" i="33"/>
  <c r="D21"/>
  <c r="D61" i="44"/>
  <c r="D63"/>
  <c r="D65"/>
  <c r="D67"/>
  <c r="D59"/>
  <c r="D50"/>
  <c r="D52"/>
  <c r="D54"/>
  <c r="D46"/>
  <c r="D48"/>
  <c r="D44"/>
  <c r="D39"/>
  <c r="D48" i="30"/>
  <c r="G33"/>
  <c r="G35"/>
  <c r="G26"/>
  <c r="D27"/>
  <c r="D13"/>
  <c r="C16"/>
  <c r="D36" i="29"/>
  <c r="D113"/>
  <c r="I26"/>
  <c r="D119"/>
  <c r="E19"/>
  <c r="D106"/>
  <c r="D97"/>
  <c r="D35"/>
  <c r="D151"/>
  <c r="E50"/>
  <c r="D131"/>
  <c r="D30" i="41"/>
  <c r="D36"/>
  <c r="E30"/>
  <c r="E36"/>
  <c r="F30"/>
  <c r="F36"/>
  <c r="G30"/>
  <c r="G36"/>
  <c r="D31"/>
  <c r="G38"/>
  <c r="D35"/>
  <c r="E35"/>
  <c r="F35"/>
  <c r="G35"/>
  <c r="F38"/>
  <c r="D40"/>
  <c r="E40"/>
  <c r="F40"/>
  <c r="G40"/>
  <c r="F41"/>
  <c r="D46"/>
  <c r="D49"/>
  <c r="E49"/>
  <c r="F49"/>
  <c r="G49"/>
  <c r="D53"/>
  <c r="E53"/>
  <c r="F53"/>
  <c r="G53"/>
  <c r="E70"/>
  <c r="D61"/>
  <c r="D59"/>
  <c r="D67"/>
  <c r="D62"/>
  <c r="D63"/>
  <c r="C70"/>
  <c r="G70"/>
  <c r="D51" i="10"/>
  <c r="D24" i="9"/>
  <c r="D46" i="8"/>
  <c r="D47"/>
  <c r="D17" i="40"/>
  <c r="D19"/>
  <c r="H20" i="38"/>
  <c r="E20"/>
  <c r="E45"/>
  <c r="E52"/>
  <c r="H51"/>
  <c r="E34"/>
  <c r="H21"/>
  <c r="E21"/>
  <c r="E26"/>
  <c r="E23"/>
  <c r="E20" i="37"/>
  <c r="E21"/>
  <c r="E23"/>
  <c r="E26"/>
  <c r="F26"/>
  <c r="F33"/>
  <c r="E27"/>
  <c r="E34"/>
  <c r="F27"/>
  <c r="E28"/>
  <c r="F28"/>
  <c r="E30"/>
  <c r="F30"/>
  <c r="E33"/>
  <c r="F34"/>
  <c r="E35"/>
  <c r="F35"/>
  <c r="D35" i="32"/>
  <c r="E64"/>
  <c r="D36"/>
  <c r="D41"/>
  <c r="E41"/>
  <c r="F41"/>
  <c r="G41"/>
  <c r="D42"/>
  <c r="E42"/>
  <c r="F42"/>
  <c r="G42"/>
  <c r="G43"/>
  <c r="G45"/>
  <c r="D43"/>
  <c r="D37"/>
  <c r="E43"/>
  <c r="E45"/>
  <c r="D56"/>
  <c r="E55"/>
  <c r="D46"/>
  <c r="E46"/>
  <c r="F46"/>
  <c r="G46"/>
  <c r="D47"/>
  <c r="E47"/>
  <c r="F47"/>
  <c r="G47"/>
  <c r="H47"/>
  <c r="H49"/>
  <c r="D48"/>
  <c r="D52"/>
  <c r="E48"/>
  <c r="E52"/>
  <c r="F48"/>
  <c r="G48"/>
  <c r="G52"/>
  <c r="F52"/>
  <c r="H52"/>
  <c r="D61"/>
  <c r="D45" i="33"/>
  <c r="E49"/>
  <c r="F49"/>
  <c r="E52"/>
  <c r="F52"/>
  <c r="G52"/>
  <c r="H52"/>
  <c r="E55"/>
  <c r="F55"/>
  <c r="E57"/>
  <c r="F57"/>
  <c r="G57"/>
  <c r="H57"/>
  <c r="E71"/>
  <c r="F71"/>
  <c r="G71"/>
  <c r="H71"/>
  <c r="E72"/>
  <c r="F72"/>
  <c r="G72"/>
  <c r="H72"/>
  <c r="D79"/>
  <c r="D80"/>
  <c r="E79"/>
  <c r="E83"/>
  <c r="D86"/>
  <c r="D92"/>
  <c r="D21" i="35"/>
  <c r="D22"/>
  <c r="D23"/>
  <c r="D24"/>
  <c r="D25"/>
  <c r="D19" i="36"/>
  <c r="E19"/>
  <c r="D20"/>
  <c r="E20"/>
  <c r="D21"/>
  <c r="E21"/>
  <c r="D22"/>
  <c r="E22"/>
  <c r="D23"/>
  <c r="E23"/>
  <c r="D24"/>
  <c r="E24"/>
  <c r="D25"/>
  <c r="E25"/>
  <c r="D26"/>
  <c r="E26"/>
  <c r="D27"/>
  <c r="E27"/>
  <c r="D28"/>
  <c r="E28"/>
  <c r="D29"/>
  <c r="E29"/>
  <c r="D34"/>
  <c r="D35"/>
  <c r="D38"/>
  <c r="D39"/>
  <c r="D42"/>
  <c r="D46"/>
  <c r="D49"/>
  <c r="D48"/>
  <c r="D47" i="30"/>
  <c r="D52"/>
  <c r="D63"/>
  <c r="D65"/>
  <c r="G79"/>
  <c r="G82"/>
  <c r="D103"/>
  <c r="D140"/>
  <c r="D104"/>
  <c r="D105"/>
  <c r="D142"/>
  <c r="D106"/>
  <c r="D108"/>
  <c r="D118"/>
  <c r="D155"/>
  <c r="G118"/>
  <c r="G155"/>
  <c r="D119"/>
  <c r="D156"/>
  <c r="G119"/>
  <c r="D120"/>
  <c r="G120"/>
  <c r="D121"/>
  <c r="G122"/>
  <c r="D128"/>
  <c r="G125"/>
  <c r="G162"/>
  <c r="D129"/>
  <c r="E134"/>
  <c r="D164"/>
  <c r="D145"/>
  <c r="G156"/>
  <c r="D157"/>
  <c r="G159"/>
  <c r="H13" i="29"/>
  <c r="I13"/>
  <c r="D14"/>
  <c r="E14"/>
  <c r="H18"/>
  <c r="I18"/>
  <c r="D21"/>
  <c r="D74"/>
  <c r="E21"/>
  <c r="D75"/>
  <c r="D43"/>
  <c r="D45"/>
  <c r="D62"/>
  <c r="D63"/>
  <c r="D69"/>
  <c r="D70"/>
  <c r="D76"/>
  <c r="D98"/>
  <c r="D99"/>
  <c r="D101"/>
  <c r="D100"/>
  <c r="D104"/>
  <c r="D105"/>
  <c r="D115"/>
  <c r="D130"/>
  <c r="D133"/>
  <c r="D134"/>
  <c r="D135"/>
  <c r="D136"/>
  <c r="D137"/>
  <c r="D141"/>
  <c r="D142"/>
  <c r="D146"/>
  <c r="D147"/>
  <c r="D148"/>
  <c r="D150"/>
  <c r="D25" i="28"/>
  <c r="D27"/>
  <c r="D28"/>
  <c r="D30"/>
  <c r="D32"/>
  <c r="D34"/>
  <c r="D17" i="20"/>
  <c r="D18"/>
  <c r="D20"/>
  <c r="D18" i="19"/>
  <c r="D22"/>
  <c r="D55" i="18"/>
  <c r="D45"/>
  <c r="D35"/>
  <c r="D25"/>
  <c r="D24"/>
  <c r="D26"/>
  <c r="D27"/>
  <c r="D57"/>
  <c r="D56"/>
  <c r="D54"/>
  <c r="D20"/>
  <c r="D58"/>
  <c r="D48"/>
  <c r="D47"/>
  <c r="D46"/>
  <c r="D44"/>
  <c r="D28"/>
  <c r="D36"/>
  <c r="D37"/>
  <c r="D34"/>
  <c r="E66" i="17"/>
  <c r="D53"/>
  <c r="D54"/>
  <c r="D55"/>
  <c r="D59"/>
  <c r="D60"/>
  <c r="D65"/>
  <c r="D73"/>
  <c r="D66"/>
  <c r="D70"/>
  <c r="F66"/>
  <c r="H66"/>
  <c r="H70"/>
  <c r="F67"/>
  <c r="G67"/>
  <c r="I68"/>
  <c r="I69"/>
  <c r="I77"/>
  <c r="D74"/>
  <c r="F75"/>
  <c r="G75"/>
  <c r="D19" i="11"/>
  <c r="D12"/>
  <c r="D21"/>
  <c r="D26" i="10"/>
  <c r="D29"/>
  <c r="D42"/>
  <c r="D47"/>
  <c r="H30"/>
  <c r="E31"/>
  <c r="E44"/>
  <c r="F31"/>
  <c r="G31"/>
  <c r="H31"/>
  <c r="D32"/>
  <c r="H32"/>
  <c r="D33"/>
  <c r="E33"/>
  <c r="H35"/>
  <c r="D39"/>
  <c r="F43"/>
  <c r="F44"/>
  <c r="D45"/>
  <c r="E45"/>
  <c r="E46"/>
  <c r="D46"/>
  <c r="D22" i="9"/>
  <c r="D11" i="8"/>
  <c r="D12"/>
  <c r="D13"/>
  <c r="D33"/>
  <c r="E11"/>
  <c r="F11"/>
  <c r="G11"/>
  <c r="G12"/>
  <c r="H11"/>
  <c r="E12"/>
  <c r="D43"/>
  <c r="E43"/>
  <c r="F43"/>
  <c r="G43"/>
  <c r="H43"/>
  <c r="D78" i="1"/>
  <c r="E78"/>
  <c r="F78"/>
  <c r="D79"/>
  <c r="E79"/>
  <c r="F79"/>
  <c r="D80"/>
  <c r="E80"/>
  <c r="F80"/>
  <c r="D81"/>
  <c r="E81"/>
  <c r="F81"/>
  <c r="D82"/>
  <c r="E82"/>
  <c r="F82"/>
  <c r="D83"/>
  <c r="E83"/>
  <c r="F83"/>
  <c r="D84"/>
  <c r="E84"/>
  <c r="F84"/>
  <c r="D85"/>
  <c r="E85"/>
  <c r="F85"/>
  <c r="D86"/>
  <c r="E86"/>
  <c r="F86"/>
  <c r="D87"/>
  <c r="E87"/>
  <c r="F87"/>
  <c r="D88"/>
  <c r="E88"/>
  <c r="F88"/>
  <c r="D89"/>
  <c r="E89"/>
  <c r="F89"/>
  <c r="D90"/>
  <c r="E90"/>
  <c r="F90"/>
  <c r="D91"/>
  <c r="E91"/>
  <c r="F91"/>
  <c r="D92"/>
  <c r="E92"/>
  <c r="F92"/>
  <c r="D93"/>
  <c r="E93"/>
  <c r="F93"/>
  <c r="D94"/>
  <c r="E94"/>
  <c r="F94"/>
  <c r="D95"/>
  <c r="E95"/>
  <c r="F95"/>
  <c r="D96"/>
  <c r="E96"/>
  <c r="F96"/>
  <c r="D97"/>
  <c r="E97"/>
  <c r="F97"/>
  <c r="D98"/>
  <c r="E98"/>
  <c r="F98"/>
  <c r="D99"/>
  <c r="E99"/>
  <c r="F99"/>
  <c r="D100"/>
  <c r="E100"/>
  <c r="F100"/>
  <c r="D101"/>
  <c r="E101"/>
  <c r="F101"/>
  <c r="D102"/>
  <c r="E102"/>
  <c r="F102"/>
  <c r="D103"/>
  <c r="E103"/>
  <c r="F103"/>
  <c r="D104"/>
  <c r="E104"/>
  <c r="F104"/>
  <c r="D105"/>
  <c r="E105"/>
  <c r="F105"/>
  <c r="D106"/>
  <c r="E106"/>
  <c r="F106"/>
  <c r="D107"/>
  <c r="E107"/>
  <c r="F107"/>
  <c r="D108"/>
  <c r="E108"/>
  <c r="F108"/>
  <c r="D109"/>
  <c r="E109"/>
  <c r="F109"/>
  <c r="D110"/>
  <c r="E110"/>
  <c r="F110"/>
  <c r="D111"/>
  <c r="E111"/>
  <c r="F111"/>
  <c r="D112"/>
  <c r="E112"/>
  <c r="F112"/>
  <c r="D113"/>
  <c r="E113"/>
  <c r="F113"/>
  <c r="D114"/>
  <c r="E114"/>
  <c r="F114"/>
  <c r="D115"/>
  <c r="E115"/>
  <c r="F115"/>
  <c r="D116"/>
  <c r="E116"/>
  <c r="F116"/>
  <c r="D117"/>
  <c r="E117"/>
  <c r="F117"/>
  <c r="D118"/>
  <c r="E118"/>
  <c r="F118"/>
  <c r="D119"/>
  <c r="E119"/>
  <c r="F119"/>
  <c r="D120"/>
  <c r="E120"/>
  <c r="F120"/>
  <c r="D121"/>
  <c r="E121"/>
  <c r="F121"/>
  <c r="D122"/>
  <c r="E122"/>
  <c r="F122"/>
  <c r="D123"/>
  <c r="E123"/>
  <c r="F123"/>
  <c r="D124"/>
  <c r="E124"/>
  <c r="F124"/>
  <c r="D125"/>
  <c r="E125"/>
  <c r="F125"/>
  <c r="D126"/>
  <c r="E126"/>
  <c r="F126"/>
  <c r="D127"/>
  <c r="E127"/>
  <c r="F127"/>
  <c r="D128"/>
  <c r="E128"/>
  <c r="F128"/>
  <c r="D129"/>
  <c r="E129"/>
  <c r="F129"/>
  <c r="D130"/>
  <c r="E130"/>
  <c r="F130"/>
  <c r="D131"/>
  <c r="E131"/>
  <c r="F131"/>
  <c r="D132"/>
  <c r="E132"/>
  <c r="F132"/>
  <c r="D133"/>
  <c r="E133"/>
  <c r="F133"/>
  <c r="D134"/>
  <c r="E134"/>
  <c r="F134"/>
  <c r="D135"/>
  <c r="E135"/>
  <c r="F135"/>
  <c r="D136"/>
  <c r="E136"/>
  <c r="F136"/>
  <c r="F77"/>
  <c r="E77"/>
  <c r="D77"/>
  <c r="D107" i="29"/>
  <c r="G39" i="41"/>
  <c r="E39"/>
  <c r="G37"/>
  <c r="E37"/>
  <c r="D60" i="18"/>
  <c r="D44" i="8"/>
  <c r="D38" i="18"/>
  <c r="D20" i="19"/>
  <c r="I29" i="29"/>
  <c r="F137" i="30"/>
  <c r="E39" i="37"/>
  <c r="D56" i="44"/>
  <c r="D39" i="41"/>
  <c r="E38"/>
  <c r="E42"/>
  <c r="E47"/>
  <c r="F39"/>
  <c r="F37"/>
  <c r="F42"/>
  <c r="F54"/>
  <c r="D38"/>
  <c r="D37"/>
  <c r="D26" i="9"/>
  <c r="E24" i="38"/>
  <c r="E27"/>
  <c r="E36"/>
  <c r="E43"/>
  <c r="E46"/>
  <c r="E47"/>
  <c r="D69" i="44"/>
  <c r="H61" i="48"/>
  <c r="K57"/>
  <c r="K61"/>
  <c r="J61"/>
  <c r="D68"/>
  <c r="D56" i="17"/>
  <c r="D57"/>
  <c r="I76"/>
  <c r="F70"/>
  <c r="D78"/>
  <c r="D30" i="18"/>
  <c r="D27" i="11"/>
  <c r="E47" i="10"/>
  <c r="F47"/>
  <c r="D45" i="32"/>
  <c r="D49"/>
  <c r="D50"/>
  <c r="D51"/>
  <c r="F83" i="33"/>
  <c r="G83"/>
  <c r="H83"/>
  <c r="E56"/>
  <c r="E61"/>
  <c r="G55"/>
  <c r="G56"/>
  <c r="F56"/>
  <c r="G157" i="30"/>
  <c r="D158"/>
  <c r="D166"/>
  <c r="F138"/>
  <c r="D143"/>
  <c r="D15"/>
  <c r="D71" i="29"/>
  <c r="D83"/>
  <c r="D29"/>
  <c r="D82"/>
  <c r="D77"/>
  <c r="D90"/>
  <c r="D143"/>
  <c r="D61"/>
  <c r="D64"/>
  <c r="D89"/>
  <c r="D47"/>
  <c r="D51"/>
  <c r="D54"/>
  <c r="E29"/>
  <c r="H55" i="33"/>
  <c r="H56"/>
  <c r="C22" i="16"/>
  <c r="G42" i="41"/>
  <c r="G47"/>
  <c r="D65"/>
  <c r="D70"/>
  <c r="F70"/>
  <c r="D56"/>
  <c r="D40" i="18"/>
  <c r="D50"/>
  <c r="I66" i="17"/>
  <c r="G66"/>
  <c r="E70"/>
  <c r="D18" i="40"/>
  <c r="D20"/>
  <c r="D22"/>
  <c r="D19" i="20"/>
  <c r="D22"/>
  <c r="F33" i="10"/>
  <c r="E34"/>
  <c r="E35"/>
  <c r="D34"/>
  <c r="D35"/>
  <c r="H12" i="8"/>
  <c r="G13"/>
  <c r="F12"/>
  <c r="E13"/>
  <c r="F37" i="37"/>
  <c r="E37"/>
  <c r="E35" i="38"/>
  <c r="E37"/>
  <c r="E28"/>
  <c r="H47"/>
  <c r="H46"/>
  <c r="E51"/>
  <c r="E53"/>
  <c r="H53"/>
  <c r="H52"/>
  <c r="E55"/>
  <c r="E49"/>
  <c r="D28" i="9"/>
  <c r="D30"/>
  <c r="D70" i="48"/>
  <c r="D41" i="36"/>
  <c r="D51"/>
  <c r="D50"/>
  <c r="D40"/>
  <c r="D81" i="33"/>
  <c r="D93"/>
  <c r="D94"/>
  <c r="D96"/>
  <c r="E50"/>
  <c r="E51"/>
  <c r="E65"/>
  <c r="G49"/>
  <c r="F50"/>
  <c r="F51"/>
  <c r="F65"/>
  <c r="D87"/>
  <c r="D88"/>
  <c r="H92"/>
  <c r="E61" i="32"/>
  <c r="F61"/>
  <c r="G61"/>
  <c r="E65"/>
  <c r="E66"/>
  <c r="E67"/>
  <c r="E49"/>
  <c r="E50"/>
  <c r="E51"/>
  <c r="E53"/>
  <c r="F56"/>
  <c r="G55"/>
  <c r="G57"/>
  <c r="G49"/>
  <c r="F43"/>
  <c r="F45"/>
  <c r="E56"/>
  <c r="D38"/>
  <c r="E70"/>
  <c r="D55"/>
  <c r="D57"/>
  <c r="H50"/>
  <c r="H51"/>
  <c r="H53"/>
  <c r="D53"/>
  <c r="G50"/>
  <c r="G51"/>
  <c r="D41" i="44"/>
  <c r="D72"/>
  <c r="D35" i="30"/>
  <c r="D51"/>
  <c r="D44"/>
  <c r="D107"/>
  <c r="D109"/>
  <c r="D110"/>
  <c r="D111"/>
  <c r="D141"/>
  <c r="D144"/>
  <c r="D146"/>
  <c r="D147"/>
  <c r="D148"/>
  <c r="D16"/>
  <c r="D50"/>
  <c r="D45"/>
  <c r="D49" i="10"/>
  <c r="E54" i="41"/>
  <c r="D42"/>
  <c r="D47"/>
  <c r="D48"/>
  <c r="D52" i="36"/>
  <c r="D61" i="17"/>
  <c r="D62"/>
  <c r="D23" i="11"/>
  <c r="D29"/>
  <c r="F60" i="33"/>
  <c r="E66"/>
  <c r="F66"/>
  <c r="F61"/>
  <c r="F67"/>
  <c r="F70"/>
  <c r="E75" i="32"/>
  <c r="H59"/>
  <c r="F49"/>
  <c r="F50"/>
  <c r="F51"/>
  <c r="F53"/>
  <c r="D84" i="29"/>
  <c r="D91"/>
  <c r="D92"/>
  <c r="H24"/>
  <c r="H26"/>
  <c r="D122"/>
  <c r="D129"/>
  <c r="D138"/>
  <c r="H66" i="33"/>
  <c r="H61"/>
  <c r="G66"/>
  <c r="G61"/>
  <c r="D76" i="41"/>
  <c r="G54"/>
  <c r="F47"/>
  <c r="I70" i="17"/>
  <c r="G70"/>
  <c r="G33" i="10"/>
  <c r="F34"/>
  <c r="F35"/>
  <c r="H13" i="8"/>
  <c r="G33"/>
  <c r="F13"/>
  <c r="E33"/>
  <c r="E41" i="37"/>
  <c r="E43"/>
  <c r="H37" i="38"/>
  <c r="H36"/>
  <c r="H27"/>
  <c r="E30"/>
  <c r="E31"/>
  <c r="E40"/>
  <c r="H28"/>
  <c r="E60" i="33"/>
  <c r="E62"/>
  <c r="E67"/>
  <c r="E70"/>
  <c r="G50"/>
  <c r="G51"/>
  <c r="G65"/>
  <c r="G67"/>
  <c r="G70"/>
  <c r="H49"/>
  <c r="H50"/>
  <c r="H51"/>
  <c r="H65"/>
  <c r="H67"/>
  <c r="H70"/>
  <c r="D59" i="32"/>
  <c r="E71"/>
  <c r="F55"/>
  <c r="F57"/>
  <c r="E57"/>
  <c r="E59"/>
  <c r="E72"/>
  <c r="G53"/>
  <c r="G59"/>
  <c r="E74"/>
  <c r="D74" i="44"/>
  <c r="D76"/>
  <c r="D78"/>
  <c r="D49" i="30"/>
  <c r="D46"/>
  <c r="D17"/>
  <c r="D20"/>
  <c r="D54" i="41"/>
  <c r="E46"/>
  <c r="E48"/>
  <c r="E50"/>
  <c r="D50"/>
  <c r="H74" i="17"/>
  <c r="H78"/>
  <c r="F74"/>
  <c r="F78"/>
  <c r="E74"/>
  <c r="E78"/>
  <c r="G74"/>
  <c r="G78"/>
  <c r="I74"/>
  <c r="I78"/>
  <c r="F62" i="33"/>
  <c r="F80"/>
  <c r="G79"/>
  <c r="F59" i="32"/>
  <c r="E73"/>
  <c r="F73"/>
  <c r="E79"/>
  <c r="H29" i="29"/>
  <c r="D120"/>
  <c r="D121"/>
  <c r="D123"/>
  <c r="D149"/>
  <c r="D152"/>
  <c r="D112"/>
  <c r="D114"/>
  <c r="D116"/>
  <c r="D154"/>
  <c r="F46" i="41"/>
  <c r="F48"/>
  <c r="G34" i="10"/>
  <c r="G35"/>
  <c r="D37"/>
  <c r="H33" i="8"/>
  <c r="F33"/>
  <c r="D35"/>
  <c r="E41" i="38"/>
  <c r="E80" i="33"/>
  <c r="E69"/>
  <c r="E73"/>
  <c r="E74"/>
  <c r="E75"/>
  <c r="E76"/>
  <c r="E91"/>
  <c r="H60"/>
  <c r="H62"/>
  <c r="H69"/>
  <c r="H73"/>
  <c r="H74"/>
  <c r="H75"/>
  <c r="H76"/>
  <c r="H91"/>
  <c r="G60"/>
  <c r="G62"/>
  <c r="G69"/>
  <c r="G73"/>
  <c r="G74"/>
  <c r="G75"/>
  <c r="G76"/>
  <c r="G91"/>
  <c r="E80" i="32"/>
  <c r="E82"/>
  <c r="D55" i="30"/>
  <c r="D53"/>
  <c r="D54"/>
  <c r="D57"/>
  <c r="D57" i="41"/>
  <c r="D58"/>
  <c r="D60"/>
  <c r="D55"/>
  <c r="D66"/>
  <c r="D80" i="17"/>
  <c r="D82"/>
  <c r="D85"/>
  <c r="G80" i="33"/>
  <c r="H79"/>
  <c r="H81"/>
  <c r="H93"/>
  <c r="E81" i="32"/>
  <c r="E78"/>
  <c r="F69" i="33"/>
  <c r="F73"/>
  <c r="F74"/>
  <c r="F75"/>
  <c r="F74" i="32"/>
  <c r="G73"/>
  <c r="F50" i="41"/>
  <c r="G46"/>
  <c r="G48"/>
  <c r="G50"/>
  <c r="E72"/>
  <c r="C72"/>
  <c r="D87" i="17"/>
  <c r="D89"/>
  <c r="D49" i="8"/>
  <c r="D51"/>
  <c r="D38"/>
  <c r="D41"/>
  <c r="D56"/>
  <c r="E81" i="33"/>
  <c r="E93"/>
  <c r="E94"/>
  <c r="F79"/>
  <c r="F81"/>
  <c r="F93"/>
  <c r="H94"/>
  <c r="H96"/>
  <c r="G81"/>
  <c r="G93"/>
  <c r="F76"/>
  <c r="F91"/>
  <c r="G94"/>
  <c r="G96"/>
  <c r="D58" i="30"/>
  <c r="D151"/>
  <c r="D113"/>
  <c r="D114"/>
  <c r="G126"/>
  <c r="G127"/>
  <c r="G129"/>
  <c r="D131"/>
  <c r="D68" i="41"/>
  <c r="E67"/>
  <c r="E71"/>
  <c r="C71"/>
  <c r="E65"/>
  <c r="D54" i="8"/>
  <c r="D57"/>
  <c r="D58"/>
  <c r="D60"/>
  <c r="F94" i="33"/>
  <c r="D100"/>
  <c r="E96"/>
  <c r="G72" i="41"/>
  <c r="F96" i="33"/>
  <c r="D98"/>
  <c r="D99"/>
  <c r="G76" i="30"/>
  <c r="D76"/>
  <c r="D85"/>
  <c r="D62"/>
  <c r="D60"/>
  <c r="D77"/>
  <c r="D61"/>
  <c r="D75"/>
  <c r="D78"/>
  <c r="G75"/>
  <c r="D150"/>
  <c r="G163"/>
  <c r="G164"/>
  <c r="G166"/>
  <c r="D168"/>
  <c r="D71" i="41"/>
  <c r="G71"/>
  <c r="F71"/>
  <c r="E59"/>
  <c r="E60"/>
  <c r="F60"/>
  <c r="G97" i="33"/>
  <c r="G98"/>
  <c r="G99"/>
  <c r="G77" i="30"/>
  <c r="D91"/>
  <c r="D93"/>
  <c r="D64"/>
  <c r="D94"/>
  <c r="D86"/>
  <c r="D77" i="41"/>
  <c r="E56"/>
  <c r="D90" i="30"/>
  <c r="D92"/>
  <c r="D66"/>
  <c r="D67"/>
  <c r="D68"/>
  <c r="D98"/>
  <c r="E57" i="41"/>
  <c r="E58"/>
  <c r="E68"/>
  <c r="F67"/>
  <c r="E55"/>
  <c r="D70" i="30"/>
  <c r="D71"/>
  <c r="G83"/>
  <c r="G84"/>
  <c r="D99"/>
  <c r="D100"/>
  <c r="E61" i="41"/>
  <c r="E62"/>
  <c r="E63"/>
  <c r="E66"/>
  <c r="G86" i="30"/>
  <c r="D88"/>
  <c r="D96"/>
  <c r="D95"/>
  <c r="D97"/>
  <c r="D101"/>
  <c r="D72" i="41"/>
  <c r="F72"/>
  <c r="F65"/>
  <c r="F59"/>
  <c r="D78"/>
  <c r="F56"/>
  <c r="F57"/>
  <c r="F58"/>
  <c r="F68"/>
  <c r="G67"/>
  <c r="F55"/>
  <c r="F61"/>
  <c r="F62"/>
  <c r="F63"/>
  <c r="F66"/>
  <c r="E73"/>
  <c r="C73"/>
  <c r="D73"/>
  <c r="G65"/>
  <c r="G73"/>
  <c r="F73"/>
  <c r="G59"/>
  <c r="G60"/>
  <c r="D79"/>
  <c r="D80"/>
  <c r="G56"/>
  <c r="G57"/>
  <c r="G55"/>
  <c r="G58"/>
  <c r="G68"/>
  <c r="G66"/>
  <c r="G61"/>
  <c r="G62"/>
  <c r="G63"/>
</calcChain>
</file>

<file path=xl/sharedStrings.xml><?xml version="1.0" encoding="utf-8"?>
<sst xmlns="http://schemas.openxmlformats.org/spreadsheetml/2006/main" count="1603" uniqueCount="897">
  <si>
    <t>Mkt-RF</t>
  </si>
  <si>
    <t>SMB</t>
  </si>
  <si>
    <t>HML</t>
  </si>
  <si>
    <t>RF</t>
  </si>
  <si>
    <t>FMAGX</t>
  </si>
  <si>
    <t>FLPSX</t>
  </si>
  <si>
    <t>BSCFX</t>
  </si>
  <si>
    <t xml:space="preserve">FMAGX </t>
  </si>
  <si>
    <t>SUMMARY OUTPUT</t>
  </si>
  <si>
    <t>Regression Statistics</t>
  </si>
  <si>
    <t>Multiple R</t>
  </si>
  <si>
    <t>R Square</t>
  </si>
  <si>
    <t>Adjusted R Square</t>
  </si>
  <si>
    <t>Standard Error</t>
  </si>
  <si>
    <t>Observations</t>
  </si>
  <si>
    <t>ANOVA</t>
  </si>
  <si>
    <t>Regression</t>
  </si>
  <si>
    <t>Residual</t>
  </si>
  <si>
    <t>Total</t>
  </si>
  <si>
    <t>Intercept</t>
  </si>
  <si>
    <t>df</t>
  </si>
  <si>
    <t>SS</t>
  </si>
  <si>
    <t>MS</t>
  </si>
  <si>
    <t>F</t>
  </si>
  <si>
    <t>Significance F</t>
  </si>
  <si>
    <t>Coefficients</t>
  </si>
  <si>
    <t>t Stat</t>
  </si>
  <si>
    <t>P-value</t>
  </si>
  <si>
    <t>Lower 95%</t>
  </si>
  <si>
    <t>Upper 95%</t>
  </si>
  <si>
    <t>Lower 95.0%</t>
  </si>
  <si>
    <t>Upper 95.0%</t>
  </si>
  <si>
    <t>Risk premium for mutual funds</t>
  </si>
  <si>
    <t>The Leveraged Buyout of Cheek Products, Inc.</t>
  </si>
  <si>
    <t>Input area:</t>
  </si>
  <si>
    <t>Sales</t>
  </si>
  <si>
    <t>Costs</t>
  </si>
  <si>
    <t>Dep</t>
  </si>
  <si>
    <t>EBT</t>
  </si>
  <si>
    <t>Tax</t>
  </si>
  <si>
    <t>Net income</t>
  </si>
  <si>
    <t>Capital expenditures</t>
  </si>
  <si>
    <t>Change in NWC</t>
  </si>
  <si>
    <t>Asset sales</t>
  </si>
  <si>
    <t>Terminal growth rate</t>
  </si>
  <si>
    <t>Terminal D/E</t>
  </si>
  <si>
    <t xml:space="preserve">Return on assets </t>
  </si>
  <si>
    <t>Pretax cost of debt</t>
  </si>
  <si>
    <t>Pretax debt after Year 5</t>
  </si>
  <si>
    <t>Tax rate</t>
  </si>
  <si>
    <t>Shares outstanding (million)</t>
  </si>
  <si>
    <t>Output area:</t>
  </si>
  <si>
    <t>Unlevered cash flows</t>
  </si>
  <si>
    <t>PV unlevered CF</t>
  </si>
  <si>
    <t>Terminal value of future</t>
  </si>
  <si>
    <t>unlevered CF in Year 5</t>
  </si>
  <si>
    <t xml:space="preserve">Value today of terminal </t>
  </si>
  <si>
    <t>value</t>
  </si>
  <si>
    <t>Interest tax shield</t>
  </si>
  <si>
    <t>PV of interest tax shield</t>
  </si>
  <si>
    <t>Levered equity return</t>
  </si>
  <si>
    <t>WACC</t>
  </si>
  <si>
    <t>Terminal value of company</t>
  </si>
  <si>
    <t>Terminal value of tax shields</t>
  </si>
  <si>
    <t>Value of terminal tax shields</t>
  </si>
  <si>
    <t xml:space="preserve">  today</t>
  </si>
  <si>
    <t>PV tax shields</t>
  </si>
  <si>
    <t>Value of company</t>
  </si>
  <si>
    <t>Share price to offer</t>
  </si>
  <si>
    <t>East Coast Yachts Goes Public</t>
  </si>
  <si>
    <t>Underwriter fee</t>
  </si>
  <si>
    <t>Legal fees and expenses</t>
  </si>
  <si>
    <t>SEC registration fees</t>
  </si>
  <si>
    <t>Filing fees</t>
  </si>
  <si>
    <t>NASDAQ listing fee</t>
  </si>
  <si>
    <t>Transfer agent fee</t>
  </si>
  <si>
    <t>Engraving expenses</t>
  </si>
  <si>
    <t>Other expenses</t>
  </si>
  <si>
    <t>Audit cost/year</t>
  </si>
  <si>
    <t>IPO size</t>
  </si>
  <si>
    <t>Underwriter fees</t>
  </si>
  <si>
    <t>Total fees excluding underwriter fees</t>
  </si>
  <si>
    <t>Total fees</t>
  </si>
  <si>
    <t>Net amount raised</t>
  </si>
  <si>
    <t>Fee as a percentage of funds raised</t>
  </si>
  <si>
    <t>The Decision to Lease or Buy at Warf Computers</t>
  </si>
  <si>
    <t>Purchase price</t>
  </si>
  <si>
    <t>Year 1 depreciation</t>
  </si>
  <si>
    <t>Year 2 depreciation</t>
  </si>
  <si>
    <t>Year 3 depreciation</t>
  </si>
  <si>
    <t>Year 4 depreciation</t>
  </si>
  <si>
    <t>Salvage value</t>
  </si>
  <si>
    <t>Lease payment</t>
  </si>
  <si>
    <t>Security deposit</t>
  </si>
  <si>
    <t>Cost of debt</t>
  </si>
  <si>
    <t>Alternative lease:</t>
  </si>
  <si>
    <t>Lease payments</t>
  </si>
  <si>
    <t>Year 2 salvage value</t>
  </si>
  <si>
    <t>1)</t>
  </si>
  <si>
    <t>Aftertax cost of debt</t>
  </si>
  <si>
    <t>Year 0</t>
  </si>
  <si>
    <t>Year 1</t>
  </si>
  <si>
    <t>Year 2</t>
  </si>
  <si>
    <t>Year 3</t>
  </si>
  <si>
    <t>Year 4</t>
  </si>
  <si>
    <t>Saved purchase</t>
  </si>
  <si>
    <t>Lost salvage value</t>
  </si>
  <si>
    <t>Lost depreciation tax shield</t>
  </si>
  <si>
    <t>Tax on lease payment</t>
  </si>
  <si>
    <t>Cash flow from leasing</t>
  </si>
  <si>
    <t>NAL</t>
  </si>
  <si>
    <t>2)</t>
  </si>
  <si>
    <t>Book value in Year 2</t>
  </si>
  <si>
    <t>PV of lease payments</t>
  </si>
  <si>
    <t>Industry PE</t>
  </si>
  <si>
    <t>Company EPS</t>
  </si>
  <si>
    <t>Conversion price (stock)</t>
  </si>
  <si>
    <t>Maturity (years)</t>
  </si>
  <si>
    <t>Convertible bond coupon</t>
  </si>
  <si>
    <t>Conversion value of bond</t>
  </si>
  <si>
    <t>Plain vanilla coupon</t>
  </si>
  <si>
    <t>Stock price</t>
  </si>
  <si>
    <t>Intrinsic bond value</t>
  </si>
  <si>
    <t>Floor value</t>
  </si>
  <si>
    <t>Conversion ratio</t>
  </si>
  <si>
    <t>Conversion premium</t>
  </si>
  <si>
    <t>Option value</t>
  </si>
  <si>
    <t>S&amp;S Air's Convertible Bond</t>
  </si>
  <si>
    <t>Input boxes in tan</t>
  </si>
  <si>
    <t>Output boxes in yellow</t>
  </si>
  <si>
    <t>Given data in blue</t>
  </si>
  <si>
    <t>Calculations in red</t>
  </si>
  <si>
    <t>Answers in green</t>
  </si>
  <si>
    <t>Case Solutions</t>
  </si>
  <si>
    <t>East Coast Yachts Goes International</t>
  </si>
  <si>
    <t>Input Area:</t>
  </si>
  <si>
    <t>Sales per month</t>
  </si>
  <si>
    <t>Commission</t>
  </si>
  <si>
    <t>Production costs</t>
  </si>
  <si>
    <t>Output Area:</t>
  </si>
  <si>
    <t>3)</t>
  </si>
  <si>
    <t>Dollar value of sales</t>
  </si>
  <si>
    <t>Profit at current exchange rate</t>
  </si>
  <si>
    <t>At revised exchange rate:</t>
  </si>
  <si>
    <r>
      <t>Current exhange rate ($/</t>
    </r>
    <r>
      <rPr>
        <sz val="12"/>
        <rFont val="Arial"/>
        <family val="2"/>
      </rPr>
      <t>€</t>
    </r>
    <r>
      <rPr>
        <sz val="12"/>
        <rFont val="Arial"/>
        <family val="2"/>
      </rPr>
      <t>)</t>
    </r>
  </si>
  <si>
    <r>
      <t>Breakeven exchange rate ($/</t>
    </r>
    <r>
      <rPr>
        <sz val="12"/>
        <rFont val="Arial"/>
        <family val="2"/>
      </rPr>
      <t>€</t>
    </r>
    <r>
      <rPr>
        <sz val="12"/>
        <rFont val="Arial"/>
        <family val="2"/>
      </rPr>
      <t>)</t>
    </r>
  </si>
  <si>
    <t>Chapter 31</t>
  </si>
  <si>
    <t xml:space="preserve">Corporate Finance </t>
  </si>
  <si>
    <t>A/R</t>
  </si>
  <si>
    <t>Collection period</t>
  </si>
  <si>
    <t>% of purchases for next Q sales</t>
  </si>
  <si>
    <t>Suppliers paid</t>
  </si>
  <si>
    <t>% of sales for expenses</t>
  </si>
  <si>
    <t>Interest and dividends</t>
  </si>
  <si>
    <t>Beginning cash balance</t>
  </si>
  <si>
    <t>Borrowing rate</t>
  </si>
  <si>
    <t>Invested securities</t>
  </si>
  <si>
    <t>Beginning short-term borrowing</t>
  </si>
  <si>
    <t>Q1</t>
  </si>
  <si>
    <t>Q2</t>
  </si>
  <si>
    <t>Q3</t>
  </si>
  <si>
    <t>Q4</t>
  </si>
  <si>
    <t>Cash Balance</t>
  </si>
  <si>
    <t>Net cash inflow</t>
  </si>
  <si>
    <t>Ending cash balance</t>
  </si>
  <si>
    <t>Minimum cash balance</t>
  </si>
  <si>
    <t>Cumulative surplus (deficit)</t>
  </si>
  <si>
    <t>Short-term Financial Plan</t>
  </si>
  <si>
    <t>New short-term investments</t>
  </si>
  <si>
    <t>Income on short-term investments</t>
  </si>
  <si>
    <t>Short-term investments sold</t>
  </si>
  <si>
    <t>New short-term borrowing</t>
  </si>
  <si>
    <t>Interest on short-term borrowing</t>
  </si>
  <si>
    <t>Short-term borrowing repaid</t>
  </si>
  <si>
    <t>Beginning short-term investments</t>
  </si>
  <si>
    <t>Ending short-term investments</t>
  </si>
  <si>
    <t>Beginning short-term debt</t>
  </si>
  <si>
    <t>Ending short-term debt</t>
  </si>
  <si>
    <t>Q1:</t>
  </si>
  <si>
    <t>Q2:</t>
  </si>
  <si>
    <t>Q3:</t>
  </si>
  <si>
    <t>Q4:</t>
  </si>
  <si>
    <t>Net cash cost</t>
  </si>
  <si>
    <t>Cash generated by short-term financing</t>
  </si>
  <si>
    <t>Chapter 26</t>
  </si>
  <si>
    <t>Keafer Manufacturing Working Capital Management</t>
  </si>
  <si>
    <t>Cash Management at Richmond Corp.</t>
  </si>
  <si>
    <t>Number of lockboxes</t>
  </si>
  <si>
    <t>Daily payments</t>
  </si>
  <si>
    <t>Investment account rate</t>
  </si>
  <si>
    <t>Wire transfer cost</t>
  </si>
  <si>
    <t>Sweep time</t>
  </si>
  <si>
    <t>Money market yield</t>
  </si>
  <si>
    <t>ACH transfer cost</t>
  </si>
  <si>
    <t>Output:</t>
  </si>
  <si>
    <t>FVA</t>
  </si>
  <si>
    <t>1.</t>
  </si>
  <si>
    <t>2.</t>
  </si>
  <si>
    <t>3.</t>
  </si>
  <si>
    <t>The Birdie Golf-Hybrid Golf Merger</t>
  </si>
  <si>
    <t>Year 5</t>
  </si>
  <si>
    <t>Depreciation</t>
  </si>
  <si>
    <t>EBIT</t>
  </si>
  <si>
    <t>Interest</t>
  </si>
  <si>
    <t>Taxable income</t>
  </si>
  <si>
    <t>Taxes (40%)</t>
  </si>
  <si>
    <t>Investments</t>
  </si>
  <si>
    <t>Net working capital</t>
  </si>
  <si>
    <t>Fixed assets</t>
  </si>
  <si>
    <t>Sources of financing</t>
  </si>
  <si>
    <t>New debt</t>
  </si>
  <si>
    <t>Profit retention</t>
  </si>
  <si>
    <t>Dividends from Hybrid today</t>
  </si>
  <si>
    <t>Year 2 tax-loss carryforward</t>
  </si>
  <si>
    <t>Year 3 tax-loss carryforward</t>
  </si>
  <si>
    <t>Terminal value of Hybrid in five years</t>
  </si>
  <si>
    <t>Debt level in five years</t>
  </si>
  <si>
    <t>Current target debt-equity ratio</t>
  </si>
  <si>
    <t>New target debt-equity ratio</t>
  </si>
  <si>
    <t>Risk-free rate</t>
  </si>
  <si>
    <t>Expected return on market</t>
  </si>
  <si>
    <t>Company acquirer WACC</t>
  </si>
  <si>
    <t>Cost of debt for each company</t>
  </si>
  <si>
    <t>Current beta for Hydrid equity</t>
  </si>
  <si>
    <t>Loan to buy company</t>
  </si>
  <si>
    <t>Cash paid</t>
  </si>
  <si>
    <t>Shares outstanding in target</t>
  </si>
  <si>
    <t>Stock price of acquirer</t>
  </si>
  <si>
    <t>Shares outstanding in acquirer</t>
  </si>
  <si>
    <t>Current debt weight</t>
  </si>
  <si>
    <t>Current equity weight</t>
  </si>
  <si>
    <t>Beta of debt</t>
  </si>
  <si>
    <t>Hybrid beta</t>
  </si>
  <si>
    <t>Discount rate for normal operations</t>
  </si>
  <si>
    <t>New debt weight</t>
  </si>
  <si>
    <t>New equity weight</t>
  </si>
  <si>
    <t>New stock beta</t>
  </si>
  <si>
    <t>Discount rate for dividends</t>
  </si>
  <si>
    <t>Acquisition of Hybrid</t>
  </si>
  <si>
    <t>Dividends from Hybrid</t>
  </si>
  <si>
    <t>Tax-loss carryforwards</t>
  </si>
  <si>
    <t>Terminal value of equity</t>
  </si>
  <si>
    <t>Terminal value of debt</t>
  </si>
  <si>
    <t>Present values</t>
  </si>
  <si>
    <t>NPV</t>
  </si>
  <si>
    <t>Highest price to offer</t>
  </si>
  <si>
    <t>Price per share offered</t>
  </si>
  <si>
    <t>Highest share price to offer</t>
  </si>
  <si>
    <t>New share price</t>
  </si>
  <si>
    <t>Exchange ratio</t>
  </si>
  <si>
    <t>4)</t>
  </si>
  <si>
    <t>Highest exchange ratio</t>
  </si>
  <si>
    <t xml:space="preserve">Chapter 29 </t>
  </si>
  <si>
    <t>Default rate</t>
  </si>
  <si>
    <t>Administrative costs</t>
  </si>
  <si>
    <t>Receivables period</t>
  </si>
  <si>
    <t>Current policy</t>
  </si>
  <si>
    <t>Option 1</t>
  </si>
  <si>
    <t>Option 2</t>
  </si>
  <si>
    <t>Option 3</t>
  </si>
  <si>
    <t>Variable costs</t>
  </si>
  <si>
    <t>Credit Policy at Braam Industries</t>
  </si>
  <si>
    <t>Interest rate</t>
  </si>
  <si>
    <t>Current policy:</t>
  </si>
  <si>
    <t>Daily interest rate</t>
  </si>
  <si>
    <t>Daily sales</t>
  </si>
  <si>
    <t>Defaults on sales (daily)</t>
  </si>
  <si>
    <t>Administrative costs (daily)</t>
  </si>
  <si>
    <t>Option 1:</t>
  </si>
  <si>
    <t>Variable costs (daily)</t>
  </si>
  <si>
    <t>Option 2:</t>
  </si>
  <si>
    <t>Option 3:</t>
  </si>
  <si>
    <t>Williamson Mortgage, Inc.</t>
  </si>
  <si>
    <t>Mortgage value</t>
  </si>
  <si>
    <t>Years</t>
  </si>
  <si>
    <t>Mortgage payment</t>
  </si>
  <si>
    <t>5)</t>
  </si>
  <si>
    <t>Current stock price</t>
  </si>
  <si>
    <t>Exercise price</t>
  </si>
  <si>
    <t>Expiration (months)</t>
  </si>
  <si>
    <t>Standard deviation</t>
  </si>
  <si>
    <t>Call</t>
  </si>
  <si>
    <r>
      <t>d</t>
    </r>
    <r>
      <rPr>
        <vertAlign val="subscript"/>
        <sz val="12"/>
        <rFont val="Arial"/>
        <family val="2"/>
      </rPr>
      <t>1</t>
    </r>
  </si>
  <si>
    <r>
      <t>d</t>
    </r>
    <r>
      <rPr>
        <vertAlign val="subscript"/>
        <sz val="12"/>
        <rFont val="Arial"/>
        <family val="2"/>
      </rPr>
      <t>2</t>
    </r>
  </si>
  <si>
    <r>
      <t>N(d</t>
    </r>
    <r>
      <rPr>
        <vertAlign val="subscript"/>
        <sz val="12"/>
        <rFont val="Arial"/>
        <family val="2"/>
      </rPr>
      <t>1</t>
    </r>
    <r>
      <rPr>
        <sz val="12"/>
        <rFont val="Arial"/>
        <family val="2"/>
      </rPr>
      <t>)</t>
    </r>
  </si>
  <si>
    <r>
      <t>N(d</t>
    </r>
    <r>
      <rPr>
        <vertAlign val="subscript"/>
        <sz val="12"/>
        <rFont val="Arial"/>
        <family val="2"/>
      </rPr>
      <t>2</t>
    </r>
    <r>
      <rPr>
        <sz val="12"/>
        <rFont val="Arial"/>
        <family val="2"/>
      </rPr>
      <t>)</t>
    </r>
  </si>
  <si>
    <t>Clissold Industries Options</t>
  </si>
  <si>
    <t>Target Cell (Value Of)</t>
  </si>
  <si>
    <t>Cell</t>
  </si>
  <si>
    <t>Name</t>
  </si>
  <si>
    <t>Original Value</t>
  </si>
  <si>
    <t>Final Value</t>
  </si>
  <si>
    <t>Adjustable Cells</t>
  </si>
  <si>
    <t>Constraints</t>
  </si>
  <si>
    <t>NONE</t>
  </si>
  <si>
    <t>$D$22</t>
  </si>
  <si>
    <t>$D$11</t>
  </si>
  <si>
    <t>Shares owned by each sibling</t>
  </si>
  <si>
    <t>Ragan EPS</t>
  </si>
  <si>
    <t>Dividend to each sibling</t>
  </si>
  <si>
    <t>Ragan ROE</t>
  </si>
  <si>
    <t>Ragan required return</t>
  </si>
  <si>
    <t>EPS</t>
  </si>
  <si>
    <t>DPS</t>
  </si>
  <si>
    <t>ROE</t>
  </si>
  <si>
    <t>R</t>
  </si>
  <si>
    <t>Industry average</t>
  </si>
  <si>
    <t>Total earnings</t>
  </si>
  <si>
    <t>Retention ratio</t>
  </si>
  <si>
    <t>Growth rate</t>
  </si>
  <si>
    <t>Total dividends next year</t>
  </si>
  <si>
    <t>Total equity value</t>
  </si>
  <si>
    <t>Value per share</t>
  </si>
  <si>
    <t>Industry EPS</t>
  </si>
  <si>
    <t>Industry payout ratio</t>
  </si>
  <si>
    <t>Industry retention ratio</t>
  </si>
  <si>
    <t>Industry growth rate</t>
  </si>
  <si>
    <t>Year</t>
  </si>
  <si>
    <t>Total dividends</t>
  </si>
  <si>
    <t>Stock value in Year 5</t>
  </si>
  <si>
    <t>Total stock value today</t>
  </si>
  <si>
    <t>Ragan PE (original assumption)</t>
  </si>
  <si>
    <t>Ragan PE (revised assumption)</t>
  </si>
  <si>
    <t xml:space="preserve">Stock price implied by </t>
  </si>
  <si>
    <t xml:space="preserve">   industry PE</t>
  </si>
  <si>
    <t>Cash cow value</t>
  </si>
  <si>
    <t xml:space="preserve">Percentage not attributable to </t>
  </si>
  <si>
    <t xml:space="preserve">   growth opportunities</t>
  </si>
  <si>
    <t xml:space="preserve">Percentage attributable to </t>
  </si>
  <si>
    <t>Chapter 5</t>
  </si>
  <si>
    <t>Bullock Gold Mining</t>
  </si>
  <si>
    <t>Cash flow</t>
  </si>
  <si>
    <t>Required return</t>
  </si>
  <si>
    <t>Payback period</t>
  </si>
  <si>
    <t>IRR</t>
  </si>
  <si>
    <t>=IRR(D8:D17)</t>
  </si>
  <si>
    <t>=IRR(D8:D17,-0.99)</t>
  </si>
  <si>
    <t>MIRR</t>
  </si>
  <si>
    <t>=MIRR(D8:D17,D19,D19)</t>
  </si>
  <si>
    <t>Profitability index</t>
  </si>
  <si>
    <t>=NPV(D19,D9:D17)/-D8</t>
  </si>
  <si>
    <t>=NPV(D19,D9:D17)+D8</t>
  </si>
  <si>
    <t xml:space="preserve">NOTE: Some functions used in these spreadsheets may require that </t>
  </si>
  <si>
    <t>the "Analysis ToolPak" or "Solver Add-in" be installed in Excel.</t>
  </si>
  <si>
    <t xml:space="preserve">To install these, click on "Tools|Add-Ins" and select "Analysis ToolPak" </t>
  </si>
  <si>
    <t>and "Solver Add-In."</t>
  </si>
  <si>
    <t>Cash Flows at Warf Computer, Inc.</t>
  </si>
  <si>
    <t>Balance Sheet (in $ thousands)</t>
  </si>
  <si>
    <t>Current assets</t>
  </si>
  <si>
    <t>Current liabilities</t>
  </si>
  <si>
    <t xml:space="preserve">  Cash and equivalents</t>
  </si>
  <si>
    <t xml:space="preserve">  Accounts payable</t>
  </si>
  <si>
    <t xml:space="preserve">  Accounts receivable</t>
  </si>
  <si>
    <t xml:space="preserve">  Notes payable</t>
  </si>
  <si>
    <t xml:space="preserve">  Inventories</t>
  </si>
  <si>
    <t xml:space="preserve">  Accrued expenses</t>
  </si>
  <si>
    <t xml:space="preserve">  Other</t>
  </si>
  <si>
    <t xml:space="preserve">     Total current liabilities</t>
  </si>
  <si>
    <t xml:space="preserve">     Total current assets</t>
  </si>
  <si>
    <t>Long-term liabilities</t>
  </si>
  <si>
    <t xml:space="preserve">  Deferred taxes</t>
  </si>
  <si>
    <t xml:space="preserve">  Property, plant, and equipment</t>
  </si>
  <si>
    <t xml:space="preserve">  Long-term debt</t>
  </si>
  <si>
    <t xml:space="preserve">    Less accumulated depreciation</t>
  </si>
  <si>
    <t xml:space="preserve">     Total long-term liabilities</t>
  </si>
  <si>
    <t xml:space="preserve">  Net property, plant, and equipment</t>
  </si>
  <si>
    <t>Intangible assets and others</t>
  </si>
  <si>
    <t>Stockholders equity</t>
  </si>
  <si>
    <t xml:space="preserve">     Total fixed assets</t>
  </si>
  <si>
    <t xml:space="preserve">  Preferred stock</t>
  </si>
  <si>
    <t xml:space="preserve">  Common stock</t>
  </si>
  <si>
    <t xml:space="preserve">  Capital surplus</t>
  </si>
  <si>
    <t xml:space="preserve">  Accumulated retained earnings</t>
  </si>
  <si>
    <t xml:space="preserve">    Less treasury stock</t>
  </si>
  <si>
    <t xml:space="preserve">     Total equity</t>
  </si>
  <si>
    <t xml:space="preserve">Total liabilities and </t>
  </si>
  <si>
    <t>Total assets</t>
  </si>
  <si>
    <t xml:space="preserve">  shareholders equity</t>
  </si>
  <si>
    <t>Acquisition of fixed assets</t>
  </si>
  <si>
    <t>Sale of fixed assets</t>
  </si>
  <si>
    <t>New debt issued</t>
  </si>
  <si>
    <t>Debt retired</t>
  </si>
  <si>
    <t>New stock issued</t>
  </si>
  <si>
    <t>Stock repurchased</t>
  </si>
  <si>
    <t>Income Statement (in $ thousands)</t>
  </si>
  <si>
    <t>Cost of goods sold</t>
  </si>
  <si>
    <t xml:space="preserve">Selling, general, and administrative </t>
  </si>
  <si>
    <t>Operating income</t>
  </si>
  <si>
    <t>Other income</t>
  </si>
  <si>
    <t>Interest expense</t>
  </si>
  <si>
    <t>Pretax income</t>
  </si>
  <si>
    <t>Taxes</t>
  </si>
  <si>
    <t xml:space="preserve">   Current</t>
  </si>
  <si>
    <t xml:space="preserve">   Deferred</t>
  </si>
  <si>
    <t>Retained earnings</t>
  </si>
  <si>
    <t>Dividends</t>
  </si>
  <si>
    <t>Operating cash flow</t>
  </si>
  <si>
    <t>Earnings before interest and taxes</t>
  </si>
  <si>
    <t>-Current taxes</t>
  </si>
  <si>
    <t xml:space="preserve">  Operating cash flow</t>
  </si>
  <si>
    <t>Cash flow from assets</t>
  </si>
  <si>
    <t xml:space="preserve">  Capital spending</t>
  </si>
  <si>
    <t xml:space="preserve">Alternatively, </t>
  </si>
  <si>
    <t>Ending fixed assets</t>
  </si>
  <si>
    <t>-Beginning fixed assets</t>
  </si>
  <si>
    <t>Net working capital cash flow</t>
  </si>
  <si>
    <t>Ending NWC</t>
  </si>
  <si>
    <t>Beginning NWC</t>
  </si>
  <si>
    <t xml:space="preserve">  NWC cash flow</t>
  </si>
  <si>
    <t>Cash flow to creditors</t>
  </si>
  <si>
    <t>Retirement of debt</t>
  </si>
  <si>
    <t xml:space="preserve">  Debt service</t>
  </si>
  <si>
    <t>Proceeds from sale of long-term debt</t>
  </si>
  <si>
    <t xml:space="preserve">  Total</t>
  </si>
  <si>
    <t>Alternatively</t>
  </si>
  <si>
    <t>Beginning long-term debt</t>
  </si>
  <si>
    <t>Ending long-term debt</t>
  </si>
  <si>
    <t>Cash flow to stockholders</t>
  </si>
  <si>
    <t>Repurchase of stock</t>
  </si>
  <si>
    <t xml:space="preserve">  Cash to stockholders</t>
  </si>
  <si>
    <t>Proceeds from new stock issue</t>
  </si>
  <si>
    <t xml:space="preserve">    Total</t>
  </si>
  <si>
    <t>Beginning total equity</t>
  </si>
  <si>
    <t>Ending total equity</t>
  </si>
  <si>
    <t>Statement of cash flows</t>
  </si>
  <si>
    <t>Operations</t>
  </si>
  <si>
    <t>Deferred taxes</t>
  </si>
  <si>
    <t>Changes in assets and liabilities</t>
  </si>
  <si>
    <t>Total cash flow from operations</t>
  </si>
  <si>
    <t>Investing activties</t>
  </si>
  <si>
    <t xml:space="preserve">  Acquisition of fixed assets</t>
  </si>
  <si>
    <t xml:space="preserve">  Sale of fixed assets</t>
  </si>
  <si>
    <t>Total cash flow from investing activities</t>
  </si>
  <si>
    <t>Financing activties</t>
  </si>
  <si>
    <t xml:space="preserve">  Retirement of debt </t>
  </si>
  <si>
    <t xml:space="preserve">  Proceeds of long-term debt</t>
  </si>
  <si>
    <t xml:space="preserve">  Dividends</t>
  </si>
  <si>
    <t xml:space="preserve">  Repurchase of stock</t>
  </si>
  <si>
    <t xml:space="preserve">  Proceeds from new stock issues</t>
  </si>
  <si>
    <t>Total cash flow from financing activities</t>
  </si>
  <si>
    <t>Change in cash (on balance sheet)</t>
  </si>
  <si>
    <t>Chapter 3</t>
  </si>
  <si>
    <t>Ratios and Financial Planning at East Coast Yachts</t>
  </si>
  <si>
    <t>COGS</t>
  </si>
  <si>
    <t>Add to RE</t>
  </si>
  <si>
    <t>Assets</t>
  </si>
  <si>
    <t>Liabilities &amp; Equity</t>
  </si>
  <si>
    <t>Current Assets</t>
  </si>
  <si>
    <t xml:space="preserve">   Cash</t>
  </si>
  <si>
    <t xml:space="preserve">   Accounts payable</t>
  </si>
  <si>
    <t xml:space="preserve">   Accounts rec.</t>
  </si>
  <si>
    <t xml:space="preserve">   Notes payable</t>
  </si>
  <si>
    <t xml:space="preserve">   Inventory</t>
  </si>
  <si>
    <t xml:space="preserve">      Total CL</t>
  </si>
  <si>
    <t xml:space="preserve">      Total CA</t>
  </si>
  <si>
    <t>Long-term debt</t>
  </si>
  <si>
    <t xml:space="preserve">  Net PP&amp;E</t>
  </si>
  <si>
    <t>Shareholder equity</t>
  </si>
  <si>
    <t xml:space="preserve">   Common stock</t>
  </si>
  <si>
    <t xml:space="preserve">   Retained earnings</t>
  </si>
  <si>
    <t xml:space="preserve">      Total equity</t>
  </si>
  <si>
    <t>Total L&amp;E</t>
  </si>
  <si>
    <t>Minimum FA purchase</t>
  </si>
  <si>
    <t>Current ratio</t>
  </si>
  <si>
    <t>Quick ratio</t>
  </si>
  <si>
    <t>Total asset turnover</t>
  </si>
  <si>
    <t>Inventory turnover</t>
  </si>
  <si>
    <t>Receivables turnover</t>
  </si>
  <si>
    <t>Debt ratio</t>
  </si>
  <si>
    <t>Debt-equity ratio</t>
  </si>
  <si>
    <t>Equity multiplier</t>
  </si>
  <si>
    <t>Interest coverage</t>
  </si>
  <si>
    <t>Profit margin</t>
  </si>
  <si>
    <t>Return on assets</t>
  </si>
  <si>
    <t>Return on equity</t>
  </si>
  <si>
    <t>Sustainable growth rate</t>
  </si>
  <si>
    <t>Total Assets</t>
  </si>
  <si>
    <t>EFN</t>
  </si>
  <si>
    <t>EFN if minimum FA purchase is</t>
  </si>
  <si>
    <t>Depreciation as a percentage of fixed assets</t>
  </si>
  <si>
    <t>New fixed assets</t>
  </si>
  <si>
    <t>New depreciation</t>
  </si>
  <si>
    <t>Chapter 4</t>
  </si>
  <si>
    <t>The MBA Decision</t>
  </si>
  <si>
    <t>Current salary</t>
  </si>
  <si>
    <t>Years until retirement</t>
  </si>
  <si>
    <t>Salary increase</t>
  </si>
  <si>
    <t>Wilton</t>
  </si>
  <si>
    <t>Tuition per year</t>
  </si>
  <si>
    <t>Books &amp; Supplies</t>
  </si>
  <si>
    <t>Signing bonus</t>
  </si>
  <si>
    <t>Starting salary</t>
  </si>
  <si>
    <t>Mount Perry</t>
  </si>
  <si>
    <t>Both schools</t>
  </si>
  <si>
    <t>Health insurance</t>
  </si>
  <si>
    <t>Discount rate</t>
  </si>
  <si>
    <t>Current job</t>
  </si>
  <si>
    <t>Aftertax income</t>
  </si>
  <si>
    <t>Present value of salary</t>
  </si>
  <si>
    <t>Wilton MBA</t>
  </si>
  <si>
    <t>PV of tuition &amp; expenses</t>
  </si>
  <si>
    <t>Aftertax bonus</t>
  </si>
  <si>
    <t xml:space="preserve">PV of bonus </t>
  </si>
  <si>
    <t>Aftertax salary</t>
  </si>
  <si>
    <t>PV of salary in two years</t>
  </si>
  <si>
    <t>Value of salary today</t>
  </si>
  <si>
    <t>PV of attending Wilton</t>
  </si>
  <si>
    <t>Mount Perry MBA</t>
  </si>
  <si>
    <t>PV of signing bonus</t>
  </si>
  <si>
    <t>PV of salary in one year</t>
  </si>
  <si>
    <t>PV of salary today</t>
  </si>
  <si>
    <t>PV of attending Mt. Perry</t>
  </si>
  <si>
    <t>5.</t>
  </si>
  <si>
    <t xml:space="preserve">Current job PV minus </t>
  </si>
  <si>
    <t>bonus after Wilton costs</t>
  </si>
  <si>
    <t>Aftertax beginning salary</t>
  </si>
  <si>
    <t>Pretax beginning salary</t>
  </si>
  <si>
    <t>Bethesda Mining</t>
  </si>
  <si>
    <t>Equipment</t>
  </si>
  <si>
    <t>Land cost</t>
  </si>
  <si>
    <t>Aftertax land value</t>
  </si>
  <si>
    <t>Contract sales/tons</t>
  </si>
  <si>
    <t>Year 1 production</t>
  </si>
  <si>
    <t>Year 2 production</t>
  </si>
  <si>
    <t>Year 3 production</t>
  </si>
  <si>
    <t>Year 4 production</t>
  </si>
  <si>
    <t>Contract $/ton</t>
  </si>
  <si>
    <t>Spot market $/ton</t>
  </si>
  <si>
    <t>Variable cost/ton</t>
  </si>
  <si>
    <t>Fixed costs</t>
  </si>
  <si>
    <t>Reclamation costs</t>
  </si>
  <si>
    <t>Charitable expense</t>
  </si>
  <si>
    <t>NWC percent</t>
  </si>
  <si>
    <t>Time 0 cash flow</t>
  </si>
  <si>
    <t>Land</t>
  </si>
  <si>
    <t>NWC</t>
  </si>
  <si>
    <t>Contract</t>
  </si>
  <si>
    <t>Spot</t>
  </si>
  <si>
    <t>VC</t>
  </si>
  <si>
    <t>FC</t>
  </si>
  <si>
    <t>NI</t>
  </si>
  <si>
    <t>+ Dep</t>
  </si>
  <si>
    <t>OCF</t>
  </si>
  <si>
    <t>NWC cash flow</t>
  </si>
  <si>
    <t>Total cash flow</t>
  </si>
  <si>
    <t>Book value</t>
  </si>
  <si>
    <t>Salvage</t>
  </si>
  <si>
    <t>MV</t>
  </si>
  <si>
    <t>BV</t>
  </si>
  <si>
    <t>Salvage CF</t>
  </si>
  <si>
    <t>Time</t>
  </si>
  <si>
    <t>Average accounting return</t>
  </si>
  <si>
    <t>Goodweek Tires, Inc.</t>
  </si>
  <si>
    <t>Research and development</t>
  </si>
  <si>
    <t>Test marketing cost</t>
  </si>
  <si>
    <t>Initial equipment cost</t>
  </si>
  <si>
    <t>Equipment salvage value</t>
  </si>
  <si>
    <t>OEM market:</t>
  </si>
  <si>
    <t>Price</t>
  </si>
  <si>
    <t>Variable cost</t>
  </si>
  <si>
    <t>Automobile production</t>
  </si>
  <si>
    <t>Market share</t>
  </si>
  <si>
    <t>Replacement market:</t>
  </si>
  <si>
    <t>Market sales</t>
  </si>
  <si>
    <t>Price increase above inflation</t>
  </si>
  <si>
    <t>VC increase above inflation</t>
  </si>
  <si>
    <t>Marketing and general costs</t>
  </si>
  <si>
    <t xml:space="preserve">Tax rate </t>
  </si>
  <si>
    <t>Inflation rate</t>
  </si>
  <si>
    <t>Initial NWC</t>
  </si>
  <si>
    <t>NWC percentage of sales</t>
  </si>
  <si>
    <t>Nominal price increase</t>
  </si>
  <si>
    <t>Nominal VC increase</t>
  </si>
  <si>
    <t>OEM:</t>
  </si>
  <si>
    <t xml:space="preserve">Automobiles sold </t>
  </si>
  <si>
    <t>Tires for automobiles sold</t>
  </si>
  <si>
    <t>SuperTread tires sold</t>
  </si>
  <si>
    <t>Total tires sold in market</t>
  </si>
  <si>
    <t>Revenue:</t>
  </si>
  <si>
    <t>OEM market</t>
  </si>
  <si>
    <t>Replacement market</t>
  </si>
  <si>
    <t>Variable costs:</t>
  </si>
  <si>
    <t>Revenue</t>
  </si>
  <si>
    <t>New working capital:</t>
  </si>
  <si>
    <t xml:space="preserve">Beginning </t>
  </si>
  <si>
    <t>Ending</t>
  </si>
  <si>
    <t>Book value of equipment</t>
  </si>
  <si>
    <t>Aftertax salvage value:</t>
  </si>
  <si>
    <t>Market value</t>
  </si>
  <si>
    <t>Total cash flows</t>
  </si>
  <si>
    <t>Discounted cash flow</t>
  </si>
  <si>
    <t>Chapter 9</t>
  </si>
  <si>
    <t>Bunyan Lumber, LLC</t>
  </si>
  <si>
    <t>Total acreage</t>
  </si>
  <si>
    <t>Years since original planting</t>
  </si>
  <si>
    <t>1P pond value</t>
  </si>
  <si>
    <t>2P pond value</t>
  </si>
  <si>
    <t>3P pond value</t>
  </si>
  <si>
    <t>Cash flow/acre from thinning</t>
  </si>
  <si>
    <t>Years from today for harvest</t>
  </si>
  <si>
    <t>Harvest (MBF)</t>
  </si>
  <si>
    <t>to begin</t>
  </si>
  <si>
    <t>per acre</t>
  </si>
  <si>
    <t>1P</t>
  </si>
  <si>
    <t>2P</t>
  </si>
  <si>
    <t>3P</t>
  </si>
  <si>
    <t>Defect rate</t>
  </si>
  <si>
    <t>Tractor cost (MBF)</t>
  </si>
  <si>
    <t>Road (MBF)</t>
  </si>
  <si>
    <t xml:space="preserve">Sale preparation and </t>
  </si>
  <si>
    <t xml:space="preserve">  and administrative (MBF)</t>
  </si>
  <si>
    <t>Excavator piling/acre</t>
  </si>
  <si>
    <t>Broadcast burning/acre</t>
  </si>
  <si>
    <t>Site preparation/acre</t>
  </si>
  <si>
    <t>Planting costs/acre</t>
  </si>
  <si>
    <t>Nominal required return</t>
  </si>
  <si>
    <t>Conservation fund</t>
  </si>
  <si>
    <t>Conservation fund growth</t>
  </si>
  <si>
    <t>Real required return</t>
  </si>
  <si>
    <t>Cash flow from thinning</t>
  </si>
  <si>
    <t xml:space="preserve">Harvest in </t>
  </si>
  <si>
    <t>years</t>
  </si>
  <si>
    <t>Tractor cost</t>
  </si>
  <si>
    <t xml:space="preserve">Road </t>
  </si>
  <si>
    <t>Sale preparation &amp; admin</t>
  </si>
  <si>
    <t>Excavator piling</t>
  </si>
  <si>
    <t>Broadcast burning</t>
  </si>
  <si>
    <t>Site preparation</t>
  </si>
  <si>
    <t>Planting costs</t>
  </si>
  <si>
    <t>Net income (OCF)</t>
  </si>
  <si>
    <t>PV of first harvest</t>
  </si>
  <si>
    <t xml:space="preserve">Next thinning will occur in </t>
  </si>
  <si>
    <t>years, and will reoccur at this same interval.</t>
  </si>
  <si>
    <t>The effective real interest rate for this period is</t>
  </si>
  <si>
    <t xml:space="preserve">The effective real interest rate for the </t>
  </si>
  <si>
    <t xml:space="preserve">   conservation fund for this period is</t>
  </si>
  <si>
    <t>Aftertax cost of convservation</t>
  </si>
  <si>
    <t>PV of future thinnings</t>
  </si>
  <si>
    <t>PV of future harvests</t>
  </si>
  <si>
    <t>PV of conservation fund</t>
  </si>
  <si>
    <t xml:space="preserve">Total NPV </t>
  </si>
  <si>
    <t>Chapter 10</t>
  </si>
  <si>
    <t>A Job at East Coast Yachts</t>
  </si>
  <si>
    <t>10-year annual return</t>
  </si>
  <si>
    <t>Bledsoe S&amp;P 500 Index Fund</t>
  </si>
  <si>
    <t>Bledsoe Small-Cap Fund</t>
  </si>
  <si>
    <t>Bledsoe Large Company Stock Fund</t>
  </si>
  <si>
    <t>Bledsoe Bond Fund</t>
  </si>
  <si>
    <t>Company stock expected return</t>
  </si>
  <si>
    <t>Company stock</t>
  </si>
  <si>
    <t>A Job at East Coast Yachts, Part 2</t>
  </si>
  <si>
    <t>Correlation</t>
  </si>
  <si>
    <t>Weight of stock fund</t>
  </si>
  <si>
    <t>Portfolio E(R)</t>
  </si>
  <si>
    <t>Portfolio standard
deviation</t>
  </si>
  <si>
    <t>Dominant portfolio:</t>
  </si>
  <si>
    <t>Weight of bond fund</t>
  </si>
  <si>
    <t>Expected return</t>
  </si>
  <si>
    <t>Minumum variance portfolio:</t>
  </si>
  <si>
    <t>Weight of large cap stock fund</t>
  </si>
  <si>
    <t>Variance</t>
  </si>
  <si>
    <t>Sharpe optimal portfolio: (Using Solver)</t>
  </si>
  <si>
    <t>Sharpe ratio</t>
  </si>
  <si>
    <t>McKenzie Corporation's Capital Budgeting</t>
  </si>
  <si>
    <t>Probability</t>
  </si>
  <si>
    <t>Without 
expansion</t>
  </si>
  <si>
    <t>With 
expansion</t>
  </si>
  <si>
    <t>Recession</t>
  </si>
  <si>
    <t>Normal</t>
  </si>
  <si>
    <t>Expansion</t>
  </si>
  <si>
    <t>Face value of debt</t>
  </si>
  <si>
    <t xml:space="preserve">Cost of expansion </t>
  </si>
  <si>
    <t>Expected value of firm</t>
  </si>
  <si>
    <t>Without expansion</t>
  </si>
  <si>
    <t>With expansion</t>
  </si>
  <si>
    <t>Expected NPV</t>
  </si>
  <si>
    <t>Value of debt</t>
  </si>
  <si>
    <t>Expected value of debt</t>
  </si>
  <si>
    <t>Value of equity</t>
  </si>
  <si>
    <t>Expected value of equity</t>
  </si>
  <si>
    <t>Bondholder gain with expansion</t>
  </si>
  <si>
    <t>Stockholder gain with expansion</t>
  </si>
  <si>
    <t>Stockholder NPV</t>
  </si>
  <si>
    <t xml:space="preserve">Chapter 21 </t>
  </si>
  <si>
    <t>Chapter 22</t>
  </si>
  <si>
    <t xml:space="preserve">Chapter 24 </t>
  </si>
  <si>
    <t>Chapter 27</t>
  </si>
  <si>
    <t>Chapter 28</t>
  </si>
  <si>
    <t xml:space="preserve">Chapter 2 </t>
  </si>
  <si>
    <t>Stephenson Real Estate Recapitalization</t>
  </si>
  <si>
    <t xml:space="preserve">Purchase price </t>
  </si>
  <si>
    <t>Current cost of capital</t>
  </si>
  <si>
    <t>YTM on new debt</t>
  </si>
  <si>
    <t>Equity weight in new capital structure</t>
  </si>
  <si>
    <t>Shares outstanding</t>
  </si>
  <si>
    <t>Share price</t>
  </si>
  <si>
    <t>Equity</t>
  </si>
  <si>
    <t>Total Debt &amp; Equity</t>
  </si>
  <si>
    <t>Aftertax earnings increase</t>
  </si>
  <si>
    <t>a)</t>
  </si>
  <si>
    <t>b)</t>
  </si>
  <si>
    <t>New shares issued</t>
  </si>
  <si>
    <t>c)</t>
  </si>
  <si>
    <t>Cash</t>
  </si>
  <si>
    <t>Old assets</t>
  </si>
  <si>
    <t>New shares outstanding</t>
  </si>
  <si>
    <t>d)</t>
  </si>
  <si>
    <t>PV of the project</t>
  </si>
  <si>
    <t>PV of project</t>
  </si>
  <si>
    <t>4.</t>
  </si>
  <si>
    <t>Market value of company</t>
  </si>
  <si>
    <t>Value unlevered</t>
  </si>
  <si>
    <t>Tax shield</t>
  </si>
  <si>
    <t>New stock price</t>
  </si>
  <si>
    <t>Debt</t>
  </si>
  <si>
    <t>Ross, Westerfield, and Jaffe</t>
  </si>
  <si>
    <t>Chapter 11</t>
  </si>
  <si>
    <t>The Fama-French Multi-Factor Model and Mutual Fund Returns</t>
  </si>
  <si>
    <t>Chapter 17</t>
  </si>
  <si>
    <t>Chapter 20</t>
  </si>
  <si>
    <t>Years to maturity</t>
  </si>
  <si>
    <t>Zero coupon growth</t>
  </si>
  <si>
    <t>Chapter 23</t>
  </si>
  <si>
    <t>Exotic Cuisine Employee Stock Options</t>
  </si>
  <si>
    <t>Expiration (years)</t>
  </si>
  <si>
    <t>Chapter 25</t>
  </si>
  <si>
    <t>Percent uncollectible</t>
  </si>
  <si>
    <t>Outlay in third Q</t>
  </si>
  <si>
    <t>Target cash balance</t>
  </si>
  <si>
    <t>Last years' sales</t>
  </si>
  <si>
    <t>Growth rate in sales</t>
  </si>
  <si>
    <t>Sales next year</t>
  </si>
  <si>
    <t>Sales following year</t>
  </si>
  <si>
    <t>Quarterly cash flow</t>
  </si>
  <si>
    <t>Collections from previous quarter</t>
  </si>
  <si>
    <t>Collections from current quarter sales</t>
  </si>
  <si>
    <t>Payments to suppliers for previous quarter</t>
  </si>
  <si>
    <t>Payments to suppliers for current quarter</t>
  </si>
  <si>
    <t>Expenses</t>
  </si>
  <si>
    <t>Dividends and interest</t>
  </si>
  <si>
    <t>Outlay</t>
  </si>
  <si>
    <t>Net cash flow</t>
  </si>
  <si>
    <t>Ending short-term debt Q3</t>
  </si>
  <si>
    <t>Value in 2 years</t>
  </si>
  <si>
    <t>Net capital spending</t>
  </si>
  <si>
    <t>-Net capital spending</t>
  </si>
  <si>
    <t>-Change in NWC</t>
  </si>
  <si>
    <t xml:space="preserve">  Cash flow from assets</t>
  </si>
  <si>
    <t>Room &amp; board increase</t>
  </si>
  <si>
    <t>Chapter 6</t>
  </si>
  <si>
    <t>Chapter 7</t>
  </si>
  <si>
    <t>Financing East Coast Yachts Expansion Plans with a Bond Issue</t>
  </si>
  <si>
    <t>Amount needed</t>
  </si>
  <si>
    <t>Face value</t>
  </si>
  <si>
    <t>Coupon rate</t>
  </si>
  <si>
    <t>Year bond is called</t>
  </si>
  <si>
    <t>Spread above Treasury</t>
  </si>
  <si>
    <t>Treasury rate at call</t>
  </si>
  <si>
    <t xml:space="preserve">Price of coupon bond </t>
  </si>
  <si>
    <t xml:space="preserve"># of coupon bonds needed </t>
  </si>
  <si>
    <t xml:space="preserve">Price of zero coupon bond </t>
  </si>
  <si>
    <t xml:space="preserve"># of zeroes needed </t>
  </si>
  <si>
    <t xml:space="preserve">Repayment of coupon bonds </t>
  </si>
  <si>
    <t xml:space="preserve">Repayment of zeroes </t>
  </si>
  <si>
    <t>Year 1 interest payments:</t>
  </si>
  <si>
    <t>Pretax coupon payment</t>
  </si>
  <si>
    <t>Aftertax coupon payment</t>
  </si>
  <si>
    <t>Value of zero in one year</t>
  </si>
  <si>
    <t xml:space="preserve">Zero coupon bond </t>
  </si>
  <si>
    <t>During the life of a bond, the zero generates cash inflows to the firm</t>
  </si>
  <si>
    <t>in the form of the interest tax shield of debt.</t>
  </si>
  <si>
    <t>Make whole price</t>
  </si>
  <si>
    <t>Stock Valuation at Ragan Engines</t>
  </si>
  <si>
    <t>Blue Ribband Motors Corp.</t>
  </si>
  <si>
    <t>Bon Voyage Marine, Inc.</t>
  </si>
  <si>
    <t>Nautilus Marine Engines</t>
  </si>
  <si>
    <t>Nautilus EPS w/o write-off</t>
  </si>
  <si>
    <t>Payout ratio</t>
  </si>
  <si>
    <t>Chapter 8</t>
  </si>
  <si>
    <t>Company stock standard deviation</t>
  </si>
  <si>
    <t>Microsoft Excel 12.0 Answer Report</t>
  </si>
  <si>
    <t>Worksheet: [Jaffe 9th edition Case Solutions.xlsx]Chapter 11</t>
  </si>
  <si>
    <t>Report Created: 1/5/2009 12:23:05 PM</t>
  </si>
  <si>
    <t>Target Cell (Max)</t>
  </si>
  <si>
    <t>$D$46</t>
  </si>
  <si>
    <t>Sharpe ratio Portfolio E(R)</t>
  </si>
  <si>
    <t>$D$45</t>
  </si>
  <si>
    <t>Weight of large cap stock fund Portfolio E(R)</t>
  </si>
  <si>
    <t>Chapter 12</t>
  </si>
  <si>
    <t>The Cost of Capital for Goff Computer, Inc.</t>
  </si>
  <si>
    <t>BV of debt (balance sheet)</t>
  </si>
  <si>
    <t>Shares outstanding (billions)</t>
  </si>
  <si>
    <t>Beta</t>
  </si>
  <si>
    <t>3-month Treasury bill rate</t>
  </si>
  <si>
    <t>Market risk premium</t>
  </si>
  <si>
    <t>Bond 1 price</t>
  </si>
  <si>
    <t>Bond 1 YTM</t>
  </si>
  <si>
    <r>
      <t>R</t>
    </r>
    <r>
      <rPr>
        <vertAlign val="subscript"/>
        <sz val="12"/>
        <rFont val="Arial"/>
        <family val="2"/>
      </rPr>
      <t xml:space="preserve">E </t>
    </r>
    <r>
      <rPr>
        <sz val="12"/>
        <rFont val="Arial"/>
        <family val="2"/>
      </rPr>
      <t>from CAPM</t>
    </r>
  </si>
  <si>
    <t>Company</t>
  </si>
  <si>
    <t>Apple Inc.</t>
  </si>
  <si>
    <t>Dell</t>
  </si>
  <si>
    <t>Sun Microsystems</t>
  </si>
  <si>
    <t>Ingram Mico Inc.</t>
  </si>
  <si>
    <t>Tech Data Corp.</t>
  </si>
  <si>
    <t>Electronics for Imaging</t>
  </si>
  <si>
    <t>Palm, Inc.</t>
  </si>
  <si>
    <t>Digi International</t>
  </si>
  <si>
    <t>Agilysis, Inc.</t>
  </si>
  <si>
    <t>Rackable Systems, Inc.</t>
  </si>
  <si>
    <t>SeaChange International</t>
  </si>
  <si>
    <t>MIPS Technologies</t>
  </si>
  <si>
    <t>Silicon Graphics</t>
  </si>
  <si>
    <t>Cray Inc.</t>
  </si>
  <si>
    <t>Industry Average</t>
  </si>
  <si>
    <r>
      <t>R</t>
    </r>
    <r>
      <rPr>
        <vertAlign val="subscript"/>
        <sz val="12"/>
        <rFont val="Arial"/>
        <family val="2"/>
      </rPr>
      <t xml:space="preserve">E </t>
    </r>
    <r>
      <rPr>
        <sz val="12"/>
        <rFont val="Arial"/>
        <family val="2"/>
      </rPr>
      <t>with industry beta</t>
    </r>
  </si>
  <si>
    <t>Book value
(millions)</t>
  </si>
  <si>
    <t>Percent
of total</t>
  </si>
  <si>
    <t>Quoted 
price</t>
  </si>
  <si>
    <t>Market value
(millions)</t>
  </si>
  <si>
    <t>Yield to
Maturity</t>
  </si>
  <si>
    <t>Book
values</t>
  </si>
  <si>
    <t>Market
values</t>
  </si>
  <si>
    <t>Bond 1</t>
  </si>
  <si>
    <t>Bond 2</t>
  </si>
  <si>
    <t>Book value of equity</t>
  </si>
  <si>
    <t>billion</t>
  </si>
  <si>
    <t>Market value of equity</t>
  </si>
  <si>
    <t>Book value of company</t>
  </si>
  <si>
    <t>million</t>
  </si>
  <si>
    <t>WACC using book value</t>
  </si>
  <si>
    <t>WACC using market value</t>
  </si>
  <si>
    <t>Chapter 13</t>
  </si>
  <si>
    <t>Hewlett Packard</t>
  </si>
  <si>
    <t>Bond 2013 maturity book value</t>
  </si>
  <si>
    <t>2013 bond YTM</t>
  </si>
  <si>
    <t>2013 bond price</t>
  </si>
  <si>
    <t>Bond 2018 maturity book value</t>
  </si>
  <si>
    <t>2018 bond price</t>
  </si>
  <si>
    <t>2018 bond YTM</t>
  </si>
  <si>
    <t>Bond 2028 maturity book value</t>
  </si>
  <si>
    <t>2028 bond price</t>
  </si>
  <si>
    <t>2028 bond YTM</t>
  </si>
  <si>
    <t>Bond 2038 maturity book value</t>
  </si>
  <si>
    <t>2038 bond price</t>
  </si>
  <si>
    <t>2038 bond YTM</t>
  </si>
  <si>
    <t>Bond 3</t>
  </si>
  <si>
    <t>Bond 4</t>
  </si>
  <si>
    <t>BV of equity per share</t>
  </si>
  <si>
    <t>Chapter 18</t>
  </si>
  <si>
    <t>Chapter 16</t>
  </si>
  <si>
    <t>NPV of project</t>
  </si>
  <si>
    <t>Increase in cash flow</t>
  </si>
  <si>
    <t>Interest payments</t>
  </si>
  <si>
    <r>
      <t>Exhange rate ($/</t>
    </r>
    <r>
      <rPr>
        <sz val="12"/>
        <rFont val="Arial"/>
        <family val="2"/>
      </rPr>
      <t>€</t>
    </r>
    <r>
      <rPr>
        <sz val="12"/>
        <rFont val="Arial"/>
        <family val="2"/>
      </rPr>
      <t>)</t>
    </r>
  </si>
  <si>
    <t xml:space="preserve">Sales less commission </t>
  </si>
  <si>
    <t>Total sales</t>
  </si>
  <si>
    <t>Profit at new exchange rate</t>
  </si>
  <si>
    <t>$F$68</t>
  </si>
  <si>
    <t>Value of conservation at harvest</t>
  </si>
  <si>
    <t>The real rate in the conservation fund is</t>
  </si>
  <si>
    <t>Adj Close</t>
  </si>
  <si>
    <t>Capital spending</t>
  </si>
  <si>
    <t>$D$24</t>
  </si>
  <si>
    <t>Growth rate in sales Q1</t>
  </si>
  <si>
    <t>Year 6</t>
  </si>
  <si>
    <t>Equipment salvage</t>
  </si>
  <si>
    <t>Worksheet: [Jaffe 10th edition Case Solutions.xlsx]Chapter 22</t>
  </si>
  <si>
    <t>Report Created: 7/2/2011 2:13:15 PM</t>
  </si>
  <si>
    <t>Report Created: 7/2/2011 2:14:04 PM</t>
  </si>
  <si>
    <t>Report Created: 7/2/2011 2:14:31 PM</t>
  </si>
  <si>
    <t>Report Created: 7/2/2011 2:15:38 PM</t>
  </si>
  <si>
    <t>Price agreed by Hybrid shareholders</t>
  </si>
  <si>
    <t xml:space="preserve">Risk-free rate </t>
  </si>
  <si>
    <t>Microsoft Excel 14.0 Answer Report</t>
  </si>
  <si>
    <t>Worksheet: [Jaffe 10th edition Case Solutions.xlsx]Chapter 26</t>
  </si>
  <si>
    <t>Report Created: 8/4/2011 12:54:21 PM</t>
  </si>
  <si>
    <t>Result: Solver found a solution.  All Constraints and optimality conditions are satisfied.</t>
  </si>
  <si>
    <t>Solver Engine</t>
  </si>
  <si>
    <t>Engine: GRG Nonlinear</t>
  </si>
  <si>
    <t>Solution Time: 0.031 Seconds.</t>
  </si>
  <si>
    <t>Iterations: 2 Subproblems: 0</t>
  </si>
  <si>
    <t>Solver Options</t>
  </si>
  <si>
    <t>Max Time 100 sec,  Iterations 100, Precision 0.000001</t>
  </si>
  <si>
    <t xml:space="preserve"> Convergence 0.0001, Population Size 100, Random Seed 0, Derivatives Forward, Require Bounds</t>
  </si>
  <si>
    <t>Max Subproblems Unlimited, Max Integer Sols Unlimited, Integer Tolerance 5%, Solve Without Integer Constraints</t>
  </si>
  <si>
    <t>Objective Cell (Value Of)</t>
  </si>
  <si>
    <t>Variable Cells</t>
  </si>
  <si>
    <t>Integer</t>
  </si>
  <si>
    <t>Cell Value</t>
  </si>
  <si>
    <t>Formula</t>
  </si>
  <si>
    <t>Status</t>
  </si>
  <si>
    <t>Slack</t>
  </si>
  <si>
    <t>Contin</t>
  </si>
  <si>
    <t>$F$68=0</t>
  </si>
  <si>
    <t>Binding</t>
  </si>
  <si>
    <t>N/A</t>
  </si>
  <si>
    <t>10th edition</t>
  </si>
</sst>
</file>

<file path=xl/styles.xml><?xml version="1.0" encoding="utf-8"?>
<styleSheet xmlns="http://schemas.openxmlformats.org/spreadsheetml/2006/main">
  <numFmts count="40">
    <numFmt numFmtId="5" formatCode="&quot;$&quot;#,##0_);\(&quot;$&quot;#,##0\)"/>
    <numFmt numFmtId="6" formatCode="&quot;$&quot;#,##0_);[Red]\(&quot;$&quot;#,##0\)"/>
    <numFmt numFmtId="8" formatCode="&quot;$&quot;#,##0.00_);[Red]\(&quot;$&quot;#,##0.00\)"/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0.0000"/>
    <numFmt numFmtId="165" formatCode="0.00000"/>
    <numFmt numFmtId="166" formatCode="_(&quot;$&quot;* #,##0.00_);_(&quot;$&quot;* \(#,##0.00\);_(&quot;$&quot;* &quot;-&quot;_);_(@_)"/>
    <numFmt numFmtId="167" formatCode="_(&quot;$&quot;* #,##0_);_(&quot;$&quot;* \(#,##0\);_(&quot;$&quot;* &quot;-&quot;??_);_(@_)"/>
    <numFmt numFmtId="168" formatCode="_(* #,##0.000_);_(* \(#,##0.000\);_(* &quot;-&quot;???_);_(@_)"/>
    <numFmt numFmtId="169" formatCode="_(* #,##0_);_(* \(#,##0\);_(* &quot;-&quot;??_);_(@_)"/>
    <numFmt numFmtId="170" formatCode="&quot;$&quot;#,##0.00"/>
    <numFmt numFmtId="171" formatCode="_([$€-2]\ * #,##0_);_([$€-2]\ * \(#,##0\);_([$€-2]\ * &quot;-&quot;??_);_(@_)"/>
    <numFmt numFmtId="172" formatCode="_([$€-2]\ * #,##0_);_([$€-2]\ * \(#,##0\);_([$€-2]\ * &quot;-&quot;_);_(@_)"/>
    <numFmt numFmtId="173" formatCode="_(&quot;$&quot;* #,##0.0000_);_(&quot;$&quot;* \(#,##0.0000\);_(&quot;$&quot;* &quot;-&quot;_);_(@_)"/>
    <numFmt numFmtId="174" formatCode="0.000%"/>
    <numFmt numFmtId="175" formatCode="_(* #,##0.0000_);_(* \(#,##0.0000\);_(* &quot;-&quot;????_);_(@_)"/>
    <numFmt numFmtId="176" formatCode="_(* #,##0.00_);_(* \(#,##0.00\);_(* &quot;-&quot;_);_(@_)"/>
    <numFmt numFmtId="177" formatCode="0.0%"/>
    <numFmt numFmtId="178" formatCode="0.0000%"/>
    <numFmt numFmtId="179" formatCode="0.00000%"/>
    <numFmt numFmtId="180" formatCode="#,##0.0000_);[Red]\(#,##0.0000\)"/>
    <numFmt numFmtId="181" formatCode="0.00000000"/>
    <numFmt numFmtId="182" formatCode="#,##0.000000_);\(#,##0.000000\)"/>
    <numFmt numFmtId="183" formatCode="_(&quot;$&quot;* #,##0.000_);_(&quot;$&quot;* \(#,##0.000\);_(&quot;$&quot;* &quot;-&quot;_);_(@_)"/>
    <numFmt numFmtId="184" formatCode="#,##0.0"/>
    <numFmt numFmtId="185" formatCode="_(* #,##0.000000_);_(* \(#,##0.000000\);_(* &quot;-&quot;??????_);_(@_)"/>
    <numFmt numFmtId="186" formatCode="_(* #,##0.000_);_(* \(#,##0.000\);_(* &quot;-&quot;??_);_(@_)"/>
    <numFmt numFmtId="187" formatCode="_(&quot;$&quot;* #,##0.0000_);_(&quot;$&quot;* \(#,##0.0000\);_(&quot;$&quot;* &quot;-&quot;????_);_(@_)"/>
    <numFmt numFmtId="188" formatCode="_(&quot;$&quot;* #,##0.0000_);_(&quot;$&quot;* \(#,##0.0000\);_(&quot;$&quot;* &quot;-&quot;??_);_(@_)"/>
    <numFmt numFmtId="189" formatCode="_(&quot;$&quot;* #,##0.000_);_(&quot;$&quot;* \(#,##0.000\);_(&quot;$&quot;* &quot;-&quot;???_);_(@_)"/>
    <numFmt numFmtId="190" formatCode="_(&quot;$&quot;* #,##0.0_);_(&quot;$&quot;* \(#,##0.0\);_(&quot;$&quot;* &quot;-&quot;?_);_(@_)"/>
    <numFmt numFmtId="191" formatCode="_(* #,##0.0000_);_(* \(#,##0.0000\);_(* &quot;-&quot;??_);_(@_)"/>
    <numFmt numFmtId="192" formatCode="&quot;$&quot;#,##0.00000000_);[Red]\(&quot;$&quot;#,##0.00000000\)"/>
    <numFmt numFmtId="193" formatCode="_(* #,##0.000_);_(* \(#,##0.000\);_(* &quot;-&quot;_);_(@_)"/>
    <numFmt numFmtId="194" formatCode="_(* #,##0.0000_);_(* \(#,##0.0000\);_(* &quot;-&quot;???_);_(@_)"/>
    <numFmt numFmtId="195" formatCode="#,##0.0000_);\(#,##0.0000\)"/>
    <numFmt numFmtId="196" formatCode="0.000000"/>
  </numFmts>
  <fonts count="55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10"/>
      <color indexed="10"/>
      <name val="Arial"/>
      <family val="2"/>
    </font>
    <font>
      <i/>
      <sz val="10"/>
      <name val="Arial"/>
      <family val="2"/>
    </font>
    <font>
      <sz val="12"/>
      <name val="Arial"/>
      <family val="2"/>
    </font>
    <font>
      <b/>
      <sz val="14"/>
      <name val="Arial"/>
      <family val="2"/>
    </font>
    <font>
      <i/>
      <sz val="12"/>
      <name val="Arial"/>
      <family val="2"/>
    </font>
    <font>
      <b/>
      <sz val="12"/>
      <name val="Arial"/>
      <family val="2"/>
    </font>
    <font>
      <sz val="12"/>
      <color indexed="12"/>
      <name val="Arial"/>
      <family val="2"/>
    </font>
    <font>
      <sz val="12"/>
      <color indexed="10"/>
      <name val="Arial"/>
      <family val="2"/>
    </font>
    <font>
      <b/>
      <sz val="12"/>
      <color indexed="57"/>
      <name val="Arial"/>
      <family val="2"/>
    </font>
    <font>
      <i/>
      <u/>
      <sz val="12"/>
      <name val="Arial"/>
      <family val="2"/>
    </font>
    <font>
      <sz val="12"/>
      <name val="Arial"/>
      <family val="2"/>
    </font>
    <font>
      <sz val="12"/>
      <color indexed="12"/>
      <name val="Arial"/>
      <family val="2"/>
    </font>
    <font>
      <sz val="12"/>
      <color indexed="10"/>
      <name val="Arial"/>
      <family val="2"/>
    </font>
    <font>
      <sz val="10"/>
      <color indexed="8"/>
      <name val="Arial"/>
      <family val="2"/>
    </font>
    <font>
      <sz val="48"/>
      <color indexed="52"/>
      <name val="Arial"/>
      <family val="2"/>
    </font>
    <font>
      <sz val="12"/>
      <color indexed="8"/>
      <name val="Arial"/>
      <family val="2"/>
    </font>
    <font>
      <b/>
      <sz val="12"/>
      <color indexed="47"/>
      <name val="Arial"/>
      <family val="2"/>
    </font>
    <font>
      <b/>
      <sz val="12"/>
      <color indexed="43"/>
      <name val="Arial"/>
      <family val="2"/>
    </font>
    <font>
      <b/>
      <sz val="12"/>
      <color indexed="48"/>
      <name val="Arial"/>
      <family val="2"/>
    </font>
    <font>
      <b/>
      <sz val="12"/>
      <color indexed="10"/>
      <name val="Arial"/>
      <family val="2"/>
    </font>
    <font>
      <sz val="24"/>
      <color indexed="52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i/>
      <sz val="12"/>
      <color indexed="8"/>
      <name val="Arial"/>
      <family val="2"/>
    </font>
    <font>
      <b/>
      <sz val="12"/>
      <color indexed="8"/>
      <name val="Arial"/>
      <family val="2"/>
    </font>
    <font>
      <sz val="12"/>
      <color indexed="57"/>
      <name val="Arial"/>
      <family val="2"/>
    </font>
    <font>
      <i/>
      <u/>
      <sz val="12"/>
      <name val="Arial"/>
      <family val="2"/>
    </font>
    <font>
      <i/>
      <sz val="12"/>
      <name val="Arial"/>
      <family val="2"/>
    </font>
    <font>
      <vertAlign val="subscript"/>
      <sz val="12"/>
      <name val="Arial"/>
      <family val="2"/>
    </font>
    <font>
      <u/>
      <sz val="12"/>
      <name val="Arial"/>
      <family val="2"/>
    </font>
    <font>
      <u val="singleAccounting"/>
      <sz val="12"/>
      <name val="Arial"/>
      <family val="2"/>
    </font>
    <font>
      <b/>
      <sz val="10"/>
      <color indexed="9"/>
      <name val="Arial"/>
      <family val="2"/>
    </font>
    <font>
      <u/>
      <sz val="10"/>
      <color indexed="8"/>
      <name val="Arial"/>
      <family val="2"/>
    </font>
    <font>
      <sz val="12"/>
      <color indexed="48"/>
      <name val="Arial"/>
      <family val="2"/>
    </font>
    <font>
      <sz val="12"/>
      <color indexed="53"/>
      <name val="Arial"/>
      <family val="2"/>
    </font>
    <font>
      <sz val="10"/>
      <color indexed="12"/>
      <name val="Arial"/>
      <family val="2"/>
    </font>
    <font>
      <i/>
      <sz val="10"/>
      <name val="Arial"/>
      <family val="2"/>
    </font>
    <font>
      <u/>
      <sz val="12"/>
      <color indexed="10"/>
      <name val="Arial"/>
      <family val="2"/>
    </font>
    <font>
      <sz val="10"/>
      <color indexed="48"/>
      <name val="Arial"/>
      <family val="2"/>
    </font>
    <font>
      <i/>
      <u/>
      <sz val="12"/>
      <color indexed="8"/>
      <name val="Arial"/>
      <family val="2"/>
    </font>
    <font>
      <u/>
      <sz val="12"/>
      <color indexed="8"/>
      <name val="Arial"/>
      <family val="2"/>
    </font>
    <font>
      <i/>
      <sz val="12"/>
      <color indexed="10"/>
      <name val="Arial"/>
      <family val="2"/>
    </font>
    <font>
      <b/>
      <i/>
      <sz val="12"/>
      <color indexed="8"/>
      <name val="Arial"/>
      <family val="2"/>
    </font>
    <font>
      <sz val="12"/>
      <color indexed="10"/>
      <name val="Arial"/>
      <family val="2"/>
    </font>
    <font>
      <sz val="12"/>
      <color indexed="12"/>
      <name val="Arial"/>
      <family val="2"/>
    </font>
    <font>
      <b/>
      <sz val="10"/>
      <color indexed="18"/>
      <name val="Arial"/>
      <family val="2"/>
    </font>
    <font>
      <b/>
      <sz val="10"/>
      <color indexed="18"/>
      <name val="Arial"/>
      <family val="2"/>
    </font>
    <font>
      <b/>
      <u/>
      <sz val="12"/>
      <name val="Arial"/>
      <family val="2"/>
    </font>
    <font>
      <i/>
      <sz val="11"/>
      <color indexed="8"/>
      <name val="Calibri"/>
      <family val="2"/>
    </font>
    <font>
      <b/>
      <sz val="10"/>
      <color indexed="18"/>
      <name val="Arial"/>
      <family val="2"/>
    </font>
    <font>
      <sz val="8"/>
      <name val="Arial"/>
    </font>
    <font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8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23"/>
      </top>
      <bottom style="medium">
        <color indexed="23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23"/>
      </top>
      <bottom style="medium">
        <color indexed="23"/>
      </bottom>
      <diagonal/>
    </border>
    <border>
      <left/>
      <right/>
      <top style="thin">
        <color indexed="64"/>
      </top>
      <bottom/>
      <diagonal/>
    </border>
  </borders>
  <cellStyleXfs count="7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0" fontId="54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784">
    <xf numFmtId="0" fontId="0" fillId="0" borderId="0" xfId="0"/>
    <xf numFmtId="0" fontId="0" fillId="0" borderId="0" xfId="0" applyFill="1" applyBorder="1" applyAlignment="1"/>
    <xf numFmtId="0" fontId="0" fillId="0" borderId="1" xfId="0" applyFill="1" applyBorder="1" applyAlignment="1"/>
    <xf numFmtId="0" fontId="4" fillId="0" borderId="2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centerContinuous"/>
    </xf>
    <xf numFmtId="165" fontId="0" fillId="0" borderId="0" xfId="0" applyNumberFormat="1" applyFill="1" applyBorder="1" applyAlignment="1"/>
    <xf numFmtId="0" fontId="5" fillId="0" borderId="0" xfId="0" applyFont="1"/>
    <xf numFmtId="0" fontId="6" fillId="0" borderId="0" xfId="0" applyFont="1" applyAlignment="1">
      <alignment horizontal="left"/>
    </xf>
    <xf numFmtId="0" fontId="6" fillId="0" borderId="0" xfId="0" applyFont="1"/>
    <xf numFmtId="0" fontId="7" fillId="0" borderId="0" xfId="0" applyFont="1"/>
    <xf numFmtId="0" fontId="5" fillId="2" borderId="3" xfId="0" applyFont="1" applyFill="1" applyBorder="1"/>
    <xf numFmtId="0" fontId="5" fillId="2" borderId="4" xfId="0" applyFont="1" applyFill="1" applyBorder="1"/>
    <xf numFmtId="0" fontId="5" fillId="2" borderId="5" xfId="0" applyFont="1" applyFill="1" applyBorder="1"/>
    <xf numFmtId="0" fontId="5" fillId="2" borderId="6" xfId="0" applyFont="1" applyFill="1" applyBorder="1"/>
    <xf numFmtId="0" fontId="5" fillId="2" borderId="0" xfId="0" applyFont="1" applyFill="1" applyBorder="1"/>
    <xf numFmtId="0" fontId="8" fillId="2" borderId="0" xfId="0" applyFont="1" applyFill="1" applyBorder="1"/>
    <xf numFmtId="0" fontId="5" fillId="2" borderId="7" xfId="0" applyFont="1" applyFill="1" applyBorder="1"/>
    <xf numFmtId="0" fontId="7" fillId="0" borderId="0" xfId="0" applyFont="1" applyBorder="1"/>
    <xf numFmtId="166" fontId="9" fillId="2" borderId="0" xfId="0" applyNumberFormat="1" applyFont="1" applyFill="1" applyBorder="1"/>
    <xf numFmtId="166" fontId="10" fillId="2" borderId="0" xfId="0" applyNumberFormat="1" applyFont="1" applyFill="1" applyBorder="1"/>
    <xf numFmtId="166" fontId="10" fillId="2" borderId="8" xfId="0" applyNumberFormat="1" applyFont="1" applyFill="1" applyBorder="1"/>
    <xf numFmtId="42" fontId="9" fillId="2" borderId="0" xfId="0" applyNumberFormat="1" applyFont="1" applyFill="1" applyBorder="1"/>
    <xf numFmtId="10" fontId="9" fillId="2" borderId="0" xfId="5" applyNumberFormat="1" applyFont="1" applyFill="1" applyBorder="1"/>
    <xf numFmtId="0" fontId="9" fillId="2" borderId="0" xfId="0" applyFont="1" applyFill="1" applyBorder="1"/>
    <xf numFmtId="0" fontId="5" fillId="2" borderId="9" xfId="0" applyFont="1" applyFill="1" applyBorder="1"/>
    <xf numFmtId="0" fontId="5" fillId="2" borderId="1" xfId="0" applyFont="1" applyFill="1" applyBorder="1"/>
    <xf numFmtId="0" fontId="5" fillId="2" borderId="10" xfId="0" applyFont="1" applyFill="1" applyBorder="1"/>
    <xf numFmtId="0" fontId="5" fillId="3" borderId="3" xfId="0" applyFont="1" applyFill="1" applyBorder="1"/>
    <xf numFmtId="0" fontId="5" fillId="3" borderId="4" xfId="0" applyFont="1" applyFill="1" applyBorder="1"/>
    <xf numFmtId="0" fontId="5" fillId="3" borderId="5" xfId="0" applyFont="1" applyFill="1" applyBorder="1"/>
    <xf numFmtId="0" fontId="5" fillId="3" borderId="6" xfId="0" applyFont="1" applyFill="1" applyBorder="1"/>
    <xf numFmtId="0" fontId="5" fillId="3" borderId="0" xfId="0" applyFont="1" applyFill="1" applyBorder="1"/>
    <xf numFmtId="44" fontId="10" fillId="3" borderId="0" xfId="0" applyNumberFormat="1" applyFont="1" applyFill="1" applyBorder="1"/>
    <xf numFmtId="0" fontId="5" fillId="3" borderId="7" xfId="0" applyFont="1" applyFill="1" applyBorder="1"/>
    <xf numFmtId="44" fontId="10" fillId="3" borderId="0" xfId="2" applyNumberFormat="1" applyFont="1" applyFill="1" applyBorder="1"/>
    <xf numFmtId="10" fontId="10" fillId="3" borderId="0" xfId="5" applyNumberFormat="1" applyFont="1" applyFill="1" applyBorder="1"/>
    <xf numFmtId="44" fontId="5" fillId="3" borderId="0" xfId="0" applyNumberFormat="1" applyFont="1" applyFill="1" applyBorder="1"/>
    <xf numFmtId="44" fontId="11" fillId="3" borderId="11" xfId="0" applyNumberFormat="1" applyFont="1" applyFill="1" applyBorder="1"/>
    <xf numFmtId="0" fontId="5" fillId="3" borderId="9" xfId="0" applyFont="1" applyFill="1" applyBorder="1"/>
    <xf numFmtId="0" fontId="5" fillId="3" borderId="1" xfId="0" applyFont="1" applyFill="1" applyBorder="1"/>
    <xf numFmtId="0" fontId="5" fillId="3" borderId="10" xfId="0" applyFont="1" applyFill="1" applyBorder="1"/>
    <xf numFmtId="167" fontId="10" fillId="3" borderId="0" xfId="0" applyNumberFormat="1" applyFont="1" applyFill="1" applyBorder="1"/>
    <xf numFmtId="167" fontId="10" fillId="3" borderId="0" xfId="2" applyNumberFormat="1" applyFont="1" applyFill="1" applyBorder="1"/>
    <xf numFmtId="167" fontId="5" fillId="3" borderId="0" xfId="0" applyNumberFormat="1" applyFont="1" applyFill="1" applyBorder="1"/>
    <xf numFmtId="10" fontId="11" fillId="3" borderId="11" xfId="5" applyNumberFormat="1" applyFont="1" applyFill="1" applyBorder="1"/>
    <xf numFmtId="167" fontId="5" fillId="3" borderId="1" xfId="0" applyNumberFormat="1" applyFont="1" applyFill="1" applyBorder="1"/>
    <xf numFmtId="167" fontId="5" fillId="0" borderId="0" xfId="0" applyNumberFormat="1" applyFont="1"/>
    <xf numFmtId="168" fontId="5" fillId="2" borderId="0" xfId="0" applyNumberFormat="1" applyFont="1" applyFill="1" applyBorder="1"/>
    <xf numFmtId="9" fontId="9" fillId="2" borderId="0" xfId="5" applyFont="1" applyFill="1" applyBorder="1"/>
    <xf numFmtId="0" fontId="7" fillId="2" borderId="0" xfId="0" applyFont="1" applyFill="1" applyBorder="1"/>
    <xf numFmtId="42" fontId="9" fillId="2" borderId="0" xfId="5" applyNumberFormat="1" applyFont="1" applyFill="1" applyBorder="1"/>
    <xf numFmtId="42" fontId="5" fillId="2" borderId="1" xfId="5" applyNumberFormat="1" applyFont="1" applyFill="1" applyBorder="1"/>
    <xf numFmtId="42" fontId="5" fillId="0" borderId="0" xfId="5" applyNumberFormat="1" applyFont="1"/>
    <xf numFmtId="0" fontId="12" fillId="3" borderId="0" xfId="0" applyFont="1" applyFill="1" applyBorder="1" applyAlignment="1">
      <alignment horizontal="right"/>
    </xf>
    <xf numFmtId="42" fontId="10" fillId="3" borderId="0" xfId="0" applyNumberFormat="1" applyFont="1" applyFill="1" applyBorder="1"/>
    <xf numFmtId="166" fontId="11" fillId="3" borderId="11" xfId="0" applyNumberFormat="1" applyFont="1" applyFill="1" applyBorder="1"/>
    <xf numFmtId="42" fontId="5" fillId="3" borderId="0" xfId="0" applyNumberFormat="1" applyFont="1" applyFill="1" applyBorder="1"/>
    <xf numFmtId="0" fontId="10" fillId="3" borderId="0" xfId="0" applyFont="1" applyFill="1" applyBorder="1"/>
    <xf numFmtId="0" fontId="0" fillId="0" borderId="0" xfId="0" applyAlignment="1">
      <alignment horizontal="left"/>
    </xf>
    <xf numFmtId="0" fontId="13" fillId="0" borderId="0" xfId="0" applyFont="1"/>
    <xf numFmtId="0" fontId="7" fillId="0" borderId="1" xfId="0" applyFont="1" applyBorder="1"/>
    <xf numFmtId="0" fontId="13" fillId="0" borderId="1" xfId="0" applyFont="1" applyBorder="1"/>
    <xf numFmtId="0" fontId="0" fillId="2" borderId="3" xfId="0" applyFill="1" applyBorder="1"/>
    <xf numFmtId="0" fontId="13" fillId="2" borderId="0" xfId="0" applyFont="1" applyFill="1" applyBorder="1"/>
    <xf numFmtId="0" fontId="13" fillId="2" borderId="5" xfId="0" applyFont="1" applyFill="1" applyBorder="1"/>
    <xf numFmtId="0" fontId="0" fillId="2" borderId="6" xfId="0" applyFill="1" applyBorder="1"/>
    <xf numFmtId="43" fontId="14" fillId="2" borderId="0" xfId="0" applyNumberFormat="1" applyFont="1" applyFill="1" applyBorder="1"/>
    <xf numFmtId="42" fontId="14" fillId="2" borderId="7" xfId="0" applyNumberFormat="1" applyFont="1" applyFill="1" applyBorder="1"/>
    <xf numFmtId="44" fontId="14" fillId="2" borderId="0" xfId="0" applyNumberFormat="1" applyFont="1" applyFill="1" applyBorder="1"/>
    <xf numFmtId="169" fontId="14" fillId="2" borderId="7" xfId="0" applyNumberFormat="1" applyFont="1" applyFill="1" applyBorder="1"/>
    <xf numFmtId="9" fontId="14" fillId="2" borderId="0" xfId="5" applyFont="1" applyFill="1" applyBorder="1"/>
    <xf numFmtId="42" fontId="14" fillId="2" borderId="0" xfId="0" applyNumberFormat="1" applyFont="1" applyFill="1" applyBorder="1"/>
    <xf numFmtId="0" fontId="0" fillId="2" borderId="9" xfId="0" applyFill="1" applyBorder="1"/>
    <xf numFmtId="0" fontId="13" fillId="2" borderId="1" xfId="0" applyFont="1" applyFill="1" applyBorder="1"/>
    <xf numFmtId="0" fontId="13" fillId="2" borderId="10" xfId="0" applyFont="1" applyFill="1" applyBorder="1"/>
    <xf numFmtId="0" fontId="0" fillId="0" borderId="0" xfId="0" applyFill="1" applyBorder="1"/>
    <xf numFmtId="0" fontId="13" fillId="3" borderId="3" xfId="0" applyFont="1" applyFill="1" applyBorder="1" applyAlignment="1">
      <alignment horizontal="right"/>
    </xf>
    <xf numFmtId="167" fontId="13" fillId="3" borderId="4" xfId="2" applyNumberFormat="1" applyFont="1" applyFill="1" applyBorder="1" applyAlignment="1">
      <alignment horizontal="left"/>
    </xf>
    <xf numFmtId="167" fontId="13" fillId="3" borderId="4" xfId="0" applyNumberFormat="1" applyFont="1" applyFill="1" applyBorder="1"/>
    <xf numFmtId="0" fontId="13" fillId="3" borderId="5" xfId="0" applyFont="1" applyFill="1" applyBorder="1"/>
    <xf numFmtId="0" fontId="13" fillId="3" borderId="6" xfId="0" applyFont="1" applyFill="1" applyBorder="1"/>
    <xf numFmtId="0" fontId="13" fillId="3" borderId="0" xfId="0" applyFont="1" applyFill="1" applyBorder="1"/>
    <xf numFmtId="0" fontId="13" fillId="3" borderId="7" xfId="0" applyFont="1" applyFill="1" applyBorder="1"/>
    <xf numFmtId="167" fontId="13" fillId="3" borderId="0" xfId="0" applyNumberFormat="1" applyFont="1" applyFill="1" applyBorder="1"/>
    <xf numFmtId="44" fontId="15" fillId="3" borderId="0" xfId="0" applyNumberFormat="1" applyFont="1" applyFill="1" applyBorder="1"/>
    <xf numFmtId="44" fontId="13" fillId="3" borderId="0" xfId="0" applyNumberFormat="1" applyFont="1" applyFill="1" applyBorder="1"/>
    <xf numFmtId="2" fontId="11" fillId="3" borderId="11" xfId="0" applyNumberFormat="1" applyFont="1" applyFill="1" applyBorder="1"/>
    <xf numFmtId="10" fontId="11" fillId="3" borderId="0" xfId="5" applyNumberFormat="1" applyFont="1" applyFill="1" applyBorder="1"/>
    <xf numFmtId="44" fontId="11" fillId="3" borderId="11" xfId="5" applyNumberFormat="1" applyFont="1" applyFill="1" applyBorder="1"/>
    <xf numFmtId="0" fontId="13" fillId="3" borderId="9" xfId="0" applyFont="1" applyFill="1" applyBorder="1"/>
    <xf numFmtId="0" fontId="13" fillId="3" borderId="1" xfId="0" applyFont="1" applyFill="1" applyBorder="1"/>
    <xf numFmtId="0" fontId="13" fillId="3" borderId="10" xfId="0" applyFont="1" applyFill="1" applyBorder="1"/>
    <xf numFmtId="0" fontId="16" fillId="4" borderId="0" xfId="0" applyFont="1" applyFill="1" applyBorder="1"/>
    <xf numFmtId="0" fontId="16" fillId="4" borderId="0" xfId="0" applyFont="1" applyFill="1"/>
    <xf numFmtId="0" fontId="0" fillId="4" borderId="0" xfId="0" applyFill="1"/>
    <xf numFmtId="0" fontId="18" fillId="4" borderId="0" xfId="0" applyFont="1" applyFill="1" applyBorder="1"/>
    <xf numFmtId="0" fontId="19" fillId="4" borderId="0" xfId="0" applyFont="1" applyFill="1" applyBorder="1"/>
    <xf numFmtId="0" fontId="20" fillId="4" borderId="0" xfId="0" applyFont="1" applyFill="1" applyBorder="1"/>
    <xf numFmtId="0" fontId="21" fillId="4" borderId="0" xfId="0" applyFont="1" applyFill="1" applyBorder="1"/>
    <xf numFmtId="0" fontId="22" fillId="4" borderId="0" xfId="0" applyFont="1" applyFill="1" applyBorder="1"/>
    <xf numFmtId="0" fontId="11" fillId="4" borderId="0" xfId="0" applyFont="1" applyFill="1" applyBorder="1"/>
    <xf numFmtId="0" fontId="0" fillId="4" borderId="0" xfId="0" applyFill="1" applyBorder="1"/>
    <xf numFmtId="0" fontId="24" fillId="0" borderId="0" xfId="0" applyFont="1"/>
    <xf numFmtId="0" fontId="6" fillId="0" borderId="0" xfId="0" applyFont="1" applyAlignment="1"/>
    <xf numFmtId="0" fontId="13" fillId="2" borderId="4" xfId="0" applyFont="1" applyFill="1" applyBorder="1"/>
    <xf numFmtId="0" fontId="13" fillId="2" borderId="7" xfId="0" applyFont="1" applyFill="1" applyBorder="1"/>
    <xf numFmtId="169" fontId="14" fillId="2" borderId="0" xfId="1" applyNumberFormat="1" applyFont="1" applyFill="1" applyBorder="1"/>
    <xf numFmtId="10" fontId="14" fillId="2" borderId="0" xfId="5" applyNumberFormat="1" applyFont="1" applyFill="1" applyBorder="1"/>
    <xf numFmtId="0" fontId="24" fillId="3" borderId="3" xfId="0" applyFont="1" applyFill="1" applyBorder="1"/>
    <xf numFmtId="0" fontId="13" fillId="3" borderId="4" xfId="0" applyFont="1" applyFill="1" applyBorder="1"/>
    <xf numFmtId="0" fontId="24" fillId="3" borderId="6" xfId="0" applyFont="1" applyFill="1" applyBorder="1"/>
    <xf numFmtId="42" fontId="15" fillId="3" borderId="0" xfId="0" applyNumberFormat="1" applyFont="1" applyFill="1" applyBorder="1"/>
    <xf numFmtId="42" fontId="11" fillId="3" borderId="11" xfId="2" applyNumberFormat="1" applyFont="1" applyFill="1" applyBorder="1"/>
    <xf numFmtId="0" fontId="7" fillId="3" borderId="0" xfId="0" applyFont="1" applyFill="1" applyBorder="1"/>
    <xf numFmtId="42" fontId="11" fillId="3" borderId="0" xfId="2" applyNumberFormat="1" applyFont="1" applyFill="1" applyBorder="1"/>
    <xf numFmtId="173" fontId="11" fillId="3" borderId="11" xfId="2" applyNumberFormat="1" applyFont="1" applyFill="1" applyBorder="1"/>
    <xf numFmtId="0" fontId="25" fillId="0" borderId="0" xfId="0" applyFont="1"/>
    <xf numFmtId="0" fontId="13" fillId="2" borderId="3" xfId="0" applyFont="1" applyFill="1" applyBorder="1"/>
    <xf numFmtId="0" fontId="18" fillId="2" borderId="4" xfId="0" applyFont="1" applyFill="1" applyBorder="1"/>
    <xf numFmtId="0" fontId="0" fillId="2" borderId="5" xfId="0" applyFill="1" applyBorder="1"/>
    <xf numFmtId="0" fontId="13" fillId="2" borderId="6" xfId="0" applyFont="1" applyFill="1" applyBorder="1"/>
    <xf numFmtId="0" fontId="18" fillId="2" borderId="0" xfId="0" applyFont="1" applyFill="1" applyBorder="1"/>
    <xf numFmtId="167" fontId="14" fillId="2" borderId="0" xfId="2" applyNumberFormat="1" applyFont="1" applyFill="1" applyBorder="1" applyAlignment="1">
      <alignment horizontal="right"/>
    </xf>
    <xf numFmtId="0" fontId="0" fillId="2" borderId="7" xfId="0" applyFill="1" applyBorder="1"/>
    <xf numFmtId="9" fontId="14" fillId="2" borderId="0" xfId="5" applyFont="1" applyFill="1" applyBorder="1" applyAlignment="1">
      <alignment horizontal="right"/>
    </xf>
    <xf numFmtId="169" fontId="14" fillId="2" borderId="0" xfId="1" applyNumberFormat="1" applyFont="1" applyFill="1" applyBorder="1" applyAlignment="1">
      <alignment horizontal="right"/>
    </xf>
    <xf numFmtId="44" fontId="14" fillId="2" borderId="0" xfId="2" applyFont="1" applyFill="1" applyBorder="1" applyAlignment="1">
      <alignment horizontal="right"/>
    </xf>
    <xf numFmtId="10" fontId="18" fillId="2" borderId="0" xfId="5" applyNumberFormat="1" applyFont="1" applyFill="1" applyBorder="1" applyAlignment="1">
      <alignment horizontal="right"/>
    </xf>
    <xf numFmtId="167" fontId="26" fillId="2" borderId="0" xfId="2" applyNumberFormat="1" applyFont="1" applyFill="1" applyBorder="1" applyAlignment="1">
      <alignment horizontal="center"/>
    </xf>
    <xf numFmtId="0" fontId="26" fillId="2" borderId="0" xfId="0" applyFont="1" applyFill="1" applyBorder="1" applyAlignment="1">
      <alignment horizontal="center"/>
    </xf>
    <xf numFmtId="0" fontId="7" fillId="2" borderId="0" xfId="0" applyFont="1" applyFill="1" applyBorder="1" applyAlignment="1">
      <alignment horizontal="center"/>
    </xf>
    <xf numFmtId="167" fontId="14" fillId="2" borderId="0" xfId="2" applyNumberFormat="1" applyFont="1" applyFill="1" applyBorder="1"/>
    <xf numFmtId="0" fontId="13" fillId="2" borderId="9" xfId="0" applyFont="1" applyFill="1" applyBorder="1"/>
    <xf numFmtId="0" fontId="18" fillId="2" borderId="1" xfId="0" applyFont="1" applyFill="1" applyBorder="1"/>
    <xf numFmtId="0" fontId="0" fillId="2" borderId="10" xfId="0" applyFill="1" applyBorder="1"/>
    <xf numFmtId="0" fontId="18" fillId="3" borderId="3" xfId="0" applyFont="1" applyFill="1" applyBorder="1"/>
    <xf numFmtId="0" fontId="18" fillId="3" borderId="4" xfId="0" applyFont="1" applyFill="1" applyBorder="1"/>
    <xf numFmtId="0" fontId="0" fillId="3" borderId="5" xfId="0" applyFill="1" applyBorder="1"/>
    <xf numFmtId="0" fontId="18" fillId="3" borderId="6" xfId="0" applyFont="1" applyFill="1" applyBorder="1"/>
    <xf numFmtId="0" fontId="18" fillId="3" borderId="0" xfId="0" applyFont="1" applyFill="1" applyBorder="1" applyAlignment="1">
      <alignment horizontal="left"/>
    </xf>
    <xf numFmtId="0" fontId="18" fillId="3" borderId="0" xfId="0" applyFont="1" applyFill="1" applyBorder="1"/>
    <xf numFmtId="0" fontId="0" fillId="3" borderId="7" xfId="0" applyFill="1" applyBorder="1"/>
    <xf numFmtId="10" fontId="27" fillId="3" borderId="0" xfId="5" applyNumberFormat="1" applyFont="1" applyFill="1" applyBorder="1" applyAlignment="1">
      <alignment horizontal="right"/>
    </xf>
    <xf numFmtId="44" fontId="18" fillId="3" borderId="0" xfId="2" applyFont="1" applyFill="1" applyBorder="1" applyAlignment="1">
      <alignment horizontal="right"/>
    </xf>
    <xf numFmtId="0" fontId="26" fillId="3" borderId="0" xfId="0" applyFont="1" applyFill="1" applyBorder="1" applyAlignment="1">
      <alignment horizontal="center"/>
    </xf>
    <xf numFmtId="44" fontId="26" fillId="3" borderId="0" xfId="2" applyFont="1" applyFill="1" applyBorder="1" applyAlignment="1">
      <alignment horizontal="center"/>
    </xf>
    <xf numFmtId="44" fontId="28" fillId="3" borderId="0" xfId="2" applyNumberFormat="1" applyFont="1" applyFill="1" applyBorder="1" applyAlignment="1">
      <alignment horizontal="right"/>
    </xf>
    <xf numFmtId="44" fontId="28" fillId="3" borderId="0" xfId="2" applyNumberFormat="1" applyFont="1" applyFill="1" applyBorder="1"/>
    <xf numFmtId="167" fontId="18" fillId="3" borderId="0" xfId="2" applyNumberFormat="1" applyFont="1" applyFill="1" applyBorder="1" applyAlignment="1">
      <alignment horizontal="right"/>
    </xf>
    <xf numFmtId="167" fontId="18" fillId="3" borderId="0" xfId="2" applyNumberFormat="1" applyFont="1" applyFill="1" applyBorder="1"/>
    <xf numFmtId="44" fontId="28" fillId="3" borderId="0" xfId="2" applyFont="1" applyFill="1" applyBorder="1" applyAlignment="1">
      <alignment horizontal="right"/>
    </xf>
    <xf numFmtId="44" fontId="0" fillId="0" borderId="0" xfId="0" applyNumberFormat="1"/>
    <xf numFmtId="44" fontId="18" fillId="3" borderId="0" xfId="2" applyFont="1" applyFill="1" applyBorder="1"/>
    <xf numFmtId="0" fontId="15" fillId="3" borderId="0" xfId="0" applyFont="1" applyFill="1" applyBorder="1" applyAlignment="1">
      <alignment horizontal="left"/>
    </xf>
    <xf numFmtId="170" fontId="15" fillId="3" borderId="0" xfId="2" applyNumberFormat="1" applyFont="1" applyFill="1" applyBorder="1" applyAlignment="1">
      <alignment horizontal="center"/>
    </xf>
    <xf numFmtId="0" fontId="15" fillId="3" borderId="0" xfId="0" applyFont="1" applyFill="1" applyBorder="1"/>
    <xf numFmtId="0" fontId="15" fillId="3" borderId="0" xfId="0" applyFont="1" applyFill="1" applyBorder="1" applyAlignment="1">
      <alignment horizontal="center"/>
    </xf>
    <xf numFmtId="170" fontId="15" fillId="3" borderId="0" xfId="0" applyNumberFormat="1" applyFont="1" applyFill="1" applyBorder="1" applyAlignment="1">
      <alignment horizontal="center"/>
    </xf>
    <xf numFmtId="0" fontId="15" fillId="0" borderId="0" xfId="0" applyFont="1" applyFill="1" applyBorder="1"/>
    <xf numFmtId="170" fontId="15" fillId="3" borderId="0" xfId="5" applyNumberFormat="1" applyFont="1" applyFill="1" applyBorder="1" applyAlignment="1">
      <alignment horizontal="center"/>
    </xf>
    <xf numFmtId="44" fontId="15" fillId="3" borderId="0" xfId="5" applyNumberFormat="1" applyFont="1" applyFill="1" applyBorder="1" applyAlignment="1">
      <alignment horizontal="center"/>
    </xf>
    <xf numFmtId="44" fontId="11" fillId="3" borderId="0" xfId="5" applyNumberFormat="1" applyFont="1" applyFill="1" applyBorder="1" applyAlignment="1">
      <alignment horizontal="center"/>
    </xf>
    <xf numFmtId="0" fontId="18" fillId="3" borderId="9" xfId="0" applyFont="1" applyFill="1" applyBorder="1"/>
    <xf numFmtId="0" fontId="18" fillId="3" borderId="1" xfId="0" applyFont="1" applyFill="1" applyBorder="1"/>
    <xf numFmtId="0" fontId="0" fillId="3" borderId="10" xfId="0" applyFill="1" applyBorder="1"/>
    <xf numFmtId="0" fontId="13" fillId="0" borderId="0" xfId="0" applyFont="1" applyFill="1"/>
    <xf numFmtId="41" fontId="14" fillId="2" borderId="0" xfId="0" applyNumberFormat="1" applyFont="1" applyFill="1" applyBorder="1"/>
    <xf numFmtId="174" fontId="14" fillId="2" borderId="0" xfId="5" applyNumberFormat="1" applyFont="1" applyFill="1" applyBorder="1"/>
    <xf numFmtId="41" fontId="14" fillId="2" borderId="0" xfId="5" applyNumberFormat="1" applyFont="1" applyFill="1" applyBorder="1"/>
    <xf numFmtId="0" fontId="13" fillId="3" borderId="3" xfId="0" applyFont="1" applyFill="1" applyBorder="1"/>
    <xf numFmtId="8" fontId="13" fillId="0" borderId="0" xfId="0" applyNumberFormat="1" applyFont="1"/>
    <xf numFmtId="0" fontId="7" fillId="3" borderId="6" xfId="0" applyFont="1" applyFill="1" applyBorder="1"/>
    <xf numFmtId="44" fontId="11" fillId="3" borderId="11" xfId="2" applyNumberFormat="1" applyFont="1" applyFill="1" applyBorder="1"/>
    <xf numFmtId="167" fontId="11" fillId="3" borderId="0" xfId="2" applyNumberFormat="1" applyFont="1" applyFill="1" applyBorder="1"/>
    <xf numFmtId="0" fontId="28" fillId="3" borderId="1" xfId="0" applyFont="1" applyFill="1" applyBorder="1"/>
    <xf numFmtId="0" fontId="7" fillId="3" borderId="6" xfId="0" quotePrefix="1" applyFont="1" applyFill="1" applyBorder="1"/>
    <xf numFmtId="41" fontId="9" fillId="2" borderId="0" xfId="0" applyNumberFormat="1" applyFont="1" applyFill="1" applyBorder="1"/>
    <xf numFmtId="41" fontId="9" fillId="2" borderId="12" xfId="0" applyNumberFormat="1" applyFont="1" applyFill="1" applyBorder="1"/>
    <xf numFmtId="175" fontId="9" fillId="2" borderId="0" xfId="5" applyNumberFormat="1" applyFont="1" applyFill="1" applyBorder="1"/>
    <xf numFmtId="176" fontId="9" fillId="2" borderId="0" xfId="0" applyNumberFormat="1" applyFont="1" applyFill="1" applyBorder="1"/>
    <xf numFmtId="43" fontId="10" fillId="3" borderId="0" xfId="0" applyNumberFormat="1" applyFont="1" applyFill="1" applyBorder="1"/>
    <xf numFmtId="0" fontId="0" fillId="3" borderId="0" xfId="0" applyFill="1" applyBorder="1"/>
    <xf numFmtId="0" fontId="29" fillId="3" borderId="0" xfId="0" applyFont="1" applyFill="1" applyBorder="1" applyAlignment="1">
      <alignment horizontal="right"/>
    </xf>
    <xf numFmtId="0" fontId="10" fillId="3" borderId="12" xfId="0" applyFont="1" applyFill="1" applyBorder="1"/>
    <xf numFmtId="0" fontId="3" fillId="3" borderId="0" xfId="0" applyFont="1" applyFill="1" applyBorder="1"/>
    <xf numFmtId="0" fontId="30" fillId="3" borderId="0" xfId="0" applyFont="1" applyFill="1" applyBorder="1"/>
    <xf numFmtId="175" fontId="11" fillId="3" borderId="11" xfId="0" applyNumberFormat="1" applyFont="1" applyFill="1" applyBorder="1"/>
    <xf numFmtId="175" fontId="10" fillId="3" borderId="0" xfId="0" applyNumberFormat="1" applyFont="1" applyFill="1" applyBorder="1"/>
    <xf numFmtId="0" fontId="13" fillId="2" borderId="0" xfId="0" applyFont="1" applyFill="1" applyBorder="1" applyAlignment="1">
      <alignment vertical="top" wrapText="1"/>
    </xf>
    <xf numFmtId="0" fontId="7" fillId="2" borderId="0" xfId="0" applyFont="1" applyFill="1" applyBorder="1" applyAlignment="1">
      <alignment horizontal="center" vertical="top" wrapText="1"/>
    </xf>
    <xf numFmtId="42" fontId="14" fillId="2" borderId="0" xfId="0" applyNumberFormat="1" applyFont="1" applyFill="1" applyBorder="1" applyAlignment="1">
      <alignment horizontal="center" vertical="top" wrapText="1"/>
    </xf>
    <xf numFmtId="10" fontId="14" fillId="2" borderId="0" xfId="5" applyNumberFormat="1" applyFont="1" applyFill="1" applyBorder="1" applyAlignment="1">
      <alignment horizontal="center" vertical="top" wrapText="1"/>
    </xf>
    <xf numFmtId="0" fontId="14" fillId="2" borderId="0" xfId="0" applyFont="1" applyFill="1" applyBorder="1" applyAlignment="1">
      <alignment horizontal="center" vertical="top" wrapText="1"/>
    </xf>
    <xf numFmtId="179" fontId="15" fillId="3" borderId="0" xfId="5" applyNumberFormat="1" applyFont="1" applyFill="1" applyBorder="1"/>
    <xf numFmtId="178" fontId="15" fillId="3" borderId="0" xfId="5" applyNumberFormat="1" applyFont="1" applyFill="1" applyBorder="1"/>
    <xf numFmtId="166" fontId="15" fillId="3" borderId="0" xfId="0" applyNumberFormat="1" applyFont="1" applyFill="1" applyBorder="1"/>
    <xf numFmtId="42" fontId="14" fillId="2" borderId="0" xfId="2" applyNumberFormat="1" applyFont="1" applyFill="1" applyBorder="1"/>
    <xf numFmtId="175" fontId="15" fillId="3" borderId="0" xfId="0" applyNumberFormat="1" applyFont="1" applyFill="1" applyBorder="1"/>
    <xf numFmtId="0" fontId="28" fillId="3" borderId="0" xfId="0" applyFont="1" applyFill="1" applyBorder="1"/>
    <xf numFmtId="44" fontId="11" fillId="3" borderId="11" xfId="2" applyFont="1" applyFill="1" applyBorder="1"/>
    <xf numFmtId="0" fontId="0" fillId="0" borderId="13" xfId="0" applyFill="1" applyBorder="1" applyAlignment="1"/>
    <xf numFmtId="44" fontId="0" fillId="0" borderId="13" xfId="0" applyNumberFormat="1" applyFill="1" applyBorder="1" applyAlignment="1"/>
    <xf numFmtId="10" fontId="0" fillId="0" borderId="13" xfId="0" applyNumberFormat="1" applyFill="1" applyBorder="1" applyAlignment="1"/>
    <xf numFmtId="0" fontId="13" fillId="0" borderId="0" xfId="0" applyFont="1" applyAlignment="1">
      <alignment horizontal="left"/>
    </xf>
    <xf numFmtId="0" fontId="13" fillId="0" borderId="0" xfId="0" applyFont="1" applyBorder="1" applyAlignment="1">
      <alignment horizontal="left"/>
    </xf>
    <xf numFmtId="0" fontId="7" fillId="2" borderId="4" xfId="0" applyFont="1" applyFill="1" applyBorder="1"/>
    <xf numFmtId="0" fontId="13" fillId="2" borderId="4" xfId="0" applyFont="1" applyFill="1" applyBorder="1" applyAlignment="1">
      <alignment horizontal="left"/>
    </xf>
    <xf numFmtId="0" fontId="13" fillId="2" borderId="0" xfId="0" applyFont="1" applyFill="1" applyBorder="1" applyAlignment="1">
      <alignment horizontal="left"/>
    </xf>
    <xf numFmtId="0" fontId="0" fillId="2" borderId="0" xfId="0" applyFill="1" applyBorder="1" applyAlignment="1">
      <alignment horizontal="left"/>
    </xf>
    <xf numFmtId="0" fontId="16" fillId="2" borderId="0" xfId="0" applyFont="1" applyFill="1" applyBorder="1"/>
    <xf numFmtId="42" fontId="0" fillId="2" borderId="0" xfId="0" applyNumberFormat="1" applyFill="1" applyBorder="1" applyAlignment="1">
      <alignment horizontal="left"/>
    </xf>
    <xf numFmtId="42" fontId="7" fillId="2" borderId="0" xfId="5" applyNumberFormat="1" applyFont="1" applyFill="1" applyBorder="1" applyAlignment="1">
      <alignment horizontal="right"/>
    </xf>
    <xf numFmtId="10" fontId="9" fillId="2" borderId="0" xfId="5" applyNumberFormat="1" applyFont="1" applyFill="1" applyBorder="1" applyAlignment="1">
      <alignment horizontal="right"/>
    </xf>
    <xf numFmtId="10" fontId="9" fillId="2" borderId="12" xfId="5" applyNumberFormat="1" applyFont="1" applyFill="1" applyBorder="1" applyAlignment="1">
      <alignment horizontal="right"/>
    </xf>
    <xf numFmtId="0" fontId="13" fillId="2" borderId="1" xfId="0" applyFont="1" applyFill="1" applyBorder="1" applyAlignment="1">
      <alignment horizontal="left"/>
    </xf>
    <xf numFmtId="0" fontId="0" fillId="3" borderId="3" xfId="0" applyFill="1" applyBorder="1"/>
    <xf numFmtId="39" fontId="13" fillId="3" borderId="4" xfId="0" applyNumberFormat="1" applyFont="1" applyFill="1" applyBorder="1" applyAlignment="1">
      <alignment horizontal="left"/>
    </xf>
    <xf numFmtId="39" fontId="18" fillId="3" borderId="4" xfId="0" applyNumberFormat="1" applyFont="1" applyFill="1" applyBorder="1"/>
    <xf numFmtId="39" fontId="13" fillId="3" borderId="0" xfId="0" applyNumberFormat="1" applyFont="1" applyFill="1" applyBorder="1" applyAlignment="1">
      <alignment horizontal="right"/>
    </xf>
    <xf numFmtId="39" fontId="15" fillId="3" borderId="0" xfId="0" applyNumberFormat="1" applyFont="1" applyFill="1" applyBorder="1" applyAlignment="1">
      <alignment horizontal="right"/>
    </xf>
    <xf numFmtId="10" fontId="15" fillId="3" borderId="0" xfId="5" applyNumberFormat="1" applyFont="1" applyFill="1" applyBorder="1" applyAlignment="1">
      <alignment horizontal="right"/>
    </xf>
    <xf numFmtId="0" fontId="13" fillId="3" borderId="0" xfId="0" applyFont="1" applyFill="1" applyBorder="1" applyAlignment="1"/>
    <xf numFmtId="44" fontId="11" fillId="3" borderId="11" xfId="5" applyNumberFormat="1" applyFont="1" applyFill="1" applyBorder="1" applyAlignment="1">
      <alignment horizontal="right"/>
    </xf>
    <xf numFmtId="44" fontId="11" fillId="3" borderId="0" xfId="5" applyNumberFormat="1" applyFont="1" applyFill="1" applyBorder="1" applyAlignment="1">
      <alignment horizontal="right"/>
    </xf>
    <xf numFmtId="44" fontId="15" fillId="3" borderId="0" xfId="5" applyNumberFormat="1" applyFont="1" applyFill="1" applyBorder="1" applyAlignment="1">
      <alignment horizontal="right"/>
    </xf>
    <xf numFmtId="10" fontId="11" fillId="3" borderId="0" xfId="5" applyNumberFormat="1" applyFont="1" applyFill="1" applyBorder="1" applyAlignment="1">
      <alignment horizontal="right"/>
    </xf>
    <xf numFmtId="43" fontId="11" fillId="3" borderId="0" xfId="5" applyNumberFormat="1" applyFont="1" applyFill="1" applyBorder="1" applyAlignment="1">
      <alignment horizontal="right"/>
    </xf>
    <xf numFmtId="43" fontId="11" fillId="3" borderId="11" xfId="5" applyNumberFormat="1" applyFont="1" applyFill="1" applyBorder="1" applyAlignment="1">
      <alignment horizontal="right"/>
    </xf>
    <xf numFmtId="10" fontId="11" fillId="3" borderId="11" xfId="5" applyNumberFormat="1" applyFont="1" applyFill="1" applyBorder="1" applyAlignment="1">
      <alignment horizontal="right"/>
    </xf>
    <xf numFmtId="39" fontId="18" fillId="3" borderId="1" xfId="0" applyNumberFormat="1" applyFont="1" applyFill="1" applyBorder="1" applyAlignment="1">
      <alignment horizontal="left"/>
    </xf>
    <xf numFmtId="39" fontId="18" fillId="3" borderId="1" xfId="2" applyNumberFormat="1" applyFont="1" applyFill="1" applyBorder="1" applyAlignment="1">
      <alignment horizontal="left"/>
    </xf>
    <xf numFmtId="0" fontId="13" fillId="3" borderId="1" xfId="0" applyFont="1" applyFill="1" applyBorder="1" applyAlignment="1">
      <alignment horizontal="left"/>
    </xf>
    <xf numFmtId="10" fontId="14" fillId="2" borderId="0" xfId="5" applyNumberFormat="1" applyFont="1" applyFill="1" applyBorder="1" applyAlignment="1">
      <alignment horizontal="right"/>
    </xf>
    <xf numFmtId="0" fontId="32" fillId="2" borderId="0" xfId="0" applyFont="1" applyFill="1" applyBorder="1" applyAlignment="1">
      <alignment horizontal="center"/>
    </xf>
    <xf numFmtId="42" fontId="33" fillId="2" borderId="0" xfId="0" applyNumberFormat="1" applyFont="1" applyFill="1" applyBorder="1" applyAlignment="1">
      <alignment horizontal="center"/>
    </xf>
    <xf numFmtId="0" fontId="13" fillId="2" borderId="0" xfId="0" applyFont="1" applyFill="1" applyBorder="1" applyAlignment="1">
      <alignment horizontal="center"/>
    </xf>
    <xf numFmtId="42" fontId="14" fillId="2" borderId="0" xfId="0" applyNumberFormat="1" applyFont="1" applyFill="1" applyBorder="1" applyAlignment="1">
      <alignment horizontal="left"/>
    </xf>
    <xf numFmtId="42" fontId="14" fillId="2" borderId="0" xfId="5" applyNumberFormat="1" applyFont="1" applyFill="1" applyBorder="1" applyAlignment="1">
      <alignment horizontal="left"/>
    </xf>
    <xf numFmtId="0" fontId="0" fillId="3" borderId="6" xfId="0" applyFill="1" applyBorder="1"/>
    <xf numFmtId="39" fontId="11" fillId="3" borderId="11" xfId="0" applyNumberFormat="1" applyFont="1" applyFill="1" applyBorder="1" applyAlignment="1">
      <alignment horizontal="right"/>
    </xf>
    <xf numFmtId="39" fontId="13" fillId="3" borderId="0" xfId="0" applyNumberFormat="1" applyFont="1" applyFill="1" applyBorder="1" applyAlignment="1">
      <alignment horizontal="left"/>
    </xf>
    <xf numFmtId="39" fontId="18" fillId="3" borderId="0" xfId="0" applyNumberFormat="1" applyFont="1" applyFill="1" applyBorder="1"/>
    <xf numFmtId="39" fontId="13" fillId="3" borderId="0" xfId="2" quotePrefix="1" applyNumberFormat="1" applyFont="1" applyFill="1" applyBorder="1" applyAlignment="1">
      <alignment horizontal="left"/>
    </xf>
    <xf numFmtId="0" fontId="13" fillId="3" borderId="0" xfId="0" applyFont="1" applyFill="1" applyBorder="1" applyAlignment="1">
      <alignment horizontal="left"/>
    </xf>
    <xf numFmtId="39" fontId="13" fillId="3" borderId="0" xfId="2" applyNumberFormat="1" applyFont="1" applyFill="1" applyBorder="1" applyAlignment="1">
      <alignment horizontal="left"/>
    </xf>
    <xf numFmtId="44" fontId="11" fillId="3" borderId="11" xfId="0" applyNumberFormat="1" applyFont="1" applyFill="1" applyBorder="1" applyAlignment="1">
      <alignment horizontal="right"/>
    </xf>
    <xf numFmtId="0" fontId="0" fillId="3" borderId="9" xfId="0" applyFill="1" applyBorder="1"/>
    <xf numFmtId="0" fontId="34" fillId="4" borderId="0" xfId="0" applyFont="1" applyFill="1" applyBorder="1"/>
    <xf numFmtId="0" fontId="13" fillId="0" borderId="0" xfId="0" applyFont="1" applyBorder="1"/>
    <xf numFmtId="41" fontId="14" fillId="2" borderId="12" xfId="0" applyNumberFormat="1" applyFont="1" applyFill="1" applyBorder="1"/>
    <xf numFmtId="42" fontId="15" fillId="2" borderId="0" xfId="0" applyNumberFormat="1" applyFont="1" applyFill="1" applyBorder="1"/>
    <xf numFmtId="42" fontId="14" fillId="2" borderId="12" xfId="0" applyNumberFormat="1" applyFont="1" applyFill="1" applyBorder="1"/>
    <xf numFmtId="0" fontId="0" fillId="0" borderId="0" xfId="0" applyBorder="1"/>
    <xf numFmtId="0" fontId="13" fillId="0" borderId="0" xfId="0" applyFont="1" applyFill="1" applyBorder="1" applyAlignment="1">
      <alignment horizontal="right"/>
    </xf>
    <xf numFmtId="0" fontId="13" fillId="0" borderId="0" xfId="0" applyFont="1" applyFill="1" applyBorder="1"/>
    <xf numFmtId="0" fontId="7" fillId="3" borderId="0" xfId="0" applyFont="1" applyFill="1" applyBorder="1" applyAlignment="1"/>
    <xf numFmtId="167" fontId="11" fillId="0" borderId="0" xfId="0" applyNumberFormat="1" applyFont="1" applyFill="1" applyBorder="1"/>
    <xf numFmtId="41" fontId="15" fillId="3" borderId="0" xfId="0" applyNumberFormat="1" applyFont="1" applyFill="1" applyBorder="1"/>
    <xf numFmtId="0" fontId="13" fillId="0" borderId="0" xfId="0" applyFont="1" applyAlignment="1">
      <alignment horizontal="right"/>
    </xf>
    <xf numFmtId="0" fontId="13" fillId="3" borderId="0" xfId="0" quotePrefix="1" applyFont="1" applyFill="1" applyBorder="1"/>
    <xf numFmtId="41" fontId="15" fillId="3" borderId="12" xfId="0" applyNumberFormat="1" applyFont="1" applyFill="1" applyBorder="1"/>
    <xf numFmtId="169" fontId="15" fillId="0" borderId="0" xfId="0" applyNumberFormat="1" applyFont="1" applyFill="1" applyBorder="1"/>
    <xf numFmtId="42" fontId="15" fillId="3" borderId="0" xfId="0" applyNumberFormat="1" applyFont="1" applyFill="1" applyBorder="1" applyAlignment="1"/>
    <xf numFmtId="42" fontId="15" fillId="3" borderId="12" xfId="0" applyNumberFormat="1" applyFont="1" applyFill="1" applyBorder="1" applyAlignment="1"/>
    <xf numFmtId="0" fontId="0" fillId="3" borderId="3" xfId="0" applyFill="1" applyBorder="1" applyAlignment="1">
      <alignment horizontal="right"/>
    </xf>
    <xf numFmtId="0" fontId="0" fillId="3" borderId="6" xfId="0" applyFill="1" applyBorder="1" applyAlignment="1">
      <alignment horizontal="right"/>
    </xf>
    <xf numFmtId="167" fontId="14" fillId="3" borderId="7" xfId="2" applyNumberFormat="1" applyFont="1" applyFill="1" applyBorder="1"/>
    <xf numFmtId="167" fontId="14" fillId="0" borderId="0" xfId="2" applyNumberFormat="1" applyFont="1" applyFill="1" applyBorder="1"/>
    <xf numFmtId="41" fontId="14" fillId="3" borderId="7" xfId="2" applyNumberFormat="1" applyFont="1" applyFill="1" applyBorder="1"/>
    <xf numFmtId="41" fontId="14" fillId="0" borderId="0" xfId="2" applyNumberFormat="1" applyFont="1" applyFill="1" applyBorder="1"/>
    <xf numFmtId="0" fontId="0" fillId="3" borderId="9" xfId="0" applyFill="1" applyBorder="1" applyAlignment="1">
      <alignment horizontal="right"/>
    </xf>
    <xf numFmtId="0" fontId="13" fillId="3" borderId="10" xfId="0" applyFont="1" applyFill="1" applyBorder="1" applyAlignment="1">
      <alignment horizontal="right"/>
    </xf>
    <xf numFmtId="167" fontId="37" fillId="3" borderId="7" xfId="2" applyNumberFormat="1" applyFont="1" applyFill="1" applyBorder="1"/>
    <xf numFmtId="167" fontId="37" fillId="0" borderId="0" xfId="2" applyNumberFormat="1" applyFont="1" applyFill="1" applyBorder="1"/>
    <xf numFmtId="167" fontId="13" fillId="3" borderId="7" xfId="2" applyNumberFormat="1" applyFont="1" applyFill="1" applyBorder="1"/>
    <xf numFmtId="167" fontId="13" fillId="0" borderId="0" xfId="2" applyNumberFormat="1" applyFont="1" applyFill="1" applyBorder="1"/>
    <xf numFmtId="41" fontId="15" fillId="3" borderId="12" xfId="0" applyNumberFormat="1" applyFont="1" applyFill="1" applyBorder="1" applyAlignment="1">
      <alignment horizontal="left"/>
    </xf>
    <xf numFmtId="167" fontId="13" fillId="3" borderId="7" xfId="0" applyNumberFormat="1" applyFont="1" applyFill="1" applyBorder="1" applyAlignment="1">
      <alignment horizontal="left"/>
    </xf>
    <xf numFmtId="167" fontId="13" fillId="0" borderId="0" xfId="0" applyNumberFormat="1" applyFont="1" applyFill="1" applyBorder="1" applyAlignment="1">
      <alignment horizontal="left"/>
    </xf>
    <xf numFmtId="0" fontId="0" fillId="0" borderId="14" xfId="0" applyFill="1" applyBorder="1" applyAlignment="1">
      <alignment horizontal="right"/>
    </xf>
    <xf numFmtId="0" fontId="13" fillId="0" borderId="14" xfId="0" applyFont="1" applyFill="1" applyBorder="1"/>
    <xf numFmtId="42" fontId="15" fillId="0" borderId="14" xfId="0" applyNumberFormat="1" applyFont="1" applyFill="1" applyBorder="1"/>
    <xf numFmtId="0" fontId="24" fillId="3" borderId="0" xfId="0" applyFont="1" applyFill="1" applyBorder="1"/>
    <xf numFmtId="42" fontId="15" fillId="3" borderId="8" xfId="0" applyNumberFormat="1" applyFont="1" applyFill="1" applyBorder="1"/>
    <xf numFmtId="41" fontId="10" fillId="3" borderId="12" xfId="0" applyNumberFormat="1" applyFont="1" applyFill="1" applyBorder="1"/>
    <xf numFmtId="42" fontId="10" fillId="3" borderId="8" xfId="0" applyNumberFormat="1" applyFont="1" applyFill="1" applyBorder="1"/>
    <xf numFmtId="42" fontId="15" fillId="3" borderId="15" xfId="0" applyNumberFormat="1" applyFont="1" applyFill="1" applyBorder="1"/>
    <xf numFmtId="41" fontId="14" fillId="2" borderId="0" xfId="0" applyNumberFormat="1" applyFont="1" applyFill="1" applyBorder="1" applyAlignment="1">
      <alignment horizontal="left"/>
    </xf>
    <xf numFmtId="41" fontId="14" fillId="2" borderId="0" xfId="5" applyNumberFormat="1" applyFont="1" applyFill="1" applyBorder="1" applyAlignment="1">
      <alignment horizontal="left"/>
    </xf>
    <xf numFmtId="41" fontId="14" fillId="2" borderId="12" xfId="5" applyNumberFormat="1" applyFont="1" applyFill="1" applyBorder="1" applyAlignment="1">
      <alignment horizontal="left"/>
    </xf>
    <xf numFmtId="42" fontId="16" fillId="2" borderId="0" xfId="0" applyNumberFormat="1" applyFont="1" applyFill="1" applyBorder="1"/>
    <xf numFmtId="177" fontId="14" fillId="2" borderId="0" xfId="5" applyNumberFormat="1" applyFont="1" applyFill="1" applyBorder="1" applyAlignment="1">
      <alignment horizontal="left"/>
    </xf>
    <xf numFmtId="0" fontId="13" fillId="2" borderId="0" xfId="0" applyFont="1" applyFill="1" applyBorder="1" applyAlignment="1"/>
    <xf numFmtId="42" fontId="38" fillId="2" borderId="0" xfId="0" applyNumberFormat="1" applyFont="1" applyFill="1" applyBorder="1" applyAlignment="1">
      <alignment horizontal="left"/>
    </xf>
    <xf numFmtId="41" fontId="14" fillId="2" borderId="12" xfId="0" applyNumberFormat="1" applyFont="1" applyFill="1" applyBorder="1" applyAlignment="1">
      <alignment horizontal="left"/>
    </xf>
    <xf numFmtId="37" fontId="14" fillId="2" borderId="0" xfId="0" applyNumberFormat="1" applyFont="1" applyFill="1" applyBorder="1"/>
    <xf numFmtId="9" fontId="9" fillId="2" borderId="0" xfId="5" applyFont="1" applyFill="1" applyBorder="1" applyAlignment="1">
      <alignment horizontal="right"/>
    </xf>
    <xf numFmtId="42" fontId="9" fillId="2" borderId="0" xfId="0" applyNumberFormat="1" applyFont="1" applyFill="1" applyBorder="1" applyAlignment="1">
      <alignment horizontal="left"/>
    </xf>
    <xf numFmtId="39" fontId="11" fillId="3" borderId="0" xfId="0" applyNumberFormat="1" applyFont="1" applyFill="1" applyBorder="1" applyAlignment="1">
      <alignment horizontal="right"/>
    </xf>
    <xf numFmtId="39" fontId="24" fillId="3" borderId="0" xfId="0" applyNumberFormat="1" applyFont="1" applyFill="1" applyBorder="1"/>
    <xf numFmtId="0" fontId="39" fillId="3" borderId="6" xfId="0" applyFont="1" applyFill="1" applyBorder="1"/>
    <xf numFmtId="39" fontId="13" fillId="3" borderId="0" xfId="0" applyNumberFormat="1" applyFont="1" applyFill="1" applyBorder="1"/>
    <xf numFmtId="42" fontId="15" fillId="3" borderId="0" xfId="0" applyNumberFormat="1" applyFont="1" applyFill="1" applyBorder="1" applyAlignment="1">
      <alignment horizontal="left"/>
    </xf>
    <xf numFmtId="41" fontId="15" fillId="3" borderId="0" xfId="0" applyNumberFormat="1" applyFont="1" applyFill="1" applyBorder="1" applyAlignment="1">
      <alignment horizontal="left"/>
    </xf>
    <xf numFmtId="42" fontId="15" fillId="3" borderId="8" xfId="0" applyNumberFormat="1" applyFont="1" applyFill="1" applyBorder="1" applyAlignment="1">
      <alignment horizontal="left"/>
    </xf>
    <xf numFmtId="42" fontId="38" fillId="3" borderId="0" xfId="0" applyNumberFormat="1" applyFont="1" applyFill="1" applyBorder="1" applyAlignment="1">
      <alignment horizontal="left"/>
    </xf>
    <xf numFmtId="42" fontId="16" fillId="3" borderId="0" xfId="0" applyNumberFormat="1" applyFont="1" applyFill="1" applyBorder="1"/>
    <xf numFmtId="42" fontId="14" fillId="3" borderId="0" xfId="0" applyNumberFormat="1" applyFont="1" applyFill="1" applyBorder="1"/>
    <xf numFmtId="42" fontId="11" fillId="3" borderId="0" xfId="2" applyNumberFormat="1" applyFont="1" applyFill="1" applyBorder="1" applyAlignment="1">
      <alignment horizontal="right"/>
    </xf>
    <xf numFmtId="0" fontId="0" fillId="3" borderId="0" xfId="0" applyFill="1" applyAlignment="1">
      <alignment horizontal="left"/>
    </xf>
    <xf numFmtId="42" fontId="14" fillId="3" borderId="0" xfId="2" applyNumberFormat="1" applyFont="1" applyFill="1" applyBorder="1" applyAlignment="1">
      <alignment horizontal="right"/>
    </xf>
    <xf numFmtId="42" fontId="15" fillId="3" borderId="0" xfId="0" applyNumberFormat="1" applyFont="1" applyFill="1" applyBorder="1" applyAlignment="1">
      <alignment horizontal="right"/>
    </xf>
    <xf numFmtId="41" fontId="15" fillId="3" borderId="0" xfId="0" applyNumberFormat="1" applyFont="1" applyFill="1" applyBorder="1" applyAlignment="1">
      <alignment horizontal="right"/>
    </xf>
    <xf numFmtId="41" fontId="15" fillId="3" borderId="12" xfId="0" applyNumberFormat="1" applyFont="1" applyFill="1" applyBorder="1" applyAlignment="1">
      <alignment horizontal="right"/>
    </xf>
    <xf numFmtId="39" fontId="18" fillId="3" borderId="1" xfId="0" applyNumberFormat="1" applyFont="1" applyFill="1" applyBorder="1"/>
    <xf numFmtId="177" fontId="14" fillId="2" borderId="0" xfId="5" applyNumberFormat="1" applyFont="1" applyFill="1" applyBorder="1" applyAlignment="1">
      <alignment horizontal="right"/>
    </xf>
    <xf numFmtId="0" fontId="0" fillId="2" borderId="4" xfId="0" applyFill="1" applyBorder="1"/>
    <xf numFmtId="167" fontId="9" fillId="2" borderId="0" xfId="2" applyNumberFormat="1" applyFont="1" applyFill="1" applyBorder="1"/>
    <xf numFmtId="41" fontId="9" fillId="2" borderId="0" xfId="2" applyNumberFormat="1" applyFont="1" applyFill="1" applyBorder="1"/>
    <xf numFmtId="6" fontId="9" fillId="2" borderId="0" xfId="0" applyNumberFormat="1" applyFont="1" applyFill="1" applyBorder="1"/>
    <xf numFmtId="9" fontId="9" fillId="2" borderId="0" xfId="0" applyNumberFormat="1" applyFont="1" applyFill="1" applyBorder="1"/>
    <xf numFmtId="9" fontId="9" fillId="2" borderId="1" xfId="5" applyFont="1" applyFill="1" applyBorder="1"/>
    <xf numFmtId="9" fontId="9" fillId="0" borderId="0" xfId="5" applyFont="1"/>
    <xf numFmtId="9" fontId="9" fillId="3" borderId="4" xfId="5" applyFont="1" applyFill="1" applyBorder="1"/>
    <xf numFmtId="0" fontId="0" fillId="3" borderId="4" xfId="0" applyFill="1" applyBorder="1"/>
    <xf numFmtId="169" fontId="10" fillId="3" borderId="0" xfId="0" applyNumberFormat="1" applyFont="1" applyFill="1" applyBorder="1"/>
    <xf numFmtId="169" fontId="10" fillId="3" borderId="12" xfId="0" applyNumberFormat="1" applyFont="1" applyFill="1" applyBorder="1"/>
    <xf numFmtId="5" fontId="10" fillId="3" borderId="0" xfId="0" applyNumberFormat="1" applyFont="1" applyFill="1" applyBorder="1"/>
    <xf numFmtId="6" fontId="5" fillId="3" borderId="0" xfId="0" applyNumberFormat="1" applyFont="1" applyFill="1" applyBorder="1"/>
    <xf numFmtId="0" fontId="12" fillId="3" borderId="0" xfId="0" applyFont="1" applyFill="1" applyBorder="1" applyAlignment="1">
      <alignment horizontal="center"/>
    </xf>
    <xf numFmtId="41" fontId="10" fillId="3" borderId="0" xfId="0" applyNumberFormat="1" applyFont="1" applyFill="1" applyBorder="1"/>
    <xf numFmtId="42" fontId="40" fillId="3" borderId="12" xfId="0" applyNumberFormat="1" applyFont="1" applyFill="1" applyBorder="1"/>
    <xf numFmtId="0" fontId="5" fillId="3" borderId="0" xfId="0" quotePrefix="1" applyFont="1" applyFill="1" applyBorder="1"/>
    <xf numFmtId="0" fontId="5" fillId="3" borderId="0" xfId="0" applyFont="1" applyFill="1" applyBorder="1" applyAlignment="1">
      <alignment horizontal="center"/>
    </xf>
    <xf numFmtId="0" fontId="5" fillId="3" borderId="0" xfId="0" applyFont="1" applyFill="1" applyBorder="1" applyAlignment="1">
      <alignment horizontal="right"/>
    </xf>
    <xf numFmtId="41" fontId="5" fillId="3" borderId="0" xfId="0" applyNumberFormat="1" applyFont="1" applyFill="1" applyBorder="1"/>
    <xf numFmtId="0" fontId="0" fillId="3" borderId="1" xfId="0" applyFill="1" applyBorder="1"/>
    <xf numFmtId="0" fontId="41" fillId="2" borderId="3" xfId="0" applyFont="1" applyFill="1" applyBorder="1"/>
    <xf numFmtId="0" fontId="41" fillId="2" borderId="4" xfId="0" applyFont="1" applyFill="1" applyBorder="1"/>
    <xf numFmtId="0" fontId="41" fillId="2" borderId="6" xfId="0" applyFont="1" applyFill="1" applyBorder="1"/>
    <xf numFmtId="0" fontId="41" fillId="2" borderId="0" xfId="0" applyFont="1" applyFill="1" applyBorder="1"/>
    <xf numFmtId="0" fontId="0" fillId="2" borderId="0" xfId="0" applyFill="1" applyBorder="1"/>
    <xf numFmtId="0" fontId="26" fillId="2" borderId="0" xfId="0" applyFont="1" applyFill="1" applyBorder="1"/>
    <xf numFmtId="42" fontId="14" fillId="2" borderId="0" xfId="5" applyNumberFormat="1" applyFont="1" applyFill="1" applyBorder="1"/>
    <xf numFmtId="41" fontId="41" fillId="2" borderId="0" xfId="0" applyNumberFormat="1" applyFont="1" applyFill="1" applyBorder="1"/>
    <xf numFmtId="41" fontId="0" fillId="2" borderId="0" xfId="0" applyNumberFormat="1" applyFill="1" applyBorder="1"/>
    <xf numFmtId="0" fontId="41" fillId="2" borderId="9" xfId="0" applyFont="1" applyFill="1" applyBorder="1"/>
    <xf numFmtId="1" fontId="36" fillId="2" borderId="1" xfId="0" applyNumberFormat="1" applyFont="1" applyFill="1" applyBorder="1"/>
    <xf numFmtId="0" fontId="41" fillId="2" borderId="1" xfId="0" applyFont="1" applyFill="1" applyBorder="1"/>
    <xf numFmtId="0" fontId="0" fillId="2" borderId="1" xfId="0" applyFill="1" applyBorder="1"/>
    <xf numFmtId="0" fontId="16" fillId="3" borderId="3" xfId="0" applyFont="1" applyFill="1" applyBorder="1"/>
    <xf numFmtId="0" fontId="16" fillId="3" borderId="4" xfId="0" applyFont="1" applyFill="1" applyBorder="1"/>
    <xf numFmtId="0" fontId="16" fillId="3" borderId="5" xfId="0" applyFont="1" applyFill="1" applyBorder="1"/>
    <xf numFmtId="0" fontId="16" fillId="0" borderId="0" xfId="0" applyFont="1" applyFill="1" applyBorder="1"/>
    <xf numFmtId="0" fontId="16" fillId="3" borderId="6" xfId="0" applyFont="1" applyFill="1" applyBorder="1"/>
    <xf numFmtId="10" fontId="15" fillId="3" borderId="0" xfId="0" applyNumberFormat="1" applyFont="1" applyFill="1" applyBorder="1"/>
    <xf numFmtId="0" fontId="16" fillId="3" borderId="7" xfId="0" applyFont="1" applyFill="1" applyBorder="1"/>
    <xf numFmtId="0" fontId="16" fillId="3" borderId="0" xfId="0" applyFont="1" applyFill="1" applyBorder="1"/>
    <xf numFmtId="0" fontId="26" fillId="3" borderId="0" xfId="0" applyFont="1" applyFill="1" applyBorder="1"/>
    <xf numFmtId="0" fontId="42" fillId="3" borderId="0" xfId="0" applyFont="1" applyFill="1" applyBorder="1" applyAlignment="1">
      <alignment horizontal="center"/>
    </xf>
    <xf numFmtId="0" fontId="7" fillId="3" borderId="0" xfId="0" applyFont="1" applyFill="1" applyBorder="1" applyAlignment="1">
      <alignment horizontal="left"/>
    </xf>
    <xf numFmtId="169" fontId="15" fillId="3" borderId="0" xfId="0" applyNumberFormat="1" applyFont="1" applyFill="1" applyBorder="1"/>
    <xf numFmtId="43" fontId="15" fillId="3" borderId="0" xfId="0" applyNumberFormat="1" applyFont="1" applyFill="1" applyBorder="1"/>
    <xf numFmtId="0" fontId="15" fillId="3" borderId="0" xfId="0" applyNumberFormat="1" applyFont="1" applyFill="1" applyBorder="1"/>
    <xf numFmtId="10" fontId="11" fillId="3" borderId="11" xfId="0" applyNumberFormat="1" applyFont="1" applyFill="1" applyBorder="1"/>
    <xf numFmtId="180" fontId="11" fillId="3" borderId="11" xfId="0" applyNumberFormat="1" applyFont="1" applyFill="1" applyBorder="1"/>
    <xf numFmtId="0" fontId="16" fillId="3" borderId="9" xfId="0" applyFont="1" applyFill="1" applyBorder="1"/>
    <xf numFmtId="0" fontId="16" fillId="3" borderId="10" xfId="0" applyFont="1" applyFill="1" applyBorder="1"/>
    <xf numFmtId="42" fontId="0" fillId="0" borderId="0" xfId="0" applyNumberFormat="1"/>
    <xf numFmtId="0" fontId="16" fillId="0" borderId="0" xfId="0" applyFont="1"/>
    <xf numFmtId="10" fontId="7" fillId="2" borderId="0" xfId="5" applyNumberFormat="1" applyFont="1" applyFill="1" applyBorder="1" applyAlignment="1">
      <alignment horizontal="center"/>
    </xf>
    <xf numFmtId="10" fontId="7" fillId="2" borderId="12" xfId="5" applyNumberFormat="1" applyFont="1" applyFill="1" applyBorder="1" applyAlignment="1">
      <alignment horizontal="center"/>
    </xf>
    <xf numFmtId="0" fontId="29" fillId="2" borderId="0" xfId="0" applyFont="1" applyFill="1" applyBorder="1" applyAlignment="1">
      <alignment horizontal="center" vertical="top" wrapText="1"/>
    </xf>
    <xf numFmtId="41" fontId="14" fillId="2" borderId="0" xfId="5" applyNumberFormat="1" applyFont="1" applyFill="1" applyBorder="1" applyAlignment="1">
      <alignment horizontal="center"/>
    </xf>
    <xf numFmtId="10" fontId="14" fillId="2" borderId="0" xfId="5" applyNumberFormat="1" applyFont="1" applyFill="1" applyBorder="1" applyAlignment="1">
      <alignment horizontal="center"/>
    </xf>
    <xf numFmtId="0" fontId="13" fillId="3" borderId="0" xfId="0" applyFont="1" applyFill="1" applyBorder="1" applyAlignment="1">
      <alignment vertical="top" wrapText="1"/>
    </xf>
    <xf numFmtId="175" fontId="11" fillId="3" borderId="11" xfId="0" applyNumberFormat="1" applyFont="1" applyFill="1" applyBorder="1" applyAlignment="1">
      <alignment horizontal="right"/>
    </xf>
    <xf numFmtId="175" fontId="11" fillId="3" borderId="11" xfId="5" applyNumberFormat="1" applyFont="1" applyFill="1" applyBorder="1" applyAlignment="1">
      <alignment horizontal="right"/>
    </xf>
    <xf numFmtId="10" fontId="15" fillId="2" borderId="0" xfId="5" applyNumberFormat="1" applyFont="1" applyFill="1" applyBorder="1" applyAlignment="1">
      <alignment horizontal="center" vertical="top" wrapText="1"/>
    </xf>
    <xf numFmtId="43" fontId="14" fillId="2" borderId="0" xfId="5" applyNumberFormat="1" applyFont="1" applyFill="1" applyBorder="1" applyAlignment="1">
      <alignment horizontal="center" vertical="top" wrapText="1"/>
    </xf>
    <xf numFmtId="0" fontId="13" fillId="3" borderId="12" xfId="0" applyFont="1" applyFill="1" applyBorder="1" applyAlignment="1">
      <alignment horizontal="center"/>
    </xf>
    <xf numFmtId="39" fontId="13" fillId="3" borderId="12" xfId="0" applyNumberFormat="1" applyFont="1" applyFill="1" applyBorder="1" applyAlignment="1">
      <alignment horizontal="left"/>
    </xf>
    <xf numFmtId="0" fontId="5" fillId="3" borderId="12" xfId="0" applyFont="1" applyFill="1" applyBorder="1" applyAlignment="1">
      <alignment horizontal="center" wrapText="1"/>
    </xf>
    <xf numFmtId="9" fontId="13" fillId="3" borderId="0" xfId="5" applyFont="1" applyFill="1" applyBorder="1" applyAlignment="1">
      <alignment horizontal="center"/>
    </xf>
    <xf numFmtId="10" fontId="15" fillId="3" borderId="0" xfId="5" applyNumberFormat="1" applyFont="1" applyFill="1" applyBorder="1" applyAlignment="1">
      <alignment horizontal="center"/>
    </xf>
    <xf numFmtId="178" fontId="15" fillId="3" borderId="0" xfId="5" applyNumberFormat="1" applyFont="1" applyFill="1" applyBorder="1" applyAlignment="1">
      <alignment horizontal="center"/>
    </xf>
    <xf numFmtId="9" fontId="7" fillId="3" borderId="0" xfId="5" applyFont="1" applyFill="1" applyBorder="1" applyAlignment="1">
      <alignment horizontal="left"/>
    </xf>
    <xf numFmtId="9" fontId="13" fillId="3" borderId="0" xfId="5" applyFont="1" applyFill="1" applyBorder="1" applyAlignment="1">
      <alignment horizontal="left"/>
    </xf>
    <xf numFmtId="185" fontId="11" fillId="3" borderId="11" xfId="5" applyNumberFormat="1" applyFont="1" applyFill="1" applyBorder="1" applyAlignment="1">
      <alignment horizontal="right"/>
    </xf>
    <xf numFmtId="175" fontId="11" fillId="3" borderId="0" xfId="5" applyNumberFormat="1" applyFont="1" applyFill="1" applyBorder="1" applyAlignment="1">
      <alignment horizontal="right"/>
    </xf>
    <xf numFmtId="0" fontId="13" fillId="3" borderId="0" xfId="0" applyFont="1" applyFill="1"/>
    <xf numFmtId="181" fontId="0" fillId="0" borderId="0" xfId="0" applyNumberFormat="1"/>
    <xf numFmtId="0" fontId="30" fillId="0" borderId="0" xfId="0" applyFont="1"/>
    <xf numFmtId="0" fontId="5" fillId="2" borderId="0" xfId="0" applyFont="1" applyFill="1" applyBorder="1" applyAlignment="1">
      <alignment horizontal="right"/>
    </xf>
    <xf numFmtId="0" fontId="5" fillId="2" borderId="0" xfId="0" applyFont="1" applyFill="1" applyBorder="1" applyAlignment="1">
      <alignment horizontal="center" wrapText="1"/>
    </xf>
    <xf numFmtId="2" fontId="9" fillId="2" borderId="0" xfId="0" applyNumberFormat="1" applyFont="1" applyFill="1" applyBorder="1"/>
    <xf numFmtId="167" fontId="5" fillId="2" borderId="1" xfId="2" applyNumberFormat="1" applyFont="1" applyFill="1" applyBorder="1"/>
    <xf numFmtId="167" fontId="5" fillId="0" borderId="0" xfId="2" applyNumberFormat="1" applyFont="1"/>
    <xf numFmtId="167" fontId="11" fillId="3" borderId="11" xfId="2" applyNumberFormat="1" applyFont="1" applyFill="1" applyBorder="1"/>
    <xf numFmtId="167" fontId="5" fillId="3" borderId="0" xfId="2" applyNumberFormat="1" applyFont="1" applyFill="1" applyBorder="1"/>
    <xf numFmtId="0" fontId="5" fillId="3" borderId="0" xfId="0" applyFont="1" applyFill="1" applyBorder="1" applyAlignment="1">
      <alignment horizontal="center" wrapText="1"/>
    </xf>
    <xf numFmtId="167" fontId="15" fillId="3" borderId="0" xfId="2" applyNumberFormat="1" applyFont="1" applyFill="1" applyBorder="1"/>
    <xf numFmtId="0" fontId="0" fillId="3" borderId="0" xfId="0" applyFill="1"/>
    <xf numFmtId="167" fontId="11" fillId="3" borderId="11" xfId="0" applyNumberFormat="1" applyFont="1" applyFill="1" applyBorder="1"/>
    <xf numFmtId="9" fontId="14" fillId="2" borderId="0" xfId="5" applyNumberFormat="1" applyFont="1" applyFill="1" applyBorder="1"/>
    <xf numFmtId="166" fontId="14" fillId="2" borderId="0" xfId="0" applyNumberFormat="1" applyFont="1" applyFill="1" applyBorder="1"/>
    <xf numFmtId="0" fontId="27" fillId="3" borderId="6" xfId="0" quotePrefix="1" applyFont="1" applyFill="1" applyBorder="1"/>
    <xf numFmtId="167" fontId="15" fillId="3" borderId="0" xfId="0" applyNumberFormat="1" applyFont="1" applyFill="1" applyBorder="1"/>
    <xf numFmtId="167" fontId="15" fillId="3" borderId="8" xfId="0" applyNumberFormat="1" applyFont="1" applyFill="1" applyBorder="1"/>
    <xf numFmtId="0" fontId="27" fillId="3" borderId="0" xfId="0" quotePrefix="1" applyFont="1" applyFill="1" applyBorder="1"/>
    <xf numFmtId="0" fontId="16" fillId="3" borderId="1" xfId="0" applyFont="1" applyFill="1" applyBorder="1"/>
    <xf numFmtId="0" fontId="45" fillId="3" borderId="0" xfId="0" applyFont="1" applyFill="1" applyBorder="1"/>
    <xf numFmtId="41" fontId="11" fillId="3" borderId="11" xfId="0" applyNumberFormat="1" applyFont="1" applyFill="1" applyBorder="1"/>
    <xf numFmtId="42" fontId="13" fillId="3" borderId="0" xfId="0" applyNumberFormat="1" applyFont="1" applyFill="1" applyBorder="1"/>
    <xf numFmtId="44" fontId="5" fillId="0" borderId="0" xfId="2" applyFont="1"/>
    <xf numFmtId="10" fontId="5" fillId="0" borderId="0" xfId="5" applyNumberFormat="1" applyFont="1"/>
    <xf numFmtId="0" fontId="5" fillId="0" borderId="0" xfId="0" applyFont="1" applyAlignment="1">
      <alignment horizontal="center"/>
    </xf>
    <xf numFmtId="44" fontId="5" fillId="2" borderId="4" xfId="2" applyFont="1" applyFill="1" applyBorder="1"/>
    <xf numFmtId="44" fontId="5" fillId="2" borderId="0" xfId="2" applyFont="1" applyFill="1" applyBorder="1" applyAlignment="1">
      <alignment horizontal="right"/>
    </xf>
    <xf numFmtId="44" fontId="5" fillId="2" borderId="1" xfId="2" applyFont="1" applyFill="1" applyBorder="1"/>
    <xf numFmtId="0" fontId="5" fillId="0" borderId="4" xfId="0" applyFont="1" applyBorder="1" applyAlignment="1"/>
    <xf numFmtId="44" fontId="5" fillId="3" borderId="0" xfId="2" applyFont="1" applyFill="1" applyBorder="1"/>
    <xf numFmtId="164" fontId="10" fillId="3" borderId="0" xfId="0" applyNumberFormat="1" applyFont="1" applyFill="1" applyBorder="1"/>
    <xf numFmtId="164" fontId="10" fillId="3" borderId="0" xfId="5" applyNumberFormat="1" applyFont="1" applyFill="1" applyBorder="1"/>
    <xf numFmtId="10" fontId="5" fillId="3" borderId="0" xfId="5" applyNumberFormat="1" applyFont="1" applyFill="1" applyBorder="1"/>
    <xf numFmtId="0" fontId="5" fillId="3" borderId="4" xfId="0" applyFont="1" applyFill="1" applyBorder="1" applyAlignment="1">
      <alignment horizontal="center"/>
    </xf>
    <xf numFmtId="44" fontId="5" fillId="3" borderId="4" xfId="2" applyFont="1" applyFill="1" applyBorder="1"/>
    <xf numFmtId="44" fontId="5" fillId="3" borderId="1" xfId="2" applyFont="1" applyFill="1" applyBorder="1"/>
    <xf numFmtId="10" fontId="5" fillId="3" borderId="1" xfId="5" applyNumberFormat="1" applyFont="1" applyFill="1" applyBorder="1"/>
    <xf numFmtId="41" fontId="9" fillId="2" borderId="0" xfId="5" applyNumberFormat="1" applyFont="1" applyFill="1" applyBorder="1"/>
    <xf numFmtId="166" fontId="14" fillId="2" borderId="0" xfId="2" applyNumberFormat="1" applyFont="1" applyFill="1" applyBorder="1"/>
    <xf numFmtId="43" fontId="15" fillId="3" borderId="0" xfId="5" applyNumberFormat="1" applyFont="1" applyFill="1" applyBorder="1" applyAlignment="1">
      <alignment horizontal="right"/>
    </xf>
    <xf numFmtId="43" fontId="15" fillId="3" borderId="12" xfId="5" applyNumberFormat="1" applyFont="1" applyFill="1" applyBorder="1" applyAlignment="1">
      <alignment horizontal="right"/>
    </xf>
    <xf numFmtId="43" fontId="28" fillId="3" borderId="12" xfId="2" applyNumberFormat="1" applyFont="1" applyFill="1" applyBorder="1" applyAlignment="1">
      <alignment horizontal="right"/>
    </xf>
    <xf numFmtId="43" fontId="28" fillId="3" borderId="12" xfId="2" applyNumberFormat="1" applyFont="1" applyFill="1" applyBorder="1"/>
    <xf numFmtId="43" fontId="28" fillId="3" borderId="0" xfId="2" applyNumberFormat="1" applyFont="1" applyFill="1" applyBorder="1" applyAlignment="1">
      <alignment horizontal="right"/>
    </xf>
    <xf numFmtId="43" fontId="28" fillId="3" borderId="0" xfId="2" applyNumberFormat="1" applyFont="1" applyFill="1" applyBorder="1"/>
    <xf numFmtId="43" fontId="15" fillId="3" borderId="0" xfId="5" applyNumberFormat="1" applyFont="1" applyFill="1" applyBorder="1" applyAlignment="1">
      <alignment horizontal="center"/>
    </xf>
    <xf numFmtId="43" fontId="15" fillId="3" borderId="12" xfId="5" applyNumberFormat="1" applyFont="1" applyFill="1" applyBorder="1" applyAlignment="1">
      <alignment horizontal="center"/>
    </xf>
    <xf numFmtId="0" fontId="1" fillId="0" borderId="0" xfId="3"/>
    <xf numFmtId="0" fontId="5" fillId="0" borderId="0" xfId="3" applyFont="1"/>
    <xf numFmtId="0" fontId="7" fillId="0" borderId="0" xfId="3" applyFont="1"/>
    <xf numFmtId="0" fontId="5" fillId="0" borderId="0" xfId="3" applyFont="1" applyAlignment="1">
      <alignment horizontal="left"/>
    </xf>
    <xf numFmtId="0" fontId="7" fillId="0" borderId="0" xfId="3" applyFont="1" applyBorder="1"/>
    <xf numFmtId="0" fontId="5" fillId="0" borderId="0" xfId="3" applyFont="1" applyBorder="1" applyAlignment="1">
      <alignment horizontal="left"/>
    </xf>
    <xf numFmtId="0" fontId="1" fillId="2" borderId="3" xfId="3" applyFill="1" applyBorder="1"/>
    <xf numFmtId="0" fontId="7" fillId="2" borderId="4" xfId="3" applyFont="1" applyFill="1" applyBorder="1"/>
    <xf numFmtId="0" fontId="5" fillId="2" borderId="4" xfId="3" applyFont="1" applyFill="1" applyBorder="1" applyAlignment="1">
      <alignment horizontal="left"/>
    </xf>
    <xf numFmtId="0" fontId="5" fillId="2" borderId="5" xfId="3" applyFont="1" applyFill="1" applyBorder="1"/>
    <xf numFmtId="0" fontId="1" fillId="2" borderId="6" xfId="3" applyFill="1" applyBorder="1"/>
    <xf numFmtId="0" fontId="5" fillId="2" borderId="0" xfId="3" applyFont="1" applyFill="1" applyBorder="1"/>
    <xf numFmtId="42" fontId="9" fillId="2" borderId="0" xfId="3" applyNumberFormat="1" applyFont="1" applyFill="1" applyBorder="1" applyAlignment="1">
      <alignment horizontal="left"/>
    </xf>
    <xf numFmtId="0" fontId="5" fillId="2" borderId="7" xfId="3" applyFont="1" applyFill="1" applyBorder="1"/>
    <xf numFmtId="41" fontId="9" fillId="2" borderId="0" xfId="3" applyNumberFormat="1" applyFont="1" applyFill="1" applyBorder="1" applyAlignment="1">
      <alignment horizontal="left"/>
    </xf>
    <xf numFmtId="42" fontId="9" fillId="2" borderId="0" xfId="5" applyNumberFormat="1" applyFont="1" applyFill="1" applyBorder="1" applyAlignment="1">
      <alignment horizontal="left"/>
    </xf>
    <xf numFmtId="0" fontId="7" fillId="2" borderId="0" xfId="3" applyFont="1" applyFill="1" applyBorder="1"/>
    <xf numFmtId="41" fontId="9" fillId="2" borderId="0" xfId="5" applyNumberFormat="1" applyFont="1" applyFill="1" applyBorder="1" applyAlignment="1">
      <alignment horizontal="left"/>
    </xf>
    <xf numFmtId="42" fontId="9" fillId="2" borderId="0" xfId="5" applyNumberFormat="1" applyFont="1" applyFill="1" applyBorder="1" applyAlignment="1">
      <alignment horizontal="right"/>
    </xf>
    <xf numFmtId="177" fontId="9" fillId="2" borderId="0" xfId="5" applyNumberFormat="1" applyFont="1" applyFill="1" applyBorder="1" applyAlignment="1">
      <alignment horizontal="right"/>
    </xf>
    <xf numFmtId="0" fontId="5" fillId="2" borderId="0" xfId="3" applyFont="1" applyFill="1" applyBorder="1" applyAlignment="1"/>
    <xf numFmtId="42" fontId="9" fillId="2" borderId="0" xfId="3" applyNumberFormat="1" applyFont="1" applyFill="1" applyBorder="1" applyAlignment="1"/>
    <xf numFmtId="42" fontId="38" fillId="2" borderId="0" xfId="3" applyNumberFormat="1" applyFont="1" applyFill="1" applyBorder="1" applyAlignment="1">
      <alignment horizontal="left"/>
    </xf>
    <xf numFmtId="0" fontId="1" fillId="2" borderId="9" xfId="3" applyFill="1" applyBorder="1"/>
    <xf numFmtId="0" fontId="5" fillId="2" borderId="1" xfId="3" applyFont="1" applyFill="1" applyBorder="1"/>
    <xf numFmtId="0" fontId="5" fillId="2" borderId="1" xfId="3" applyFont="1" applyFill="1" applyBorder="1" applyAlignment="1">
      <alignment horizontal="left"/>
    </xf>
    <xf numFmtId="0" fontId="5" fillId="2" borderId="10" xfId="3" applyFont="1" applyFill="1" applyBorder="1"/>
    <xf numFmtId="0" fontId="1" fillId="3" borderId="3" xfId="3" applyFill="1" applyBorder="1"/>
    <xf numFmtId="0" fontId="5" fillId="3" borderId="4" xfId="3" applyFont="1" applyFill="1" applyBorder="1"/>
    <xf numFmtId="39" fontId="5" fillId="3" borderId="4" xfId="3" applyNumberFormat="1" applyFont="1" applyFill="1" applyBorder="1" applyAlignment="1">
      <alignment horizontal="left"/>
    </xf>
    <xf numFmtId="0" fontId="1" fillId="3" borderId="5" xfId="3" applyFill="1" applyBorder="1"/>
    <xf numFmtId="0" fontId="5" fillId="3" borderId="6" xfId="3" quotePrefix="1" applyFont="1" applyFill="1" applyBorder="1"/>
    <xf numFmtId="0" fontId="7" fillId="3" borderId="0" xfId="3" applyFont="1" applyFill="1" applyBorder="1" applyAlignment="1"/>
    <xf numFmtId="39" fontId="5" fillId="3" borderId="0" xfId="3" applyNumberFormat="1" applyFont="1" applyFill="1" applyBorder="1" applyAlignment="1">
      <alignment horizontal="right"/>
    </xf>
    <xf numFmtId="0" fontId="1" fillId="3" borderId="7" xfId="3" applyFill="1" applyBorder="1"/>
    <xf numFmtId="0" fontId="1" fillId="3" borderId="6" xfId="3" applyFill="1" applyBorder="1"/>
    <xf numFmtId="0" fontId="5" fillId="3" borderId="0" xfId="3" applyFont="1" applyFill="1" applyBorder="1" applyAlignment="1"/>
    <xf numFmtId="44" fontId="10" fillId="3" borderId="0" xfId="3" applyNumberFormat="1" applyFont="1" applyFill="1" applyBorder="1" applyAlignment="1">
      <alignment horizontal="right"/>
    </xf>
    <xf numFmtId="44" fontId="11" fillId="3" borderId="11" xfId="3" applyNumberFormat="1" applyFont="1" applyFill="1" applyBorder="1" applyAlignment="1">
      <alignment horizontal="right"/>
    </xf>
    <xf numFmtId="44" fontId="10" fillId="3" borderId="0" xfId="5" applyNumberFormat="1" applyFont="1" applyFill="1" applyBorder="1" applyAlignment="1">
      <alignment horizontal="right"/>
    </xf>
    <xf numFmtId="10" fontId="5" fillId="3" borderId="0" xfId="5" applyNumberFormat="1" applyFont="1" applyFill="1" applyBorder="1" applyAlignment="1">
      <alignment horizontal="right"/>
    </xf>
    <xf numFmtId="44" fontId="10" fillId="3" borderId="0" xfId="3" applyNumberFormat="1" applyFont="1" applyFill="1" applyBorder="1" applyAlignment="1">
      <alignment horizontal="left"/>
    </xf>
    <xf numFmtId="42" fontId="5" fillId="3" borderId="0" xfId="3" applyNumberFormat="1" applyFont="1" applyFill="1" applyBorder="1" applyAlignment="1">
      <alignment horizontal="left"/>
    </xf>
    <xf numFmtId="0" fontId="5" fillId="3" borderId="0" xfId="3" applyFont="1" applyFill="1" applyBorder="1"/>
    <xf numFmtId="41" fontId="5" fillId="3" borderId="0" xfId="3" applyNumberFormat="1" applyFont="1" applyFill="1" applyBorder="1" applyAlignment="1">
      <alignment horizontal="left"/>
    </xf>
    <xf numFmtId="44" fontId="11" fillId="3" borderId="11" xfId="3" applyNumberFormat="1" applyFont="1" applyFill="1" applyBorder="1" applyAlignment="1">
      <alignment horizontal="left"/>
    </xf>
    <xf numFmtId="0" fontId="7" fillId="3" borderId="0" xfId="3" applyFont="1" applyFill="1" applyBorder="1"/>
    <xf numFmtId="166" fontId="10" fillId="3" borderId="0" xfId="3" applyNumberFormat="1" applyFont="1" applyFill="1" applyBorder="1" applyAlignment="1">
      <alignment horizontal="left"/>
    </xf>
    <xf numFmtId="0" fontId="5" fillId="3" borderId="0" xfId="3" applyFont="1" applyFill="1" applyBorder="1" applyAlignment="1">
      <alignment horizontal="center"/>
    </xf>
    <xf numFmtId="0" fontId="7" fillId="3" borderId="6" xfId="3" quotePrefix="1" applyFont="1" applyFill="1" applyBorder="1"/>
    <xf numFmtId="166" fontId="46" fillId="3" borderId="0" xfId="3" applyNumberFormat="1" applyFont="1" applyFill="1" applyBorder="1" applyAlignment="1">
      <alignment horizontal="left"/>
    </xf>
    <xf numFmtId="166" fontId="11" fillId="3" borderId="11" xfId="3" applyNumberFormat="1" applyFont="1" applyFill="1" applyBorder="1" applyAlignment="1">
      <alignment horizontal="left"/>
    </xf>
    <xf numFmtId="0" fontId="1" fillId="3" borderId="9" xfId="3" applyFill="1" applyBorder="1"/>
    <xf numFmtId="0" fontId="5" fillId="3" borderId="1" xfId="3" applyFont="1" applyFill="1" applyBorder="1"/>
    <xf numFmtId="39" fontId="18" fillId="3" borderId="1" xfId="3" applyNumberFormat="1" applyFont="1" applyFill="1" applyBorder="1" applyAlignment="1">
      <alignment horizontal="left"/>
    </xf>
    <xf numFmtId="0" fontId="1" fillId="3" borderId="10" xfId="3" applyFill="1" applyBorder="1"/>
    <xf numFmtId="0" fontId="1" fillId="0" borderId="0" xfId="3" applyAlignment="1">
      <alignment horizontal="left"/>
    </xf>
    <xf numFmtId="42" fontId="46" fillId="2" borderId="8" xfId="0" applyNumberFormat="1" applyFont="1" applyFill="1" applyBorder="1"/>
    <xf numFmtId="42" fontId="46" fillId="2" borderId="0" xfId="0" applyNumberFormat="1" applyFont="1" applyFill="1" applyBorder="1"/>
    <xf numFmtId="42" fontId="13" fillId="0" borderId="0" xfId="0" applyNumberFormat="1" applyFont="1"/>
    <xf numFmtId="0" fontId="18" fillId="2" borderId="0" xfId="0" applyFont="1" applyFill="1" applyBorder="1"/>
    <xf numFmtId="0" fontId="7" fillId="2" borderId="0" xfId="0" applyFont="1" applyFill="1" applyBorder="1"/>
    <xf numFmtId="0" fontId="24" fillId="2" borderId="0" xfId="0" applyFont="1" applyFill="1" applyBorder="1" applyAlignment="1">
      <alignment horizontal="center"/>
    </xf>
    <xf numFmtId="0" fontId="35" fillId="2" borderId="0" xfId="0" applyFont="1" applyFill="1" applyBorder="1"/>
    <xf numFmtId="0" fontId="13" fillId="2" borderId="0" xfId="0" applyFont="1" applyFill="1" applyBorder="1"/>
    <xf numFmtId="42" fontId="14" fillId="2" borderId="0" xfId="0" applyNumberFormat="1" applyFont="1" applyFill="1" applyBorder="1"/>
    <xf numFmtId="0" fontId="16" fillId="2" borderId="0" xfId="0" applyFont="1" applyFill="1" applyBorder="1"/>
    <xf numFmtId="41" fontId="14" fillId="2" borderId="0" xfId="0" applyNumberFormat="1" applyFont="1" applyFill="1" applyBorder="1"/>
    <xf numFmtId="41" fontId="14" fillId="2" borderId="12" xfId="0" applyNumberFormat="1" applyFont="1" applyFill="1" applyBorder="1"/>
    <xf numFmtId="42" fontId="15" fillId="2" borderId="0" xfId="0" applyNumberFormat="1" applyFont="1" applyFill="1" applyBorder="1"/>
    <xf numFmtId="42" fontId="18" fillId="2" borderId="0" xfId="0" applyNumberFormat="1" applyFont="1" applyFill="1" applyBorder="1"/>
    <xf numFmtId="37" fontId="14" fillId="2" borderId="0" xfId="2" applyNumberFormat="1" applyFont="1" applyFill="1" applyBorder="1"/>
    <xf numFmtId="37" fontId="14" fillId="2" borderId="0" xfId="5" applyNumberFormat="1" applyFont="1" applyFill="1" applyBorder="1"/>
    <xf numFmtId="42" fontId="15" fillId="2" borderId="16" xfId="0" applyNumberFormat="1" applyFont="1" applyFill="1" applyBorder="1"/>
    <xf numFmtId="42" fontId="15" fillId="2" borderId="12" xfId="0" applyNumberFormat="1" applyFont="1" applyFill="1" applyBorder="1"/>
    <xf numFmtId="42" fontId="15" fillId="2" borderId="15" xfId="0" applyNumberFormat="1" applyFont="1" applyFill="1" applyBorder="1"/>
    <xf numFmtId="0" fontId="0" fillId="0" borderId="0" xfId="0" applyFill="1" applyBorder="1" applyAlignment="1">
      <alignment horizontal="right"/>
    </xf>
    <xf numFmtId="0" fontId="13" fillId="0" borderId="0" xfId="0" applyFont="1" applyFill="1" applyBorder="1" applyAlignment="1">
      <alignment horizontal="left"/>
    </xf>
    <xf numFmtId="42" fontId="46" fillId="3" borderId="0" xfId="2" applyNumberFormat="1" applyFont="1" applyFill="1" applyBorder="1" applyAlignment="1">
      <alignment horizontal="right"/>
    </xf>
    <xf numFmtId="42" fontId="46" fillId="3" borderId="0" xfId="0" applyNumberFormat="1" applyFont="1" applyFill="1" applyBorder="1"/>
    <xf numFmtId="42" fontId="47" fillId="2" borderId="0" xfId="0" applyNumberFormat="1" applyFont="1" applyFill="1" applyBorder="1" applyAlignment="1">
      <alignment horizontal="left"/>
    </xf>
    <xf numFmtId="9" fontId="47" fillId="2" borderId="0" xfId="5" applyFont="1" applyFill="1" applyBorder="1" applyAlignment="1">
      <alignment horizontal="right"/>
    </xf>
    <xf numFmtId="41" fontId="46" fillId="2" borderId="12" xfId="5" applyNumberFormat="1" applyFont="1" applyFill="1" applyBorder="1" applyAlignment="1">
      <alignment horizontal="left"/>
    </xf>
    <xf numFmtId="42" fontId="46" fillId="2" borderId="0" xfId="5" applyNumberFormat="1" applyFont="1" applyFill="1" applyBorder="1" applyAlignment="1">
      <alignment horizontal="left"/>
    </xf>
    <xf numFmtId="42" fontId="46" fillId="2" borderId="8" xfId="5" applyNumberFormat="1" applyFont="1" applyFill="1" applyBorder="1" applyAlignment="1">
      <alignment horizontal="left"/>
    </xf>
    <xf numFmtId="42" fontId="46" fillId="2" borderId="0" xfId="0" applyNumberFormat="1" applyFont="1" applyFill="1" applyBorder="1" applyAlignment="1">
      <alignment horizontal="left"/>
    </xf>
    <xf numFmtId="42" fontId="46" fillId="2" borderId="8" xfId="0" applyNumberFormat="1" applyFont="1" applyFill="1" applyBorder="1" applyAlignment="1">
      <alignment horizontal="left"/>
    </xf>
    <xf numFmtId="176" fontId="5" fillId="3" borderId="0" xfId="0" applyNumberFormat="1" applyFont="1" applyFill="1" applyBorder="1"/>
    <xf numFmtId="42" fontId="46" fillId="2" borderId="0" xfId="5" applyNumberFormat="1" applyFont="1" applyFill="1" applyBorder="1"/>
    <xf numFmtId="0" fontId="6" fillId="0" borderId="0" xfId="3" applyFont="1" applyAlignment="1">
      <alignment horizontal="left"/>
    </xf>
    <xf numFmtId="9" fontId="46" fillId="2" borderId="0" xfId="5" applyFont="1" applyFill="1" applyBorder="1" applyAlignment="1">
      <alignment horizontal="center"/>
    </xf>
    <xf numFmtId="0" fontId="5" fillId="0" borderId="0" xfId="3" applyFont="1" applyBorder="1"/>
    <xf numFmtId="0" fontId="5" fillId="2" borderId="3" xfId="3" applyFont="1" applyFill="1" applyBorder="1"/>
    <xf numFmtId="0" fontId="5" fillId="2" borderId="4" xfId="3" applyFont="1" applyFill="1" applyBorder="1"/>
    <xf numFmtId="0" fontId="5" fillId="0" borderId="0" xfId="3" applyFont="1" applyFill="1" applyBorder="1"/>
    <xf numFmtId="0" fontId="5" fillId="2" borderId="6" xfId="3" applyFont="1" applyFill="1" applyBorder="1"/>
    <xf numFmtId="37" fontId="9" fillId="2" borderId="0" xfId="2" applyNumberFormat="1" applyFont="1" applyFill="1" applyBorder="1"/>
    <xf numFmtId="37" fontId="36" fillId="2" borderId="7" xfId="2" applyNumberFormat="1" applyFont="1" applyFill="1" applyBorder="1"/>
    <xf numFmtId="9" fontId="36" fillId="2" borderId="7" xfId="5" applyFont="1" applyFill="1" applyBorder="1"/>
    <xf numFmtId="167" fontId="36" fillId="2" borderId="7" xfId="2" applyNumberFormat="1" applyFont="1" applyFill="1" applyBorder="1"/>
    <xf numFmtId="42" fontId="9" fillId="2" borderId="0" xfId="1" applyNumberFormat="1" applyFont="1" applyFill="1" applyBorder="1"/>
    <xf numFmtId="169" fontId="36" fillId="2" borderId="7" xfId="1" applyNumberFormat="1" applyFont="1" applyFill="1" applyBorder="1"/>
    <xf numFmtId="169" fontId="9" fillId="2" borderId="0" xfId="1" applyNumberFormat="1" applyFont="1" applyFill="1" applyBorder="1"/>
    <xf numFmtId="0" fontId="5" fillId="2" borderId="9" xfId="3" applyFont="1" applyFill="1" applyBorder="1"/>
    <xf numFmtId="0" fontId="5" fillId="3" borderId="3" xfId="3" applyFont="1" applyFill="1" applyBorder="1"/>
    <xf numFmtId="0" fontId="5" fillId="3" borderId="5" xfId="3" applyFont="1" applyFill="1" applyBorder="1"/>
    <xf numFmtId="0" fontId="8" fillId="3" borderId="6" xfId="3" applyFont="1" applyFill="1" applyBorder="1"/>
    <xf numFmtId="0" fontId="5" fillId="3" borderId="7" xfId="3" applyFont="1" applyFill="1" applyBorder="1"/>
    <xf numFmtId="0" fontId="5" fillId="3" borderId="6" xfId="3" applyFont="1" applyFill="1" applyBorder="1"/>
    <xf numFmtId="169" fontId="11" fillId="3" borderId="11" xfId="1" applyNumberFormat="1" applyFont="1" applyFill="1" applyBorder="1"/>
    <xf numFmtId="169" fontId="11" fillId="3" borderId="0" xfId="1" applyNumberFormat="1" applyFont="1" applyFill="1" applyBorder="1"/>
    <xf numFmtId="167" fontId="9" fillId="3" borderId="7" xfId="2" applyNumberFormat="1" applyFont="1" applyFill="1" applyBorder="1"/>
    <xf numFmtId="44" fontId="11" fillId="3" borderId="0" xfId="2" applyNumberFormat="1" applyFont="1" applyFill="1" applyBorder="1"/>
    <xf numFmtId="43" fontId="11" fillId="3" borderId="0" xfId="1" applyFont="1" applyFill="1" applyBorder="1"/>
    <xf numFmtId="44" fontId="10" fillId="3" borderId="0" xfId="2" applyFont="1" applyFill="1" applyBorder="1"/>
    <xf numFmtId="167" fontId="11" fillId="3" borderId="17" xfId="2" applyNumberFormat="1" applyFont="1" applyFill="1" applyBorder="1"/>
    <xf numFmtId="43" fontId="11" fillId="3" borderId="16" xfId="1" applyFont="1" applyFill="1" applyBorder="1"/>
    <xf numFmtId="43" fontId="11" fillId="3" borderId="18" xfId="1" applyFont="1" applyFill="1" applyBorder="1"/>
    <xf numFmtId="44" fontId="46" fillId="3" borderId="0" xfId="1" applyNumberFormat="1" applyFont="1" applyFill="1" applyBorder="1"/>
    <xf numFmtId="44" fontId="11" fillId="3" borderId="17" xfId="2" applyFont="1" applyFill="1" applyBorder="1"/>
    <xf numFmtId="44" fontId="11" fillId="3" borderId="16" xfId="2" applyFont="1" applyFill="1" applyBorder="1"/>
    <xf numFmtId="41" fontId="9" fillId="3" borderId="7" xfId="2" applyNumberFormat="1" applyFont="1" applyFill="1" applyBorder="1"/>
    <xf numFmtId="44" fontId="11" fillId="3" borderId="0" xfId="2" applyFont="1" applyFill="1" applyBorder="1"/>
    <xf numFmtId="0" fontId="5" fillId="3" borderId="9" xfId="3" applyFont="1" applyFill="1" applyBorder="1"/>
    <xf numFmtId="0" fontId="5" fillId="3" borderId="10" xfId="3" applyFont="1" applyFill="1" applyBorder="1"/>
    <xf numFmtId="0" fontId="18" fillId="2" borderId="4" xfId="3" applyFont="1" applyFill="1" applyBorder="1"/>
    <xf numFmtId="0" fontId="5" fillId="2" borderId="0" xfId="3" applyFont="1" applyFill="1" applyBorder="1" applyAlignment="1">
      <alignment horizontal="left"/>
    </xf>
    <xf numFmtId="41" fontId="9" fillId="2" borderId="0" xfId="3" applyNumberFormat="1" applyFont="1" applyFill="1" applyBorder="1" applyAlignment="1">
      <alignment horizontal="right"/>
    </xf>
    <xf numFmtId="0" fontId="1" fillId="2" borderId="0" xfId="3" applyFill="1" applyBorder="1" applyAlignment="1">
      <alignment horizontal="left"/>
    </xf>
    <xf numFmtId="0" fontId="16" fillId="2" borderId="0" xfId="3" applyFont="1" applyFill="1" applyBorder="1"/>
    <xf numFmtId="166" fontId="9" fillId="2" borderId="0" xfId="5" applyNumberFormat="1" applyFont="1" applyFill="1" applyBorder="1" applyAlignment="1">
      <alignment horizontal="right"/>
    </xf>
    <xf numFmtId="42" fontId="1" fillId="2" borderId="0" xfId="3" applyNumberFormat="1" applyFill="1" applyBorder="1" applyAlignment="1">
      <alignment horizontal="left"/>
    </xf>
    <xf numFmtId="0" fontId="7" fillId="2" borderId="0" xfId="3" applyFont="1" applyFill="1" applyBorder="1" applyAlignment="1">
      <alignment horizontal="right"/>
    </xf>
    <xf numFmtId="44" fontId="9" fillId="2" borderId="0" xfId="5" applyNumberFormat="1" applyFont="1" applyFill="1" applyBorder="1" applyAlignment="1">
      <alignment horizontal="right"/>
    </xf>
    <xf numFmtId="44" fontId="9" fillId="2" borderId="0" xfId="3" applyNumberFormat="1" applyFont="1" applyFill="1" applyBorder="1" applyAlignment="1">
      <alignment horizontal="right"/>
    </xf>
    <xf numFmtId="43" fontId="9" fillId="2" borderId="0" xfId="5" applyNumberFormat="1" applyFont="1" applyFill="1" applyBorder="1" applyAlignment="1">
      <alignment horizontal="right"/>
    </xf>
    <xf numFmtId="43" fontId="9" fillId="2" borderId="0" xfId="3" applyNumberFormat="1" applyFont="1" applyFill="1" applyBorder="1" applyAlignment="1">
      <alignment horizontal="right"/>
    </xf>
    <xf numFmtId="43" fontId="9" fillId="2" borderId="12" xfId="5" applyNumberFormat="1" applyFont="1" applyFill="1" applyBorder="1" applyAlignment="1">
      <alignment horizontal="right"/>
    </xf>
    <xf numFmtId="43" fontId="9" fillId="2" borderId="12" xfId="3" applyNumberFormat="1" applyFont="1" applyFill="1" applyBorder="1" applyAlignment="1">
      <alignment horizontal="right"/>
    </xf>
    <xf numFmtId="44" fontId="46" fillId="2" borderId="0" xfId="5" applyNumberFormat="1" applyFont="1" applyFill="1" applyBorder="1" applyAlignment="1">
      <alignment horizontal="right"/>
    </xf>
    <xf numFmtId="10" fontId="46" fillId="2" borderId="0" xfId="5" applyNumberFormat="1" applyFont="1" applyFill="1" applyBorder="1" applyAlignment="1">
      <alignment horizontal="right"/>
    </xf>
    <xf numFmtId="166" fontId="9" fillId="2" borderId="0" xfId="5" applyNumberFormat="1" applyFont="1" applyFill="1" applyBorder="1" applyAlignment="1">
      <alignment horizontal="left"/>
    </xf>
    <xf numFmtId="0" fontId="9" fillId="2" borderId="0" xfId="3" applyFont="1" applyFill="1" applyBorder="1" applyAlignment="1">
      <alignment horizontal="right"/>
    </xf>
    <xf numFmtId="0" fontId="18" fillId="2" borderId="1" xfId="3" applyFont="1" applyFill="1" applyBorder="1"/>
    <xf numFmtId="39" fontId="18" fillId="3" borderId="4" xfId="3" applyNumberFormat="1" applyFont="1" applyFill="1" applyBorder="1"/>
    <xf numFmtId="39" fontId="18" fillId="3" borderId="0" xfId="3" applyNumberFormat="1" applyFont="1" applyFill="1" applyBorder="1" applyAlignment="1">
      <alignment horizontal="right"/>
    </xf>
    <xf numFmtId="10" fontId="10" fillId="3" borderId="0" xfId="5" applyNumberFormat="1" applyFont="1" applyFill="1" applyBorder="1" applyAlignment="1">
      <alignment horizontal="right"/>
    </xf>
    <xf numFmtId="39" fontId="5" fillId="3" borderId="0" xfId="2" quotePrefix="1" applyNumberFormat="1" applyFont="1" applyFill="1" applyBorder="1" applyAlignment="1">
      <alignment horizontal="right"/>
    </xf>
    <xf numFmtId="0" fontId="5" fillId="3" borderId="0" xfId="3" applyFont="1" applyFill="1" applyBorder="1" applyAlignment="1">
      <alignment horizontal="right"/>
    </xf>
    <xf numFmtId="44" fontId="5" fillId="3" borderId="0" xfId="5" applyNumberFormat="1" applyFont="1" applyFill="1" applyBorder="1" applyAlignment="1">
      <alignment horizontal="right"/>
    </xf>
    <xf numFmtId="39" fontId="5" fillId="3" borderId="0" xfId="2" applyNumberFormat="1" applyFont="1" applyFill="1" applyBorder="1" applyAlignment="1">
      <alignment horizontal="right"/>
    </xf>
    <xf numFmtId="37" fontId="5" fillId="3" borderId="0" xfId="2" applyNumberFormat="1" applyFont="1" applyFill="1" applyBorder="1" applyAlignment="1">
      <alignment horizontal="right"/>
    </xf>
    <xf numFmtId="44" fontId="46" fillId="3" borderId="0" xfId="5" applyNumberFormat="1" applyFont="1" applyFill="1" applyBorder="1" applyAlignment="1">
      <alignment horizontal="right"/>
    </xf>
    <xf numFmtId="0" fontId="8" fillId="3" borderId="9" xfId="3" applyFont="1" applyFill="1" applyBorder="1"/>
    <xf numFmtId="0" fontId="5" fillId="3" borderId="1" xfId="3" applyFont="1" applyFill="1" applyBorder="1" applyAlignment="1">
      <alignment horizontal="left"/>
    </xf>
    <xf numFmtId="0" fontId="48" fillId="0" borderId="19" xfId="0" applyFont="1" applyFill="1" applyBorder="1" applyAlignment="1">
      <alignment horizontal="center"/>
    </xf>
    <xf numFmtId="182" fontId="0" fillId="0" borderId="13" xfId="0" applyNumberFormat="1" applyFill="1" applyBorder="1" applyAlignment="1"/>
    <xf numFmtId="0" fontId="6" fillId="0" borderId="0" xfId="3" applyFont="1" applyAlignment="1"/>
    <xf numFmtId="42" fontId="9" fillId="2" borderId="0" xfId="3" applyNumberFormat="1" applyFont="1" applyFill="1" applyBorder="1"/>
    <xf numFmtId="183" fontId="9" fillId="2" borderId="0" xfId="3" applyNumberFormat="1" applyFont="1" applyFill="1" applyBorder="1"/>
    <xf numFmtId="44" fontId="9" fillId="2" borderId="0" xfId="3" applyNumberFormat="1" applyFont="1" applyFill="1" applyBorder="1"/>
    <xf numFmtId="43" fontId="9" fillId="2" borderId="0" xfId="3" applyNumberFormat="1" applyFont="1" applyFill="1" applyBorder="1"/>
    <xf numFmtId="168" fontId="9" fillId="2" borderId="0" xfId="3" applyNumberFormat="1" applyFont="1" applyFill="1" applyBorder="1"/>
    <xf numFmtId="10" fontId="9" fillId="2" borderId="0" xfId="6" applyNumberFormat="1" applyFont="1" applyFill="1" applyBorder="1"/>
    <xf numFmtId="168" fontId="9" fillId="2" borderId="0" xfId="6" applyNumberFormat="1" applyFont="1" applyFill="1" applyBorder="1"/>
    <xf numFmtId="174" fontId="9" fillId="2" borderId="0" xfId="6" applyNumberFormat="1" applyFont="1" applyFill="1" applyBorder="1"/>
    <xf numFmtId="9" fontId="9" fillId="2" borderId="0" xfId="6" applyNumberFormat="1" applyFont="1" applyFill="1" applyBorder="1"/>
    <xf numFmtId="0" fontId="1" fillId="3" borderId="4" xfId="3" applyFill="1" applyBorder="1"/>
    <xf numFmtId="0" fontId="7" fillId="3" borderId="6" xfId="3" applyFont="1" applyFill="1" applyBorder="1"/>
    <xf numFmtId="10" fontId="11" fillId="3" borderId="11" xfId="6" applyNumberFormat="1" applyFont="1" applyFill="1" applyBorder="1"/>
    <xf numFmtId="10" fontId="11" fillId="3" borderId="0" xfId="6" applyNumberFormat="1" applyFont="1" applyFill="1" applyBorder="1"/>
    <xf numFmtId="0" fontId="12" fillId="3" borderId="0" xfId="3" applyFont="1" applyFill="1" applyBorder="1" applyAlignment="1">
      <alignment horizontal="center"/>
    </xf>
    <xf numFmtId="10" fontId="12" fillId="3" borderId="0" xfId="6" applyNumberFormat="1" applyFont="1" applyFill="1" applyBorder="1" applyAlignment="1">
      <alignment horizontal="center"/>
    </xf>
    <xf numFmtId="43" fontId="46" fillId="3" borderId="0" xfId="6" applyNumberFormat="1" applyFont="1" applyFill="1" applyBorder="1"/>
    <xf numFmtId="43" fontId="11" fillId="3" borderId="11" xfId="6" applyNumberFormat="1" applyFont="1" applyFill="1" applyBorder="1"/>
    <xf numFmtId="10" fontId="11" fillId="3" borderId="20" xfId="6" applyNumberFormat="1" applyFont="1" applyFill="1" applyBorder="1"/>
    <xf numFmtId="10" fontId="7" fillId="3" borderId="12" xfId="6" applyNumberFormat="1" applyFont="1" applyFill="1" applyBorder="1" applyAlignment="1">
      <alignment horizontal="center" wrapText="1"/>
    </xf>
    <xf numFmtId="0" fontId="7" fillId="3" borderId="12" xfId="3" applyFont="1" applyFill="1" applyBorder="1" applyAlignment="1">
      <alignment horizontal="center" wrapText="1"/>
    </xf>
    <xf numFmtId="0" fontId="5" fillId="3" borderId="7" xfId="3" applyFont="1" applyFill="1" applyBorder="1" applyAlignment="1">
      <alignment horizontal="center"/>
    </xf>
    <xf numFmtId="42" fontId="10" fillId="3" borderId="0" xfId="6" applyNumberFormat="1" applyFont="1" applyFill="1" applyBorder="1"/>
    <xf numFmtId="43" fontId="10" fillId="3" borderId="0" xfId="3" applyNumberFormat="1" applyFont="1" applyFill="1" applyBorder="1"/>
    <xf numFmtId="10" fontId="10" fillId="3" borderId="0" xfId="6" applyNumberFormat="1" applyFont="1" applyFill="1" applyBorder="1"/>
    <xf numFmtId="43" fontId="10" fillId="3" borderId="12" xfId="3" applyNumberFormat="1" applyFont="1" applyFill="1" applyBorder="1"/>
    <xf numFmtId="186" fontId="10" fillId="3" borderId="12" xfId="3" applyNumberFormat="1" applyFont="1" applyFill="1" applyBorder="1"/>
    <xf numFmtId="43" fontId="10" fillId="3" borderId="20" xfId="3" applyNumberFormat="1" applyFont="1" applyFill="1" applyBorder="1"/>
    <xf numFmtId="9" fontId="10" fillId="3" borderId="20" xfId="6" applyFont="1" applyFill="1" applyBorder="1"/>
    <xf numFmtId="10" fontId="10" fillId="3" borderId="20" xfId="6" applyNumberFormat="1" applyFont="1" applyFill="1" applyBorder="1"/>
    <xf numFmtId="187" fontId="46" fillId="3" borderId="0" xfId="6" applyNumberFormat="1" applyFont="1" applyFill="1" applyBorder="1"/>
    <xf numFmtId="173" fontId="10" fillId="3" borderId="0" xfId="6" applyNumberFormat="1" applyFont="1" applyFill="1" applyBorder="1"/>
    <xf numFmtId="188" fontId="10" fillId="3" borderId="0" xfId="6" applyNumberFormat="1" applyFont="1" applyFill="1" applyBorder="1"/>
    <xf numFmtId="41" fontId="28" fillId="3" borderId="0" xfId="3" applyNumberFormat="1" applyFont="1" applyFill="1" applyBorder="1"/>
    <xf numFmtId="0" fontId="1" fillId="3" borderId="1" xfId="3" applyFill="1" applyBorder="1"/>
    <xf numFmtId="0" fontId="1" fillId="0" borderId="0" xfId="3" applyFill="1" applyBorder="1"/>
    <xf numFmtId="174" fontId="9" fillId="2" borderId="0" xfId="5" applyNumberFormat="1" applyFont="1" applyFill="1" applyBorder="1"/>
    <xf numFmtId="42" fontId="46" fillId="3" borderId="0" xfId="6" applyNumberFormat="1" applyFont="1" applyFill="1" applyBorder="1" applyAlignment="1">
      <alignment horizontal="center" wrapText="1"/>
    </xf>
    <xf numFmtId="41" fontId="46" fillId="3" borderId="0" xfId="6" applyNumberFormat="1" applyFont="1" applyFill="1" applyBorder="1" applyAlignment="1">
      <alignment horizontal="center" wrapText="1"/>
    </xf>
    <xf numFmtId="41" fontId="46" fillId="3" borderId="12" xfId="6" applyNumberFormat="1" applyFont="1" applyFill="1" applyBorder="1"/>
    <xf numFmtId="166" fontId="10" fillId="3" borderId="0" xfId="6" applyNumberFormat="1" applyFont="1" applyFill="1" applyBorder="1"/>
    <xf numFmtId="168" fontId="46" fillId="3" borderId="0" xfId="3" applyNumberFormat="1" applyFont="1" applyFill="1" applyBorder="1" applyAlignment="1">
      <alignment horizontal="center" wrapText="1"/>
    </xf>
    <xf numFmtId="189" fontId="46" fillId="3" borderId="0" xfId="3" applyNumberFormat="1" applyFont="1" applyFill="1" applyBorder="1" applyAlignment="1">
      <alignment horizontal="right" wrapText="1"/>
    </xf>
    <xf numFmtId="168" fontId="46" fillId="3" borderId="0" xfId="3" applyNumberFormat="1" applyFont="1" applyFill="1" applyBorder="1" applyAlignment="1">
      <alignment horizontal="right" wrapText="1"/>
    </xf>
    <xf numFmtId="168" fontId="10" fillId="3" borderId="12" xfId="3" applyNumberFormat="1" applyFont="1" applyFill="1" applyBorder="1" applyAlignment="1">
      <alignment horizontal="right"/>
    </xf>
    <xf numFmtId="174" fontId="46" fillId="3" borderId="0" xfId="3" applyNumberFormat="1" applyFont="1" applyFill="1" applyBorder="1" applyAlignment="1">
      <alignment horizontal="right" wrapText="1"/>
    </xf>
    <xf numFmtId="174" fontId="46" fillId="3" borderId="0" xfId="6" applyNumberFormat="1" applyFont="1" applyFill="1" applyBorder="1" applyAlignment="1">
      <alignment horizontal="right"/>
    </xf>
    <xf numFmtId="10" fontId="10" fillId="3" borderId="0" xfId="6" applyNumberFormat="1" applyFont="1" applyFill="1" applyBorder="1" applyAlignment="1">
      <alignment horizontal="right"/>
    </xf>
    <xf numFmtId="10" fontId="46" fillId="3" borderId="0" xfId="5" applyNumberFormat="1" applyFont="1" applyFill="1" applyBorder="1" applyAlignment="1">
      <alignment horizontal="right" wrapText="1"/>
    </xf>
    <xf numFmtId="10" fontId="10" fillId="3" borderId="12" xfId="6" applyNumberFormat="1" applyFont="1" applyFill="1" applyBorder="1" applyAlignment="1">
      <alignment horizontal="right"/>
    </xf>
    <xf numFmtId="43" fontId="9" fillId="2" borderId="0" xfId="0" applyNumberFormat="1" applyFont="1" applyFill="1" applyBorder="1"/>
    <xf numFmtId="43" fontId="9" fillId="2" borderId="12" xfId="0" applyNumberFormat="1" applyFont="1" applyFill="1" applyBorder="1"/>
    <xf numFmtId="43" fontId="10" fillId="2" borderId="0" xfId="0" applyNumberFormat="1" applyFont="1" applyFill="1" applyBorder="1"/>
    <xf numFmtId="42" fontId="0" fillId="2" borderId="7" xfId="0" applyNumberFormat="1" applyFill="1" applyBorder="1"/>
    <xf numFmtId="41" fontId="46" fillId="2" borderId="12" xfId="0" applyNumberFormat="1" applyFont="1" applyFill="1" applyBorder="1"/>
    <xf numFmtId="190" fontId="5" fillId="2" borderId="0" xfId="0" applyNumberFormat="1" applyFont="1" applyFill="1" applyBorder="1"/>
    <xf numFmtId="167" fontId="10" fillId="3" borderId="12" xfId="0" applyNumberFormat="1" applyFont="1" applyFill="1" applyBorder="1"/>
    <xf numFmtId="0" fontId="8" fillId="0" borderId="0" xfId="3" applyFont="1"/>
    <xf numFmtId="0" fontId="6" fillId="0" borderId="0" xfId="3" applyFont="1"/>
    <xf numFmtId="0" fontId="8" fillId="2" borderId="3" xfId="3" applyFont="1" applyFill="1" applyBorder="1"/>
    <xf numFmtId="0" fontId="8" fillId="2" borderId="6" xfId="3" applyFont="1" applyFill="1" applyBorder="1"/>
    <xf numFmtId="171" fontId="9" fillId="2" borderId="0" xfId="2" applyNumberFormat="1" applyFont="1" applyFill="1" applyBorder="1"/>
    <xf numFmtId="166" fontId="9" fillId="2" borderId="0" xfId="5" applyNumberFormat="1" applyFont="1" applyFill="1" applyBorder="1"/>
    <xf numFmtId="44" fontId="9" fillId="2" borderId="0" xfId="5" applyNumberFormat="1" applyFont="1" applyFill="1" applyBorder="1"/>
    <xf numFmtId="0" fontId="8" fillId="2" borderId="9" xfId="3" applyFont="1" applyFill="1" applyBorder="1"/>
    <xf numFmtId="0" fontId="8" fillId="3" borderId="3" xfId="3" applyFont="1" applyFill="1" applyBorder="1"/>
    <xf numFmtId="172" fontId="10" fillId="3" borderId="0" xfId="3" applyNumberFormat="1" applyFont="1" applyFill="1" applyBorder="1"/>
    <xf numFmtId="42" fontId="10" fillId="3" borderId="0" xfId="3" applyNumberFormat="1" applyFont="1" applyFill="1" applyBorder="1"/>
    <xf numFmtId="42" fontId="10" fillId="3" borderId="0" xfId="2" applyNumberFormat="1" applyFont="1" applyFill="1" applyBorder="1"/>
    <xf numFmtId="0" fontId="25" fillId="0" borderId="0" xfId="3" applyFont="1"/>
    <xf numFmtId="8" fontId="11" fillId="3" borderId="11" xfId="2" applyNumberFormat="1" applyFont="1" applyFill="1" applyBorder="1"/>
    <xf numFmtId="191" fontId="13" fillId="0" borderId="0" xfId="1" applyNumberFormat="1" applyFont="1"/>
    <xf numFmtId="192" fontId="13" fillId="0" borderId="0" xfId="0" applyNumberFormat="1" applyFont="1"/>
    <xf numFmtId="0" fontId="16" fillId="0" borderId="0" xfId="3" applyFont="1"/>
    <xf numFmtId="0" fontId="16" fillId="0" borderId="0" xfId="3" applyFont="1" applyFill="1" applyBorder="1"/>
    <xf numFmtId="0" fontId="16" fillId="3" borderId="10" xfId="3" applyFont="1" applyFill="1" applyBorder="1"/>
    <xf numFmtId="0" fontId="18" fillId="3" borderId="1" xfId="3" applyFont="1" applyFill="1" applyBorder="1"/>
    <xf numFmtId="0" fontId="16" fillId="3" borderId="9" xfId="3" applyFont="1" applyFill="1" applyBorder="1"/>
    <xf numFmtId="0" fontId="18" fillId="3" borderId="7" xfId="3" applyFont="1" applyFill="1" applyBorder="1"/>
    <xf numFmtId="41" fontId="10" fillId="3" borderId="0" xfId="3" applyNumberFormat="1" applyFont="1" applyFill="1" applyBorder="1"/>
    <xf numFmtId="44" fontId="11" fillId="3" borderId="0" xfId="3" applyNumberFormat="1" applyFont="1" applyFill="1" applyBorder="1"/>
    <xf numFmtId="0" fontId="5" fillId="3" borderId="0" xfId="3" applyFont="1" applyFill="1" applyBorder="1" applyAlignment="1">
      <alignment horizontal="left"/>
    </xf>
    <xf numFmtId="0" fontId="16" fillId="3" borderId="6" xfId="3" applyFont="1" applyFill="1" applyBorder="1"/>
    <xf numFmtId="44" fontId="11" fillId="3" borderId="11" xfId="3" applyNumberFormat="1" applyFont="1" applyFill="1" applyBorder="1"/>
    <xf numFmtId="0" fontId="10" fillId="3" borderId="0" xfId="3" applyFont="1" applyFill="1" applyBorder="1"/>
    <xf numFmtId="44" fontId="10" fillId="3" borderId="0" xfId="3" applyNumberFormat="1" applyFont="1" applyFill="1" applyBorder="1"/>
    <xf numFmtId="166" fontId="10" fillId="3" borderId="0" xfId="3" applyNumberFormat="1" applyFont="1" applyFill="1" applyBorder="1"/>
    <xf numFmtId="41" fontId="5" fillId="3" borderId="0" xfId="3" applyNumberFormat="1" applyFont="1" applyFill="1" applyBorder="1"/>
    <xf numFmtId="41" fontId="10" fillId="3" borderId="12" xfId="3" applyNumberFormat="1" applyFont="1" applyFill="1" applyBorder="1"/>
    <xf numFmtId="0" fontId="18" fillId="3" borderId="0" xfId="3" applyFont="1" applyFill="1" applyBorder="1"/>
    <xf numFmtId="169" fontId="10" fillId="3" borderId="0" xfId="3" applyNumberFormat="1" applyFont="1" applyFill="1" applyBorder="1"/>
    <xf numFmtId="166" fontId="7" fillId="3" borderId="12" xfId="3" applyNumberFormat="1" applyFont="1" applyFill="1" applyBorder="1"/>
    <xf numFmtId="0" fontId="44" fillId="3" borderId="12" xfId="3" applyFont="1" applyFill="1" applyBorder="1" applyAlignment="1">
      <alignment horizontal="center"/>
    </xf>
    <xf numFmtId="0" fontId="7" fillId="3" borderId="12" xfId="3" applyFont="1" applyFill="1" applyBorder="1" applyAlignment="1">
      <alignment horizontal="left"/>
    </xf>
    <xf numFmtId="0" fontId="43" fillId="3" borderId="0" xfId="3" applyFont="1" applyFill="1" applyBorder="1" applyAlignment="1">
      <alignment horizontal="center"/>
    </xf>
    <xf numFmtId="10" fontId="10" fillId="3" borderId="0" xfId="3" applyNumberFormat="1" applyFont="1" applyFill="1" applyBorder="1"/>
    <xf numFmtId="0" fontId="16" fillId="3" borderId="7" xfId="3" applyFont="1" applyFill="1" applyBorder="1"/>
    <xf numFmtId="0" fontId="16" fillId="3" borderId="5" xfId="3" applyFont="1" applyFill="1" applyBorder="1"/>
    <xf numFmtId="0" fontId="16" fillId="3" borderId="4" xfId="3" applyFont="1" applyFill="1" applyBorder="1"/>
    <xf numFmtId="0" fontId="16" fillId="3" borderId="3" xfId="3" applyFont="1" applyFill="1" applyBorder="1"/>
    <xf numFmtId="0" fontId="1" fillId="2" borderId="10" xfId="3" applyFill="1" applyBorder="1"/>
    <xf numFmtId="0" fontId="1" fillId="2" borderId="1" xfId="3" applyFill="1" applyBorder="1"/>
    <xf numFmtId="0" fontId="41" fillId="2" borderId="1" xfId="3" applyFont="1" applyFill="1" applyBorder="1"/>
    <xf numFmtId="1" fontId="36" fillId="2" borderId="1" xfId="3" applyNumberFormat="1" applyFont="1" applyFill="1" applyBorder="1"/>
    <xf numFmtId="0" fontId="41" fillId="2" borderId="9" xfId="3" applyFont="1" applyFill="1" applyBorder="1"/>
    <xf numFmtId="0" fontId="1" fillId="2" borderId="7" xfId="3" applyFill="1" applyBorder="1"/>
    <xf numFmtId="41" fontId="9" fillId="2" borderId="0" xfId="3" applyNumberFormat="1" applyFont="1" applyFill="1" applyBorder="1"/>
    <xf numFmtId="0" fontId="18" fillId="2" borderId="0" xfId="3" applyFont="1" applyFill="1" applyBorder="1"/>
    <xf numFmtId="0" fontId="41" fillId="2" borderId="6" xfId="3" applyFont="1" applyFill="1" applyBorder="1"/>
    <xf numFmtId="9" fontId="9" fillId="2" borderId="0" xfId="5" applyFont="1" applyFill="1" applyBorder="1" applyAlignment="1">
      <alignment horizontal="center"/>
    </xf>
    <xf numFmtId="184" fontId="9" fillId="2" borderId="0" xfId="5" applyNumberFormat="1" applyFont="1" applyFill="1" applyBorder="1" applyAlignment="1">
      <alignment horizontal="center"/>
    </xf>
    <xf numFmtId="0" fontId="18" fillId="2" borderId="0" xfId="3" applyFont="1" applyFill="1" applyBorder="1" applyAlignment="1">
      <alignment horizontal="center"/>
    </xf>
    <xf numFmtId="0" fontId="7" fillId="2" borderId="12" xfId="3" applyFont="1" applyFill="1" applyBorder="1" applyAlignment="1">
      <alignment horizontal="center"/>
    </xf>
    <xf numFmtId="0" fontId="26" fillId="2" borderId="12" xfId="3" applyFont="1" applyFill="1" applyBorder="1" applyAlignment="1">
      <alignment horizontal="center"/>
    </xf>
    <xf numFmtId="0" fontId="7" fillId="2" borderId="0" xfId="3" applyFont="1" applyFill="1" applyBorder="1" applyAlignment="1">
      <alignment horizontal="center"/>
    </xf>
    <xf numFmtId="0" fontId="26" fillId="2" borderId="0" xfId="3" applyFont="1" applyFill="1" applyBorder="1" applyAlignment="1">
      <alignment horizontal="center"/>
    </xf>
    <xf numFmtId="0" fontId="1" fillId="2" borderId="0" xfId="3" applyFill="1" applyBorder="1"/>
    <xf numFmtId="0" fontId="41" fillId="2" borderId="0" xfId="3" applyFont="1" applyFill="1" applyBorder="1"/>
    <xf numFmtId="0" fontId="1" fillId="2" borderId="5" xfId="3" applyFill="1" applyBorder="1"/>
    <xf numFmtId="0" fontId="1" fillId="2" borderId="4" xfId="3" applyFill="1" applyBorder="1"/>
    <xf numFmtId="0" fontId="41" fillId="2" borderId="4" xfId="3" applyFont="1" applyFill="1" applyBorder="1"/>
    <xf numFmtId="0" fontId="41" fillId="2" borderId="3" xfId="3" applyFont="1" applyFill="1" applyBorder="1"/>
    <xf numFmtId="0" fontId="5" fillId="2" borderId="0" xfId="0" applyFont="1" applyFill="1" applyBorder="1"/>
    <xf numFmtId="0" fontId="5" fillId="2" borderId="0" xfId="0" applyFont="1" applyFill="1" applyBorder="1" applyAlignment="1">
      <alignment horizontal="right"/>
    </xf>
    <xf numFmtId="44" fontId="5" fillId="2" borderId="0" xfId="2" applyFont="1" applyFill="1" applyBorder="1" applyAlignment="1">
      <alignment horizontal="right"/>
    </xf>
    <xf numFmtId="0" fontId="5" fillId="2" borderId="0" xfId="0" applyFont="1" applyFill="1"/>
    <xf numFmtId="0" fontId="47" fillId="2" borderId="0" xfId="0" applyFont="1" applyFill="1" applyBorder="1"/>
    <xf numFmtId="44" fontId="47" fillId="2" borderId="0" xfId="2" applyFont="1" applyFill="1"/>
    <xf numFmtId="0" fontId="47" fillId="2" borderId="0" xfId="0" applyFont="1" applyFill="1"/>
    <xf numFmtId="0" fontId="5" fillId="3" borderId="0" xfId="0" applyFont="1" applyFill="1" applyBorder="1" applyAlignment="1">
      <alignment horizontal="left"/>
    </xf>
    <xf numFmtId="166" fontId="0" fillId="0" borderId="0" xfId="0" applyNumberFormat="1"/>
    <xf numFmtId="44" fontId="47" fillId="3" borderId="0" xfId="2" applyFont="1" applyFill="1" applyBorder="1"/>
    <xf numFmtId="0" fontId="5" fillId="3" borderId="0" xfId="0" applyFont="1" applyFill="1" applyBorder="1"/>
    <xf numFmtId="0" fontId="5" fillId="3" borderId="0" xfId="0" applyFont="1" applyFill="1"/>
    <xf numFmtId="9" fontId="0" fillId="0" borderId="0" xfId="5" applyFont="1"/>
    <xf numFmtId="41" fontId="46" fillId="2" borderId="0" xfId="0" applyNumberFormat="1" applyFont="1" applyFill="1" applyBorder="1"/>
    <xf numFmtId="42" fontId="47" fillId="2" borderId="0" xfId="0" applyNumberFormat="1" applyFont="1" applyFill="1" applyBorder="1"/>
    <xf numFmtId="190" fontId="0" fillId="0" borderId="0" xfId="0" applyNumberFormat="1"/>
    <xf numFmtId="190" fontId="16" fillId="2" borderId="0" xfId="0" applyNumberFormat="1" applyFont="1" applyFill="1" applyBorder="1"/>
    <xf numFmtId="190" fontId="0" fillId="2" borderId="0" xfId="0" applyNumberFormat="1" applyFill="1" applyBorder="1" applyAlignment="1">
      <alignment horizontal="left"/>
    </xf>
    <xf numFmtId="0" fontId="0" fillId="3" borderId="0" xfId="0" applyFill="1"/>
    <xf numFmtId="0" fontId="0" fillId="3" borderId="0" xfId="0" applyFill="1" applyAlignment="1">
      <alignment horizontal="left"/>
    </xf>
    <xf numFmtId="0" fontId="13" fillId="3" borderId="0" xfId="0" applyFont="1" applyFill="1" applyBorder="1"/>
    <xf numFmtId="42" fontId="15" fillId="3" borderId="0" xfId="0" applyNumberFormat="1" applyFont="1" applyFill="1" applyBorder="1" applyAlignment="1">
      <alignment horizontal="left"/>
    </xf>
    <xf numFmtId="42" fontId="10" fillId="3" borderId="12" xfId="0" applyNumberFormat="1" applyFont="1" applyFill="1" applyBorder="1"/>
    <xf numFmtId="193" fontId="5" fillId="3" borderId="0" xfId="0" applyNumberFormat="1" applyFont="1" applyFill="1" applyBorder="1"/>
    <xf numFmtId="8" fontId="0" fillId="0" borderId="0" xfId="0" applyNumberFormat="1"/>
    <xf numFmtId="183" fontId="15" fillId="3" borderId="0" xfId="0" applyNumberFormat="1" applyFont="1" applyFill="1" applyBorder="1"/>
    <xf numFmtId="194" fontId="9" fillId="2" borderId="0" xfId="0" applyNumberFormat="1" applyFont="1" applyFill="1" applyBorder="1"/>
    <xf numFmtId="0" fontId="49" fillId="0" borderId="19" xfId="0" applyFont="1" applyFill="1" applyBorder="1" applyAlignment="1">
      <alignment horizontal="center"/>
    </xf>
    <xf numFmtId="166" fontId="46" fillId="2" borderId="0" xfId="0" applyNumberFormat="1" applyFont="1" applyFill="1" applyBorder="1"/>
    <xf numFmtId="44" fontId="13" fillId="0" borderId="0" xfId="0" applyNumberFormat="1" applyFont="1"/>
    <xf numFmtId="0" fontId="50" fillId="2" borderId="0" xfId="0" applyFont="1" applyFill="1" applyBorder="1" applyAlignment="1">
      <alignment horizontal="right"/>
    </xf>
    <xf numFmtId="44" fontId="9" fillId="2" borderId="0" xfId="0" applyNumberFormat="1" applyFont="1" applyFill="1" applyBorder="1"/>
    <xf numFmtId="195" fontId="11" fillId="3" borderId="11" xfId="0" applyNumberFormat="1" applyFont="1" applyFill="1" applyBorder="1" applyAlignment="1">
      <alignment horizontal="right"/>
    </xf>
    <xf numFmtId="0" fontId="54" fillId="0" borderId="0" xfId="4"/>
    <xf numFmtId="0" fontId="51" fillId="0" borderId="2" xfId="4" applyFont="1" applyFill="1" applyBorder="1" applyAlignment="1">
      <alignment horizontal="centerContinuous"/>
    </xf>
    <xf numFmtId="0" fontId="54" fillId="0" borderId="0" xfId="4" applyFill="1" applyBorder="1" applyAlignment="1"/>
    <xf numFmtId="0" fontId="54" fillId="0" borderId="1" xfId="4" applyFill="1" applyBorder="1" applyAlignment="1"/>
    <xf numFmtId="0" fontId="51" fillId="0" borderId="2" xfId="4" applyFont="1" applyFill="1" applyBorder="1" applyAlignment="1">
      <alignment horizontal="center"/>
    </xf>
    <xf numFmtId="164" fontId="54" fillId="0" borderId="0" xfId="4" applyNumberFormat="1" applyFill="1" applyBorder="1" applyAlignment="1"/>
    <xf numFmtId="164" fontId="54" fillId="0" borderId="1" xfId="4" applyNumberFormat="1" applyFill="1" applyBorder="1" applyAlignment="1"/>
    <xf numFmtId="165" fontId="54" fillId="0" borderId="0" xfId="4" applyNumberFormat="1" applyFill="1" applyBorder="1" applyAlignment="1"/>
    <xf numFmtId="196" fontId="54" fillId="0" borderId="0" xfId="4" applyNumberFormat="1" applyFill="1" applyBorder="1" applyAlignment="1"/>
    <xf numFmtId="196" fontId="54" fillId="0" borderId="1" xfId="4" applyNumberFormat="1" applyFill="1" applyBorder="1" applyAlignment="1"/>
    <xf numFmtId="165" fontId="0" fillId="0" borderId="1" xfId="0" applyNumberFormat="1" applyFill="1" applyBorder="1" applyAlignment="1"/>
    <xf numFmtId="196" fontId="0" fillId="0" borderId="0" xfId="0" applyNumberFormat="1" applyFill="1" applyBorder="1" applyAlignment="1"/>
    <xf numFmtId="196" fontId="0" fillId="0" borderId="1" xfId="0" applyNumberFormat="1" applyFill="1" applyBorder="1" applyAlignment="1"/>
    <xf numFmtId="1" fontId="0" fillId="0" borderId="1" xfId="0" applyNumberFormat="1" applyFill="1" applyBorder="1" applyAlignment="1"/>
    <xf numFmtId="0" fontId="52" fillId="0" borderId="19" xfId="0" applyFont="1" applyFill="1" applyBorder="1" applyAlignment="1">
      <alignment horizontal="center"/>
    </xf>
    <xf numFmtId="2" fontId="17" fillId="4" borderId="0" xfId="0" applyNumberFormat="1" applyFont="1" applyFill="1" applyBorder="1" applyAlignment="1">
      <alignment horizontal="center"/>
    </xf>
    <xf numFmtId="0" fontId="23" fillId="4" borderId="0" xfId="0" applyFont="1" applyFill="1" applyBorder="1" applyAlignment="1">
      <alignment horizontal="center"/>
    </xf>
    <xf numFmtId="0" fontId="24" fillId="2" borderId="0" xfId="0" applyFont="1" applyFill="1" applyBorder="1" applyAlignment="1">
      <alignment horizontal="center"/>
    </xf>
    <xf numFmtId="0" fontId="24" fillId="2" borderId="7" xfId="0" applyFont="1" applyFill="1" applyBorder="1" applyAlignment="1">
      <alignment horizontal="center"/>
    </xf>
    <xf numFmtId="0" fontId="24" fillId="3" borderId="0" xfId="0" applyFont="1" applyFill="1" applyBorder="1" applyAlignment="1">
      <alignment horizontal="center"/>
    </xf>
    <xf numFmtId="0" fontId="7" fillId="3" borderId="0" xfId="0" applyFont="1" applyFill="1" applyBorder="1" applyAlignment="1">
      <alignment horizontal="center"/>
    </xf>
    <xf numFmtId="0" fontId="6" fillId="0" borderId="0" xfId="0" applyFont="1" applyAlignment="1">
      <alignment horizontal="left"/>
    </xf>
    <xf numFmtId="0" fontId="13" fillId="3" borderId="0" xfId="0" applyFont="1" applyFill="1" applyBorder="1" applyAlignment="1">
      <alignment horizontal="center"/>
    </xf>
    <xf numFmtId="0" fontId="18" fillId="3" borderId="0" xfId="0" applyFont="1" applyFill="1" applyBorder="1" applyAlignment="1">
      <alignment horizontal="center"/>
    </xf>
    <xf numFmtId="0" fontId="18" fillId="2" borderId="0" xfId="0" applyFont="1" applyFill="1" applyBorder="1" applyAlignment="1">
      <alignment horizontal="center"/>
    </xf>
    <xf numFmtId="0" fontId="13" fillId="2" borderId="0" xfId="0" applyFont="1" applyFill="1" applyBorder="1" applyAlignment="1">
      <alignment horizontal="center"/>
    </xf>
    <xf numFmtId="0" fontId="6" fillId="0" borderId="0" xfId="3" applyFont="1" applyAlignment="1">
      <alignment horizontal="left"/>
    </xf>
    <xf numFmtId="0" fontId="5" fillId="3" borderId="0" xfId="0" applyFont="1" applyFill="1" applyBorder="1" applyAlignment="1">
      <alignment horizontal="center"/>
    </xf>
    <xf numFmtId="0" fontId="7" fillId="0" borderId="0" xfId="0" applyFont="1" applyAlignment="1">
      <alignment horizontal="left"/>
    </xf>
    <xf numFmtId="0" fontId="26" fillId="3" borderId="0" xfId="0" applyFont="1" applyFill="1" applyBorder="1" applyAlignment="1">
      <alignment horizontal="center"/>
    </xf>
    <xf numFmtId="167" fontId="26" fillId="3" borderId="0" xfId="2" applyNumberFormat="1" applyFont="1" applyFill="1" applyBorder="1" applyAlignment="1">
      <alignment horizontal="center"/>
    </xf>
    <xf numFmtId="0" fontId="6" fillId="0" borderId="0" xfId="0" applyFont="1" applyAlignment="1"/>
    <xf numFmtId="10" fontId="26" fillId="3" borderId="0" xfId="5" applyNumberFormat="1" applyFont="1" applyFill="1" applyBorder="1" applyAlignment="1">
      <alignment horizontal="center"/>
    </xf>
  </cellXfs>
  <cellStyles count="7">
    <cellStyle name="Comma" xfId="1" builtinId="3"/>
    <cellStyle name="Currency" xfId="2" builtinId="4"/>
    <cellStyle name="Normal" xfId="0" builtinId="0"/>
    <cellStyle name="Normal 2" xfId="3"/>
    <cellStyle name="Normal 3" xfId="4"/>
    <cellStyle name="Percent" xfId="5" builtinId="5"/>
    <cellStyle name="Percent 2" xfId="6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Investment Opportunity Set</a:t>
            </a:r>
          </a:p>
        </c:rich>
      </c:tx>
      <c:spPr>
        <a:noFill/>
        <a:ln w="25400">
          <a:noFill/>
        </a:ln>
      </c:spPr>
    </c:title>
    <c:plotArea>
      <c:layout/>
      <c:scatterChart>
        <c:scatterStyle val="smoothMarker"/>
        <c:ser>
          <c:idx val="0"/>
          <c:order val="0"/>
          <c:marker>
            <c:symbol val="none"/>
          </c:marker>
          <c:xVal>
            <c:numRef>
              <c:f>'Chapter 11'!$E$19:$E$29</c:f>
              <c:numCache>
                <c:formatCode>0.0000%</c:formatCode>
                <c:ptCount val="11"/>
                <c:pt idx="0">
                  <c:v>9.8500000000000004E-2</c:v>
                </c:pt>
                <c:pt idx="1">
                  <c:v>9.5182497340635067E-2</c:v>
                </c:pt>
                <c:pt idx="2">
                  <c:v>9.8006220210760109E-2</c:v>
                </c:pt>
                <c:pt idx="3">
                  <c:v>0.10648372739531613</c:v>
                </c:pt>
                <c:pt idx="4">
                  <c:v>0.11941692844818946</c:v>
                </c:pt>
                <c:pt idx="5">
                  <c:v>0.13553624976367024</c:v>
                </c:pt>
                <c:pt idx="6">
                  <c:v>0.15384342949895519</c:v>
                </c:pt>
                <c:pt idx="7">
                  <c:v>0.17364786264161156</c:v>
                </c:pt>
                <c:pt idx="8">
                  <c:v>0.1944927073182951</c:v>
                </c:pt>
                <c:pt idx="9">
                  <c:v>0.21607706912118185</c:v>
                </c:pt>
                <c:pt idx="10">
                  <c:v>0.2382</c:v>
                </c:pt>
              </c:numCache>
            </c:numRef>
          </c:xVal>
          <c:yVal>
            <c:numRef>
              <c:f>'Chapter 11'!$D$19:$D$29</c:f>
              <c:numCache>
                <c:formatCode>0.00%</c:formatCode>
                <c:ptCount val="11"/>
                <c:pt idx="0">
                  <c:v>6.4500000000000002E-2</c:v>
                </c:pt>
                <c:pt idx="1">
                  <c:v>6.6630000000000009E-2</c:v>
                </c:pt>
                <c:pt idx="2">
                  <c:v>6.8760000000000016E-2</c:v>
                </c:pt>
                <c:pt idx="3">
                  <c:v>7.0889999999999995E-2</c:v>
                </c:pt>
                <c:pt idx="4">
                  <c:v>7.3020000000000002E-2</c:v>
                </c:pt>
                <c:pt idx="5">
                  <c:v>7.5149999999999995E-2</c:v>
                </c:pt>
                <c:pt idx="6">
                  <c:v>7.7280000000000001E-2</c:v>
                </c:pt>
                <c:pt idx="7">
                  <c:v>7.9409999999999994E-2</c:v>
                </c:pt>
                <c:pt idx="8">
                  <c:v>8.1540000000000001E-2</c:v>
                </c:pt>
                <c:pt idx="9">
                  <c:v>8.3669999999999994E-2</c:v>
                </c:pt>
                <c:pt idx="10">
                  <c:v>8.5800000000000001E-2</c:v>
                </c:pt>
              </c:numCache>
            </c:numRef>
          </c:yVal>
          <c:smooth val="1"/>
        </c:ser>
        <c:axId val="35898112"/>
        <c:axId val="35900416"/>
      </c:scatterChart>
      <c:valAx>
        <c:axId val="35898112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Portfolio Standard Deviation</a:t>
                </a:r>
              </a:p>
            </c:rich>
          </c:tx>
          <c:spPr>
            <a:noFill/>
            <a:ln w="25400">
              <a:noFill/>
            </a:ln>
          </c:spPr>
        </c:title>
        <c:numFmt formatCode="0.00%" sourceLinked="0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35900416"/>
        <c:crosses val="autoZero"/>
        <c:crossBetween val="midCat"/>
      </c:valAx>
      <c:valAx>
        <c:axId val="35900416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Portfolio Expected Return</a:t>
                </a:r>
              </a:p>
            </c:rich>
          </c:tx>
          <c:spPr>
            <a:noFill/>
            <a:ln w="25400">
              <a:noFill/>
            </a:ln>
          </c:spPr>
        </c:title>
        <c:numFmt formatCode="0.00%" sourceLinked="1"/>
        <c:tickLblPos val="nextTo"/>
        <c:crossAx val="35898112"/>
        <c:crosses val="autoZero"/>
        <c:crossBetween val="midCat"/>
      </c:valAx>
    </c:plotArea>
    <c:plotVisOnly val="1"/>
    <c:dispBlanksAs val="gap"/>
  </c:chart>
  <c:printSettings>
    <c:headerFooter/>
    <c:pageMargins b="0.75000000000000522" l="0.70000000000000062" r="0.70000000000000062" t="0.75000000000000522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1581150</xdr:colOff>
      <xdr:row>56</xdr:row>
      <xdr:rowOff>57150</xdr:rowOff>
    </xdr:from>
    <xdr:to>
      <xdr:col>6</xdr:col>
      <xdr:colOff>457200</xdr:colOff>
      <xdr:row>70</xdr:row>
      <xdr:rowOff>133350</xdr:rowOff>
    </xdr:to>
    <xdr:graphicFrame macro="">
      <xdr:nvGraphicFramePr>
        <xdr:cNvPr id="2049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C102"/>
  <sheetViews>
    <sheetView tabSelected="1" workbookViewId="0"/>
  </sheetViews>
  <sheetFormatPr defaultRowHeight="12.75"/>
  <cols>
    <col min="1" max="3" width="9.140625" style="94"/>
    <col min="4" max="4" width="42.5703125" style="94" customWidth="1"/>
    <col min="5" max="16384" width="9.140625" style="94"/>
  </cols>
  <sheetData>
    <row r="1" spans="1:29">
      <c r="A1" s="92"/>
      <c r="B1" s="92"/>
      <c r="C1" s="92"/>
      <c r="D1" s="92"/>
      <c r="E1" s="92"/>
      <c r="F1" s="92"/>
      <c r="G1" s="92"/>
      <c r="H1" s="92"/>
      <c r="I1" s="92"/>
      <c r="J1" s="92"/>
      <c r="K1" s="92"/>
      <c r="L1" s="92"/>
      <c r="M1" s="93"/>
      <c r="N1" s="93"/>
      <c r="O1" s="93"/>
      <c r="P1" s="93"/>
      <c r="Q1" s="93"/>
      <c r="R1" s="93"/>
      <c r="S1" s="93"/>
      <c r="T1" s="93"/>
      <c r="U1" s="93"/>
      <c r="V1" s="93"/>
      <c r="W1" s="93"/>
      <c r="X1" s="93"/>
      <c r="Y1" s="93"/>
      <c r="Z1" s="93"/>
      <c r="AA1" s="93"/>
      <c r="AB1" s="93"/>
      <c r="AC1" s="93"/>
    </row>
    <row r="2" spans="1:29">
      <c r="A2" s="92"/>
      <c r="B2" s="92"/>
      <c r="C2" s="92"/>
      <c r="D2" s="92"/>
      <c r="E2" s="92"/>
      <c r="F2" s="92"/>
      <c r="G2" s="92"/>
      <c r="H2" s="92"/>
      <c r="I2" s="92"/>
      <c r="J2" s="92"/>
      <c r="K2" s="92"/>
      <c r="L2" s="92"/>
      <c r="M2" s="93"/>
      <c r="N2" s="93"/>
      <c r="O2" s="93"/>
      <c r="P2" s="93"/>
      <c r="Q2" s="93"/>
      <c r="R2" s="93"/>
      <c r="S2" s="93"/>
      <c r="T2" s="93"/>
      <c r="U2" s="93"/>
      <c r="V2" s="93"/>
      <c r="W2" s="93"/>
      <c r="X2" s="93"/>
      <c r="Y2" s="93"/>
      <c r="Z2" s="93"/>
      <c r="AA2" s="93"/>
      <c r="AB2" s="93"/>
      <c r="AC2" s="93"/>
    </row>
    <row r="3" spans="1:29">
      <c r="A3" s="92"/>
      <c r="B3" s="92"/>
      <c r="C3" s="92"/>
      <c r="D3" s="92"/>
      <c r="E3" s="92"/>
      <c r="F3" s="92"/>
      <c r="G3" s="92"/>
      <c r="H3" s="92"/>
      <c r="I3" s="92"/>
      <c r="J3" s="92"/>
      <c r="K3" s="92"/>
      <c r="L3" s="92"/>
      <c r="M3" s="93"/>
      <c r="N3" s="93"/>
      <c r="O3" s="93"/>
      <c r="P3" s="93"/>
      <c r="Q3" s="93"/>
      <c r="R3" s="93"/>
      <c r="S3" s="93"/>
      <c r="T3" s="93"/>
      <c r="U3" s="93"/>
      <c r="V3" s="93"/>
      <c r="W3" s="93"/>
      <c r="X3" s="93"/>
      <c r="Y3" s="93"/>
      <c r="Z3" s="93"/>
      <c r="AA3" s="93"/>
      <c r="AB3" s="93"/>
      <c r="AC3" s="93"/>
    </row>
    <row r="4" spans="1:29">
      <c r="A4" s="92"/>
      <c r="B4" s="92"/>
      <c r="C4" s="92"/>
      <c r="D4" s="92"/>
      <c r="E4" s="92"/>
      <c r="F4" s="92"/>
      <c r="G4" s="92"/>
      <c r="H4" s="92"/>
      <c r="I4" s="92"/>
      <c r="J4" s="92"/>
      <c r="K4" s="92"/>
      <c r="L4" s="92"/>
      <c r="M4" s="93"/>
      <c r="N4" s="93"/>
      <c r="O4" s="93"/>
      <c r="P4" s="93"/>
      <c r="Q4" s="93"/>
      <c r="R4" s="93"/>
      <c r="S4" s="93"/>
      <c r="T4" s="93"/>
      <c r="U4" s="93"/>
      <c r="V4" s="93"/>
      <c r="W4" s="93"/>
      <c r="X4" s="93"/>
      <c r="Y4" s="93"/>
      <c r="Z4" s="93"/>
      <c r="AA4" s="93"/>
      <c r="AB4" s="93"/>
      <c r="AC4" s="93"/>
    </row>
    <row r="5" spans="1:29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3"/>
      <c r="N5" s="93"/>
      <c r="O5" s="93"/>
      <c r="P5" s="93"/>
      <c r="Q5" s="93"/>
      <c r="R5" s="93"/>
      <c r="S5" s="93"/>
      <c r="T5" s="93"/>
      <c r="U5" s="93"/>
      <c r="V5" s="93"/>
      <c r="W5" s="93"/>
      <c r="X5" s="93"/>
      <c r="Y5" s="93"/>
      <c r="Z5" s="93"/>
      <c r="AA5" s="93"/>
      <c r="AB5" s="93"/>
      <c r="AC5" s="93"/>
    </row>
    <row r="6" spans="1:29">
      <c r="A6" s="92"/>
      <c r="B6" s="92"/>
      <c r="C6" s="92"/>
      <c r="D6" s="92"/>
      <c r="E6" s="92"/>
      <c r="F6" s="92"/>
      <c r="G6" s="92"/>
      <c r="H6" s="92"/>
      <c r="I6" s="92"/>
      <c r="J6" s="92"/>
      <c r="K6" s="92"/>
      <c r="L6" s="92"/>
      <c r="M6" s="93"/>
      <c r="N6" s="93"/>
      <c r="O6" s="93"/>
      <c r="P6" s="93"/>
      <c r="Q6" s="93"/>
      <c r="R6" s="93"/>
      <c r="S6" s="93"/>
      <c r="T6" s="93"/>
      <c r="U6" s="93"/>
      <c r="V6" s="93"/>
      <c r="W6" s="93"/>
      <c r="X6" s="93"/>
      <c r="Y6" s="93"/>
      <c r="Z6" s="93"/>
      <c r="AA6" s="93"/>
      <c r="AB6" s="93"/>
      <c r="AC6" s="93"/>
    </row>
    <row r="7" spans="1:29" ht="59.25">
      <c r="A7" s="92"/>
      <c r="B7" s="92"/>
      <c r="C7" s="92"/>
      <c r="D7" s="766" t="s">
        <v>147</v>
      </c>
      <c r="E7" s="766"/>
      <c r="F7" s="766"/>
      <c r="G7" s="766"/>
      <c r="H7" s="766"/>
      <c r="I7" s="92"/>
      <c r="J7" s="92"/>
      <c r="K7" s="92"/>
      <c r="L7" s="92"/>
      <c r="M7" s="93"/>
      <c r="N7" s="93"/>
      <c r="O7" s="93"/>
      <c r="P7" s="93"/>
      <c r="Q7" s="93"/>
      <c r="R7" s="93"/>
      <c r="S7" s="93"/>
      <c r="T7" s="93"/>
      <c r="U7" s="93"/>
      <c r="V7" s="93"/>
      <c r="W7" s="93"/>
      <c r="X7" s="93"/>
      <c r="Y7" s="93"/>
      <c r="Z7" s="93"/>
      <c r="AA7" s="93"/>
      <c r="AB7" s="93"/>
      <c r="AC7" s="93"/>
    </row>
    <row r="8" spans="1:29" ht="30">
      <c r="A8" s="92"/>
      <c r="B8" s="92"/>
      <c r="C8" s="92"/>
      <c r="D8" s="767" t="s">
        <v>715</v>
      </c>
      <c r="E8" s="767"/>
      <c r="F8" s="767"/>
      <c r="G8" s="767"/>
      <c r="H8" s="767"/>
      <c r="I8" s="92"/>
      <c r="J8" s="92"/>
      <c r="K8" s="92"/>
      <c r="L8" s="92"/>
      <c r="M8" s="93"/>
      <c r="N8" s="93"/>
      <c r="O8" s="93"/>
      <c r="P8" s="93"/>
      <c r="Q8" s="93"/>
      <c r="R8" s="93"/>
      <c r="S8" s="93"/>
      <c r="T8" s="93"/>
      <c r="U8" s="93"/>
      <c r="V8" s="93"/>
      <c r="W8" s="93"/>
      <c r="X8" s="93"/>
      <c r="Y8" s="93"/>
      <c r="Z8" s="93"/>
      <c r="AA8" s="93"/>
      <c r="AB8" s="93"/>
      <c r="AC8" s="93"/>
    </row>
    <row r="9" spans="1:29" ht="30">
      <c r="A9" s="92"/>
      <c r="B9" s="92"/>
      <c r="C9" s="92"/>
      <c r="D9" s="767" t="s">
        <v>896</v>
      </c>
      <c r="E9" s="767"/>
      <c r="F9" s="767"/>
      <c r="G9" s="767"/>
      <c r="H9" s="767"/>
      <c r="I9" s="92"/>
      <c r="J9" s="92"/>
      <c r="K9" s="92"/>
      <c r="L9" s="92"/>
      <c r="M9" s="93"/>
      <c r="N9" s="93"/>
      <c r="O9" s="93"/>
      <c r="P9" s="93"/>
      <c r="Q9" s="93"/>
      <c r="R9" s="93"/>
      <c r="S9" s="93"/>
      <c r="T9" s="93"/>
      <c r="U9" s="93"/>
      <c r="V9" s="93"/>
      <c r="W9" s="93"/>
      <c r="X9" s="93"/>
      <c r="Y9" s="93"/>
      <c r="Z9" s="93"/>
      <c r="AA9" s="93"/>
      <c r="AB9" s="93"/>
      <c r="AC9" s="93"/>
    </row>
    <row r="10" spans="1:29" ht="30">
      <c r="A10" s="92"/>
      <c r="B10" s="92"/>
      <c r="C10" s="92"/>
      <c r="D10" s="767" t="s">
        <v>133</v>
      </c>
      <c r="E10" s="767"/>
      <c r="F10" s="767"/>
      <c r="G10" s="767"/>
      <c r="H10" s="767"/>
      <c r="I10" s="92"/>
      <c r="J10" s="92"/>
      <c r="K10" s="92"/>
      <c r="L10" s="92"/>
      <c r="M10" s="93"/>
      <c r="N10" s="93"/>
      <c r="O10" s="93"/>
      <c r="P10" s="93"/>
      <c r="Q10" s="93"/>
      <c r="R10" s="93"/>
      <c r="S10" s="93"/>
      <c r="T10" s="93"/>
      <c r="U10" s="93"/>
      <c r="V10" s="93"/>
      <c r="W10" s="93"/>
      <c r="X10" s="93"/>
      <c r="Y10" s="93"/>
      <c r="Z10" s="93"/>
      <c r="AA10" s="93"/>
      <c r="AB10" s="93"/>
      <c r="AC10" s="93"/>
    </row>
    <row r="11" spans="1:29">
      <c r="A11" s="92"/>
      <c r="B11" s="92"/>
      <c r="C11" s="92"/>
      <c r="D11" s="92"/>
      <c r="E11" s="92"/>
      <c r="F11" s="92"/>
      <c r="G11" s="92"/>
      <c r="H11" s="92"/>
      <c r="I11" s="92"/>
      <c r="J11" s="92"/>
      <c r="K11" s="92"/>
      <c r="L11" s="92"/>
      <c r="M11" s="93"/>
      <c r="N11" s="93"/>
      <c r="O11" s="93"/>
      <c r="P11" s="93"/>
      <c r="Q11" s="93"/>
      <c r="R11" s="93"/>
      <c r="S11" s="93"/>
      <c r="T11" s="93"/>
      <c r="U11" s="93"/>
      <c r="V11" s="93"/>
      <c r="W11" s="93"/>
      <c r="X11" s="93"/>
      <c r="Y11" s="93"/>
      <c r="Z11" s="93"/>
      <c r="AA11" s="93"/>
      <c r="AB11" s="93"/>
      <c r="AC11" s="93"/>
    </row>
    <row r="12" spans="1:29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3"/>
      <c r="N12" s="93"/>
      <c r="O12" s="93"/>
      <c r="P12" s="93"/>
      <c r="Q12" s="93"/>
      <c r="R12" s="93"/>
      <c r="S12" s="93"/>
      <c r="T12" s="93"/>
      <c r="U12" s="93"/>
      <c r="V12" s="93"/>
      <c r="W12" s="93"/>
      <c r="X12" s="93"/>
      <c r="Y12" s="93"/>
      <c r="Z12" s="93"/>
      <c r="AA12" s="93"/>
      <c r="AB12" s="93"/>
      <c r="AC12" s="93"/>
    </row>
    <row r="13" spans="1:29" ht="15">
      <c r="A13" s="92"/>
      <c r="B13" s="92"/>
      <c r="C13" s="92"/>
      <c r="D13" s="95"/>
      <c r="E13" s="92"/>
      <c r="F13" s="92"/>
      <c r="G13" s="92"/>
      <c r="H13" s="92"/>
      <c r="I13" s="92"/>
      <c r="J13" s="92"/>
      <c r="K13" s="92"/>
      <c r="L13" s="92"/>
      <c r="M13" s="93"/>
      <c r="N13" s="93"/>
      <c r="O13" s="93"/>
      <c r="P13" s="93"/>
      <c r="Q13" s="93"/>
      <c r="R13" s="93"/>
      <c r="S13" s="93"/>
      <c r="T13" s="93"/>
      <c r="U13" s="93"/>
      <c r="V13" s="93"/>
      <c r="W13" s="93"/>
      <c r="X13" s="93"/>
      <c r="Y13" s="93"/>
      <c r="Z13" s="93"/>
      <c r="AA13" s="93"/>
      <c r="AB13" s="93"/>
      <c r="AC13" s="93"/>
    </row>
    <row r="14" spans="1:29" ht="15.75">
      <c r="A14" s="92"/>
      <c r="B14" s="92"/>
      <c r="C14" s="92"/>
      <c r="D14" s="96" t="s">
        <v>128</v>
      </c>
      <c r="E14" s="92"/>
      <c r="F14" s="92"/>
      <c r="G14" s="92"/>
      <c r="H14" s="92"/>
      <c r="I14" s="92"/>
      <c r="J14" s="92"/>
      <c r="K14" s="92"/>
      <c r="L14" s="92"/>
      <c r="M14" s="93"/>
      <c r="N14" s="93"/>
      <c r="O14" s="93"/>
      <c r="P14" s="93"/>
      <c r="Q14" s="93"/>
      <c r="R14" s="93"/>
      <c r="S14" s="93"/>
      <c r="T14" s="93"/>
      <c r="U14" s="93"/>
      <c r="V14" s="93"/>
      <c r="W14" s="93"/>
      <c r="X14" s="93"/>
      <c r="Y14" s="93"/>
      <c r="Z14" s="93"/>
      <c r="AA14" s="93"/>
      <c r="AB14" s="93"/>
      <c r="AC14" s="93"/>
    </row>
    <row r="15" spans="1:29" ht="15.75">
      <c r="A15" s="92"/>
      <c r="B15" s="92"/>
      <c r="C15" s="92"/>
      <c r="D15" s="97" t="s">
        <v>129</v>
      </c>
      <c r="E15" s="92"/>
      <c r="F15" s="92"/>
      <c r="G15" s="92"/>
      <c r="H15" s="92"/>
      <c r="I15" s="92"/>
      <c r="J15" s="92"/>
      <c r="K15" s="92"/>
      <c r="L15" s="92"/>
      <c r="M15" s="93"/>
      <c r="N15" s="93"/>
      <c r="O15" s="93"/>
      <c r="P15" s="93"/>
      <c r="Q15" s="93"/>
      <c r="R15" s="93"/>
      <c r="S15" s="93"/>
      <c r="T15" s="93"/>
      <c r="U15" s="93"/>
      <c r="V15" s="93"/>
      <c r="W15" s="93"/>
      <c r="X15" s="93"/>
      <c r="Y15" s="93"/>
      <c r="Z15" s="93"/>
      <c r="AA15" s="93"/>
      <c r="AB15" s="93"/>
      <c r="AC15" s="93"/>
    </row>
    <row r="16" spans="1:29" ht="15.75">
      <c r="A16" s="92"/>
      <c r="B16" s="92"/>
      <c r="C16" s="92"/>
      <c r="D16" s="98" t="s">
        <v>130</v>
      </c>
      <c r="E16" s="92"/>
      <c r="F16" s="92"/>
      <c r="G16" s="92"/>
      <c r="H16" s="92"/>
      <c r="I16" s="92"/>
      <c r="J16" s="92"/>
      <c r="K16" s="92"/>
      <c r="L16" s="92"/>
      <c r="M16" s="93"/>
      <c r="N16" s="93"/>
      <c r="O16" s="93"/>
      <c r="P16" s="93"/>
      <c r="Q16" s="93"/>
      <c r="R16" s="93"/>
      <c r="S16" s="93"/>
      <c r="T16" s="93"/>
      <c r="U16" s="93"/>
      <c r="V16" s="93"/>
      <c r="W16" s="93"/>
      <c r="X16" s="93"/>
      <c r="Y16" s="93"/>
      <c r="Z16" s="93"/>
      <c r="AA16" s="93"/>
      <c r="AB16" s="93"/>
      <c r="AC16" s="93"/>
    </row>
    <row r="17" spans="1:29" ht="15.75">
      <c r="A17" s="92"/>
      <c r="B17" s="92"/>
      <c r="C17" s="92"/>
      <c r="D17" s="99" t="s">
        <v>131</v>
      </c>
      <c r="E17" s="92"/>
      <c r="F17" s="92"/>
      <c r="G17" s="92"/>
      <c r="H17" s="92"/>
      <c r="I17" s="92"/>
      <c r="J17" s="92"/>
      <c r="K17" s="92"/>
      <c r="L17" s="92"/>
      <c r="M17" s="93"/>
      <c r="N17" s="93"/>
      <c r="O17" s="93"/>
      <c r="P17" s="93"/>
      <c r="Q17" s="93"/>
      <c r="R17" s="93"/>
      <c r="S17" s="93"/>
      <c r="T17" s="93"/>
      <c r="U17" s="93"/>
      <c r="V17" s="93"/>
      <c r="W17" s="93"/>
      <c r="X17" s="93"/>
      <c r="Y17" s="93"/>
      <c r="Z17" s="93"/>
      <c r="AA17" s="93"/>
      <c r="AB17" s="93"/>
      <c r="AC17" s="93"/>
    </row>
    <row r="18" spans="1:29" ht="15.75">
      <c r="A18" s="92"/>
      <c r="B18" s="92"/>
      <c r="C18" s="92"/>
      <c r="D18" s="100" t="s">
        <v>132</v>
      </c>
      <c r="E18" s="92"/>
      <c r="F18" s="92"/>
      <c r="G18" s="92"/>
      <c r="H18" s="92"/>
      <c r="I18" s="92"/>
      <c r="J18" s="92"/>
      <c r="K18" s="92"/>
      <c r="L18" s="92"/>
      <c r="M18" s="93"/>
      <c r="N18" s="93"/>
      <c r="O18" s="93"/>
      <c r="P18" s="93"/>
      <c r="Q18" s="93"/>
      <c r="R18" s="93"/>
      <c r="S18" s="93"/>
      <c r="T18" s="93"/>
      <c r="U18" s="93"/>
      <c r="V18" s="93"/>
      <c r="W18" s="93"/>
      <c r="X18" s="93"/>
      <c r="Y18" s="93"/>
      <c r="Z18" s="93"/>
      <c r="AA18" s="93"/>
      <c r="AB18" s="93"/>
      <c r="AC18" s="93"/>
    </row>
    <row r="19" spans="1:29" ht="15">
      <c r="A19" s="92"/>
      <c r="B19" s="92"/>
      <c r="C19" s="92"/>
      <c r="D19" s="95"/>
      <c r="E19" s="92"/>
      <c r="F19" s="92"/>
      <c r="G19" s="92"/>
      <c r="H19" s="92"/>
      <c r="I19" s="92"/>
      <c r="J19" s="92"/>
      <c r="K19" s="92"/>
      <c r="L19" s="92"/>
      <c r="M19" s="93"/>
      <c r="N19" s="93"/>
      <c r="O19" s="93"/>
      <c r="P19" s="93"/>
      <c r="Q19" s="93"/>
      <c r="R19" s="93"/>
      <c r="S19" s="93"/>
      <c r="T19" s="93"/>
      <c r="U19" s="93"/>
      <c r="V19" s="93"/>
      <c r="W19" s="93"/>
      <c r="X19" s="93"/>
      <c r="Y19" s="93"/>
      <c r="Z19" s="93"/>
      <c r="AA19" s="93"/>
      <c r="AB19" s="93"/>
      <c r="AC19" s="93"/>
    </row>
    <row r="20" spans="1:29">
      <c r="A20" s="92"/>
      <c r="B20" s="92"/>
      <c r="C20" s="92"/>
      <c r="D20" s="247" t="s">
        <v>342</v>
      </c>
      <c r="E20" s="92"/>
      <c r="F20" s="92"/>
      <c r="G20" s="92"/>
      <c r="H20" s="92"/>
      <c r="I20" s="92"/>
      <c r="J20" s="92"/>
      <c r="K20" s="92"/>
      <c r="L20" s="92"/>
      <c r="M20" s="93"/>
      <c r="N20" s="93"/>
      <c r="O20" s="93"/>
      <c r="P20" s="93"/>
      <c r="Q20" s="93"/>
      <c r="R20" s="93"/>
      <c r="S20" s="93"/>
      <c r="T20" s="93"/>
      <c r="U20" s="93"/>
      <c r="V20" s="93"/>
      <c r="W20" s="93"/>
      <c r="X20" s="93"/>
      <c r="Y20" s="93"/>
      <c r="Z20" s="93"/>
      <c r="AA20" s="93"/>
      <c r="AB20" s="93"/>
      <c r="AC20" s="93"/>
    </row>
    <row r="21" spans="1:29">
      <c r="A21" s="92"/>
      <c r="B21" s="92"/>
      <c r="C21" s="92"/>
      <c r="D21" s="247" t="s">
        <v>343</v>
      </c>
      <c r="E21" s="92"/>
      <c r="F21" s="92"/>
      <c r="G21" s="92"/>
      <c r="H21" s="92"/>
      <c r="I21" s="92"/>
      <c r="J21" s="92"/>
      <c r="K21" s="92"/>
      <c r="L21" s="92"/>
      <c r="M21" s="93"/>
      <c r="N21" s="93"/>
      <c r="O21" s="93"/>
      <c r="P21" s="93"/>
      <c r="Q21" s="93"/>
      <c r="R21" s="93"/>
      <c r="S21" s="93"/>
      <c r="T21" s="93"/>
      <c r="U21" s="93"/>
      <c r="V21" s="93"/>
      <c r="W21" s="93"/>
      <c r="X21" s="93"/>
      <c r="Y21" s="93"/>
      <c r="Z21" s="93"/>
      <c r="AA21" s="93"/>
      <c r="AB21" s="93"/>
      <c r="AC21" s="93"/>
    </row>
    <row r="22" spans="1:29">
      <c r="A22" s="92"/>
      <c r="B22" s="92"/>
      <c r="C22" s="92"/>
      <c r="D22" s="247" t="s">
        <v>344</v>
      </c>
      <c r="E22" s="92"/>
      <c r="F22" s="92"/>
      <c r="G22" s="92"/>
      <c r="H22" s="92"/>
      <c r="I22" s="92"/>
      <c r="J22" s="92"/>
      <c r="K22" s="92"/>
      <c r="L22" s="92"/>
      <c r="M22" s="93"/>
      <c r="N22" s="93"/>
      <c r="O22" s="93"/>
      <c r="P22" s="93"/>
      <c r="Q22" s="93"/>
      <c r="R22" s="93"/>
      <c r="S22" s="93"/>
      <c r="T22" s="93"/>
      <c r="U22" s="93"/>
      <c r="V22" s="93"/>
      <c r="W22" s="93"/>
      <c r="X22" s="93"/>
      <c r="Y22" s="93"/>
      <c r="Z22" s="93"/>
      <c r="AA22" s="93"/>
      <c r="AB22" s="93"/>
      <c r="AC22" s="93"/>
    </row>
    <row r="23" spans="1:29">
      <c r="A23" s="92"/>
      <c r="B23" s="92"/>
      <c r="C23" s="92"/>
      <c r="D23" s="247" t="s">
        <v>345</v>
      </c>
      <c r="E23" s="92"/>
      <c r="F23" s="92"/>
      <c r="G23" s="92"/>
      <c r="H23" s="92"/>
      <c r="I23" s="92"/>
      <c r="J23" s="92"/>
      <c r="K23" s="92"/>
      <c r="L23" s="92"/>
      <c r="M23" s="93"/>
      <c r="N23" s="93"/>
      <c r="O23" s="93"/>
      <c r="P23" s="93"/>
      <c r="Q23" s="93"/>
      <c r="R23" s="93"/>
      <c r="S23" s="93"/>
      <c r="T23" s="93"/>
      <c r="U23" s="93"/>
      <c r="V23" s="93"/>
      <c r="W23" s="93"/>
      <c r="X23" s="93"/>
      <c r="Y23" s="93"/>
      <c r="Z23" s="93"/>
      <c r="AA23" s="93"/>
      <c r="AB23" s="93"/>
      <c r="AC23" s="93"/>
    </row>
    <row r="24" spans="1:29">
      <c r="A24" s="92"/>
      <c r="B24" s="92"/>
      <c r="C24" s="92"/>
      <c r="D24" s="92"/>
      <c r="E24" s="92"/>
      <c r="F24" s="92"/>
      <c r="G24" s="92"/>
      <c r="H24" s="92"/>
      <c r="I24" s="92"/>
      <c r="J24" s="92"/>
      <c r="K24" s="92"/>
      <c r="L24" s="92"/>
      <c r="M24" s="93"/>
      <c r="N24" s="93"/>
      <c r="O24" s="93"/>
      <c r="P24" s="93"/>
      <c r="Q24" s="93"/>
      <c r="R24" s="93"/>
      <c r="S24" s="93"/>
      <c r="T24" s="93"/>
      <c r="U24" s="93"/>
      <c r="V24" s="93"/>
      <c r="W24" s="93"/>
      <c r="X24" s="93"/>
      <c r="Y24" s="93"/>
      <c r="Z24" s="93"/>
      <c r="AA24" s="93"/>
      <c r="AB24" s="93"/>
      <c r="AC24" s="93"/>
    </row>
    <row r="25" spans="1:29">
      <c r="A25" s="92"/>
      <c r="B25" s="92"/>
      <c r="C25" s="92"/>
      <c r="D25" s="92"/>
      <c r="E25" s="92"/>
      <c r="F25" s="92"/>
      <c r="G25" s="92"/>
      <c r="H25" s="92"/>
      <c r="I25" s="92"/>
      <c r="J25" s="92"/>
      <c r="K25" s="92"/>
      <c r="L25" s="92"/>
      <c r="M25" s="93"/>
      <c r="N25" s="93"/>
      <c r="O25" s="93"/>
      <c r="P25" s="93"/>
      <c r="Q25" s="93"/>
      <c r="R25" s="93"/>
      <c r="S25" s="93"/>
      <c r="T25" s="93"/>
      <c r="U25" s="93"/>
      <c r="V25" s="93"/>
      <c r="W25" s="93"/>
      <c r="X25" s="93"/>
      <c r="Y25" s="93"/>
      <c r="Z25" s="93"/>
      <c r="AA25" s="93"/>
      <c r="AB25" s="93"/>
      <c r="AC25" s="93"/>
    </row>
    <row r="26" spans="1:29">
      <c r="A26" s="92"/>
      <c r="B26" s="92"/>
      <c r="C26" s="92"/>
      <c r="D26" s="92"/>
      <c r="E26" s="92"/>
      <c r="F26" s="92"/>
      <c r="G26" s="92"/>
      <c r="H26" s="92"/>
      <c r="I26" s="92"/>
      <c r="J26" s="92"/>
      <c r="K26" s="92"/>
      <c r="L26" s="92"/>
      <c r="M26" s="93"/>
      <c r="N26" s="93"/>
      <c r="O26" s="93"/>
      <c r="P26" s="93"/>
      <c r="Q26" s="93"/>
      <c r="R26" s="93"/>
      <c r="S26" s="93"/>
      <c r="T26" s="93"/>
      <c r="U26" s="93"/>
      <c r="V26" s="93"/>
      <c r="W26" s="93"/>
      <c r="X26" s="93"/>
      <c r="Y26" s="93"/>
      <c r="Z26" s="93"/>
      <c r="AA26" s="93"/>
      <c r="AB26" s="93"/>
      <c r="AC26" s="93"/>
    </row>
    <row r="27" spans="1:29">
      <c r="A27" s="92"/>
      <c r="B27" s="92"/>
      <c r="C27" s="92"/>
      <c r="D27" s="92"/>
      <c r="E27" s="92"/>
      <c r="F27" s="92"/>
      <c r="G27" s="92"/>
      <c r="H27" s="92"/>
      <c r="I27" s="92"/>
      <c r="J27" s="92"/>
      <c r="K27" s="92"/>
      <c r="L27" s="92"/>
      <c r="M27" s="93"/>
      <c r="N27" s="93"/>
      <c r="O27" s="93"/>
      <c r="P27" s="93"/>
      <c r="Q27" s="93"/>
      <c r="R27" s="93"/>
      <c r="S27" s="93"/>
      <c r="T27" s="93"/>
      <c r="U27" s="93"/>
      <c r="V27" s="93"/>
      <c r="W27" s="93"/>
      <c r="X27" s="93"/>
      <c r="Y27" s="93"/>
      <c r="Z27" s="93"/>
      <c r="AA27" s="93"/>
      <c r="AB27" s="93"/>
      <c r="AC27" s="93"/>
    </row>
    <row r="28" spans="1:29">
      <c r="A28" s="92"/>
      <c r="B28" s="92"/>
      <c r="C28" s="92"/>
      <c r="D28" s="92"/>
      <c r="E28" s="92"/>
      <c r="F28" s="92"/>
      <c r="G28" s="92"/>
      <c r="H28" s="92"/>
      <c r="I28" s="92"/>
      <c r="J28" s="92"/>
      <c r="K28" s="92"/>
      <c r="L28" s="92"/>
      <c r="M28" s="93"/>
      <c r="N28" s="93"/>
      <c r="O28" s="93"/>
      <c r="P28" s="93"/>
      <c r="Q28" s="93"/>
      <c r="R28" s="93"/>
      <c r="S28" s="93"/>
      <c r="T28" s="93"/>
      <c r="U28" s="93"/>
      <c r="V28" s="93"/>
      <c r="W28" s="93"/>
      <c r="X28" s="93"/>
      <c r="Y28" s="93"/>
      <c r="Z28" s="93"/>
      <c r="AA28" s="93"/>
      <c r="AB28" s="93"/>
      <c r="AC28" s="93"/>
    </row>
    <row r="29" spans="1:29">
      <c r="A29" s="92"/>
      <c r="B29" s="92"/>
      <c r="C29" s="92"/>
      <c r="D29" s="92"/>
      <c r="E29" s="92"/>
      <c r="F29" s="92"/>
      <c r="G29" s="92"/>
      <c r="H29" s="92"/>
      <c r="I29" s="92"/>
      <c r="J29" s="92"/>
      <c r="K29" s="92"/>
      <c r="L29" s="92"/>
      <c r="M29" s="93"/>
      <c r="N29" s="93"/>
      <c r="O29" s="93"/>
      <c r="P29" s="93"/>
      <c r="Q29" s="93"/>
      <c r="R29" s="93"/>
      <c r="S29" s="93"/>
      <c r="T29" s="93"/>
      <c r="U29" s="93"/>
      <c r="V29" s="93"/>
      <c r="W29" s="93"/>
      <c r="X29" s="93"/>
      <c r="Y29" s="93"/>
      <c r="Z29" s="93"/>
      <c r="AA29" s="93"/>
      <c r="AB29" s="93"/>
      <c r="AC29" s="93"/>
    </row>
    <row r="30" spans="1:29">
      <c r="A30" s="92"/>
      <c r="B30" s="92"/>
      <c r="C30" s="92"/>
      <c r="D30" s="92"/>
      <c r="E30" s="92"/>
      <c r="F30" s="92"/>
      <c r="G30" s="92"/>
      <c r="H30" s="92"/>
      <c r="I30" s="92"/>
      <c r="J30" s="92"/>
      <c r="K30" s="92"/>
      <c r="L30" s="92"/>
      <c r="M30" s="93"/>
      <c r="N30" s="93"/>
      <c r="O30" s="93"/>
      <c r="P30" s="93"/>
      <c r="Q30" s="93"/>
      <c r="R30" s="93"/>
      <c r="S30" s="93"/>
      <c r="T30" s="93"/>
      <c r="U30" s="93"/>
      <c r="V30" s="93"/>
      <c r="W30" s="93"/>
      <c r="X30" s="93"/>
      <c r="Y30" s="93"/>
      <c r="Z30" s="93"/>
      <c r="AA30" s="93"/>
      <c r="AB30" s="93"/>
      <c r="AC30" s="93"/>
    </row>
    <row r="31" spans="1:29">
      <c r="A31" s="92"/>
      <c r="B31" s="92"/>
      <c r="C31" s="92"/>
      <c r="D31" s="92"/>
      <c r="E31" s="92"/>
      <c r="F31" s="92"/>
      <c r="G31" s="92"/>
      <c r="H31" s="92"/>
      <c r="I31" s="92"/>
      <c r="J31" s="92"/>
      <c r="K31" s="92"/>
      <c r="L31" s="92"/>
      <c r="M31" s="93"/>
      <c r="N31" s="93"/>
      <c r="O31" s="93"/>
      <c r="P31" s="93"/>
      <c r="Q31" s="93"/>
      <c r="R31" s="93"/>
      <c r="S31" s="93"/>
      <c r="T31" s="93"/>
      <c r="U31" s="93"/>
      <c r="V31" s="93"/>
      <c r="W31" s="93"/>
      <c r="X31" s="93"/>
      <c r="Y31" s="93"/>
      <c r="Z31" s="93"/>
      <c r="AA31" s="93"/>
      <c r="AB31" s="93"/>
      <c r="AC31" s="93"/>
    </row>
    <row r="32" spans="1:29">
      <c r="A32" s="92"/>
      <c r="B32" s="92"/>
      <c r="C32" s="92"/>
      <c r="D32" s="92"/>
      <c r="E32" s="92"/>
      <c r="F32" s="92"/>
      <c r="G32" s="92"/>
      <c r="H32" s="92"/>
      <c r="I32" s="92"/>
      <c r="J32" s="92"/>
      <c r="K32" s="92"/>
      <c r="L32" s="92"/>
      <c r="M32" s="93"/>
      <c r="N32" s="93"/>
      <c r="O32" s="93"/>
      <c r="P32" s="93"/>
      <c r="Q32" s="93"/>
      <c r="R32" s="93"/>
      <c r="S32" s="93"/>
      <c r="T32" s="93"/>
      <c r="U32" s="93"/>
      <c r="V32" s="93"/>
      <c r="W32" s="93"/>
      <c r="X32" s="93"/>
      <c r="Y32" s="93"/>
      <c r="Z32" s="93"/>
      <c r="AA32" s="93"/>
      <c r="AB32" s="93"/>
      <c r="AC32" s="93"/>
    </row>
    <row r="33" spans="1:29">
      <c r="A33" s="92"/>
      <c r="B33" s="92"/>
      <c r="C33" s="92"/>
      <c r="D33" s="92"/>
      <c r="E33" s="92"/>
      <c r="F33" s="92"/>
      <c r="G33" s="92"/>
      <c r="H33" s="92"/>
      <c r="I33" s="92"/>
      <c r="J33" s="92"/>
      <c r="K33" s="92"/>
      <c r="L33" s="92"/>
      <c r="M33" s="93"/>
      <c r="N33" s="93"/>
      <c r="O33" s="93"/>
      <c r="P33" s="93"/>
      <c r="Q33" s="93"/>
      <c r="R33" s="93"/>
      <c r="S33" s="93"/>
      <c r="T33" s="93"/>
      <c r="U33" s="93"/>
      <c r="V33" s="93"/>
      <c r="W33" s="93"/>
      <c r="X33" s="93"/>
      <c r="Y33" s="93"/>
      <c r="Z33" s="93"/>
      <c r="AA33" s="93"/>
      <c r="AB33" s="93"/>
      <c r="AC33" s="93"/>
    </row>
    <row r="34" spans="1:29">
      <c r="A34" s="92"/>
      <c r="B34" s="92"/>
      <c r="C34" s="92"/>
      <c r="D34" s="92"/>
      <c r="E34" s="92"/>
      <c r="F34" s="92"/>
      <c r="G34" s="92"/>
      <c r="H34" s="92"/>
      <c r="I34" s="92"/>
      <c r="J34" s="92"/>
      <c r="K34" s="92"/>
      <c r="L34" s="92"/>
      <c r="M34" s="93"/>
      <c r="N34" s="93"/>
      <c r="O34" s="93"/>
      <c r="P34" s="93"/>
      <c r="Q34" s="93"/>
      <c r="R34" s="93"/>
      <c r="S34" s="93"/>
      <c r="T34" s="93"/>
      <c r="U34" s="93"/>
      <c r="V34" s="93"/>
      <c r="W34" s="93"/>
      <c r="X34" s="93"/>
      <c r="Y34" s="93"/>
      <c r="Z34" s="93"/>
      <c r="AA34" s="93"/>
      <c r="AB34" s="93"/>
      <c r="AC34" s="93"/>
    </row>
    <row r="35" spans="1:29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92"/>
      <c r="L35" s="92"/>
      <c r="M35" s="93"/>
      <c r="N35" s="93"/>
      <c r="O35" s="93"/>
      <c r="P35" s="93"/>
      <c r="Q35" s="93"/>
      <c r="R35" s="93"/>
      <c r="S35" s="93"/>
      <c r="T35" s="93"/>
      <c r="U35" s="93"/>
      <c r="V35" s="93"/>
      <c r="W35" s="93"/>
      <c r="X35" s="93"/>
      <c r="Y35" s="93"/>
      <c r="Z35" s="93"/>
      <c r="AA35" s="93"/>
      <c r="AB35" s="93"/>
      <c r="AC35" s="93"/>
    </row>
    <row r="36" spans="1:29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92"/>
      <c r="L36" s="92"/>
      <c r="M36" s="93"/>
      <c r="N36" s="93"/>
      <c r="O36" s="93"/>
      <c r="P36" s="93"/>
      <c r="Q36" s="93"/>
      <c r="R36" s="93"/>
      <c r="S36" s="93"/>
      <c r="T36" s="93"/>
      <c r="U36" s="93"/>
      <c r="V36" s="93"/>
      <c r="W36" s="93"/>
      <c r="X36" s="93"/>
      <c r="Y36" s="93"/>
      <c r="Z36" s="93"/>
      <c r="AA36" s="93"/>
      <c r="AB36" s="93"/>
      <c r="AC36" s="93"/>
    </row>
    <row r="37" spans="1:29">
      <c r="A37" s="101"/>
      <c r="B37" s="101"/>
      <c r="C37" s="101"/>
      <c r="D37" s="101"/>
      <c r="E37" s="101"/>
      <c r="F37" s="101"/>
      <c r="G37" s="101"/>
      <c r="H37" s="101"/>
      <c r="I37" s="101"/>
      <c r="J37" s="101"/>
      <c r="K37" s="101"/>
      <c r="L37" s="101"/>
    </row>
    <row r="38" spans="1:29">
      <c r="A38" s="101"/>
      <c r="B38" s="101"/>
      <c r="C38" s="101"/>
      <c r="D38" s="101"/>
      <c r="E38" s="101"/>
      <c r="F38" s="101"/>
      <c r="G38" s="101"/>
      <c r="H38" s="101"/>
      <c r="I38" s="101"/>
      <c r="J38" s="101"/>
      <c r="K38" s="101"/>
      <c r="L38" s="101"/>
    </row>
    <row r="39" spans="1:29">
      <c r="A39" s="101"/>
      <c r="B39" s="101"/>
      <c r="C39" s="101"/>
      <c r="D39" s="101"/>
      <c r="E39" s="101"/>
      <c r="F39" s="101"/>
      <c r="G39" s="101"/>
      <c r="H39" s="101"/>
      <c r="I39" s="101"/>
      <c r="J39" s="101"/>
      <c r="K39" s="101"/>
      <c r="L39" s="101"/>
    </row>
    <row r="40" spans="1:29">
      <c r="A40" s="101"/>
      <c r="B40" s="101"/>
      <c r="C40" s="101"/>
      <c r="D40" s="101"/>
      <c r="E40" s="101"/>
      <c r="F40" s="101"/>
      <c r="G40" s="101"/>
      <c r="H40" s="101"/>
      <c r="I40" s="101"/>
      <c r="J40" s="101"/>
      <c r="K40" s="101"/>
      <c r="L40" s="101"/>
    </row>
    <row r="41" spans="1:29">
      <c r="A41" s="101"/>
      <c r="B41" s="101"/>
      <c r="C41" s="101"/>
      <c r="D41" s="101"/>
      <c r="E41" s="101"/>
      <c r="F41" s="101"/>
      <c r="G41" s="101"/>
      <c r="H41" s="101"/>
      <c r="I41" s="101"/>
      <c r="J41" s="101"/>
      <c r="K41" s="101"/>
      <c r="L41" s="101"/>
    </row>
    <row r="42" spans="1:29">
      <c r="A42" s="101"/>
      <c r="B42" s="101"/>
      <c r="C42" s="101"/>
      <c r="D42" s="101"/>
      <c r="E42" s="101"/>
      <c r="F42" s="101"/>
      <c r="G42" s="101"/>
      <c r="H42" s="101"/>
      <c r="I42" s="101"/>
      <c r="J42" s="101"/>
      <c r="K42" s="101"/>
      <c r="L42" s="101"/>
    </row>
    <row r="43" spans="1:29">
      <c r="A43" s="101"/>
      <c r="B43" s="101"/>
      <c r="C43" s="101"/>
      <c r="D43" s="101"/>
      <c r="E43" s="101"/>
      <c r="F43" s="101"/>
      <c r="G43" s="101"/>
      <c r="H43" s="101"/>
      <c r="I43" s="101"/>
      <c r="J43" s="101"/>
      <c r="K43" s="101"/>
      <c r="L43" s="101"/>
    </row>
    <row r="44" spans="1:29">
      <c r="A44" s="101"/>
      <c r="B44" s="101"/>
      <c r="C44" s="101"/>
      <c r="D44" s="101"/>
      <c r="E44" s="101"/>
      <c r="F44" s="101"/>
      <c r="G44" s="101"/>
      <c r="H44" s="101"/>
      <c r="I44" s="101"/>
      <c r="J44" s="101"/>
      <c r="K44" s="101"/>
      <c r="L44" s="101"/>
    </row>
    <row r="45" spans="1:29">
      <c r="A45" s="101"/>
      <c r="B45" s="101"/>
      <c r="C45" s="101"/>
      <c r="D45" s="101"/>
      <c r="E45" s="101"/>
      <c r="F45" s="101"/>
      <c r="G45" s="101"/>
      <c r="H45" s="101"/>
      <c r="I45" s="101"/>
      <c r="J45" s="101"/>
      <c r="K45" s="101"/>
      <c r="L45" s="101"/>
    </row>
    <row r="46" spans="1:29">
      <c r="A46" s="101"/>
      <c r="B46" s="101"/>
      <c r="C46" s="101"/>
      <c r="D46" s="101"/>
      <c r="E46" s="101"/>
      <c r="F46" s="101"/>
      <c r="G46" s="101"/>
      <c r="H46" s="101"/>
      <c r="I46" s="101"/>
      <c r="J46" s="101"/>
      <c r="K46" s="101"/>
      <c r="L46" s="101"/>
    </row>
    <row r="47" spans="1:29">
      <c r="A47" s="101"/>
      <c r="B47" s="101"/>
      <c r="C47" s="101"/>
      <c r="D47" s="101"/>
      <c r="E47" s="101"/>
      <c r="F47" s="101"/>
      <c r="G47" s="101"/>
      <c r="H47" s="101"/>
      <c r="I47" s="101"/>
      <c r="J47" s="101"/>
      <c r="K47" s="101"/>
      <c r="L47" s="101"/>
    </row>
    <row r="48" spans="1:29">
      <c r="A48" s="101"/>
      <c r="B48" s="101"/>
      <c r="C48" s="101"/>
      <c r="D48" s="101"/>
      <c r="E48" s="101"/>
      <c r="F48" s="101"/>
      <c r="G48" s="101"/>
      <c r="H48" s="101"/>
      <c r="I48" s="101"/>
      <c r="J48" s="101"/>
      <c r="K48" s="101"/>
      <c r="L48" s="101"/>
    </row>
    <row r="49" spans="1:12">
      <c r="A49" s="101"/>
      <c r="B49" s="101"/>
      <c r="C49" s="101"/>
      <c r="D49" s="101"/>
      <c r="E49" s="101"/>
      <c r="F49" s="101"/>
      <c r="G49" s="101"/>
      <c r="H49" s="101"/>
      <c r="I49" s="101"/>
      <c r="J49" s="101"/>
      <c r="K49" s="101"/>
      <c r="L49" s="101"/>
    </row>
    <row r="50" spans="1:12">
      <c r="A50" s="101"/>
      <c r="B50" s="101"/>
      <c r="C50" s="101"/>
      <c r="D50" s="101"/>
      <c r="E50" s="101"/>
      <c r="F50" s="101"/>
      <c r="G50" s="101"/>
      <c r="H50" s="101"/>
      <c r="I50" s="101"/>
      <c r="J50" s="101"/>
      <c r="K50" s="101"/>
      <c r="L50" s="101"/>
    </row>
    <row r="51" spans="1:12">
      <c r="A51" s="101"/>
      <c r="B51" s="101"/>
      <c r="C51" s="101"/>
      <c r="D51" s="101"/>
      <c r="E51" s="101"/>
      <c r="F51" s="101"/>
      <c r="G51" s="101"/>
      <c r="H51" s="101"/>
      <c r="I51" s="101"/>
      <c r="J51" s="101"/>
      <c r="K51" s="101"/>
      <c r="L51" s="101"/>
    </row>
    <row r="52" spans="1:12">
      <c r="A52" s="101"/>
      <c r="B52" s="101"/>
      <c r="C52" s="101"/>
      <c r="D52" s="101"/>
      <c r="E52" s="101"/>
      <c r="F52" s="101"/>
      <c r="G52" s="101"/>
      <c r="H52" s="101"/>
      <c r="I52" s="101"/>
      <c r="J52" s="101"/>
      <c r="K52" s="101"/>
      <c r="L52" s="101"/>
    </row>
    <row r="53" spans="1:12">
      <c r="A53" s="101"/>
      <c r="B53" s="101"/>
      <c r="C53" s="101"/>
      <c r="D53" s="101"/>
      <c r="E53" s="101"/>
      <c r="F53" s="101"/>
      <c r="G53" s="101"/>
      <c r="H53" s="101"/>
      <c r="I53" s="101"/>
      <c r="J53" s="101"/>
      <c r="K53" s="101"/>
      <c r="L53" s="101"/>
    </row>
    <row r="54" spans="1:12">
      <c r="A54" s="101"/>
      <c r="B54" s="101"/>
      <c r="C54" s="101"/>
      <c r="D54" s="101"/>
      <c r="E54" s="101"/>
      <c r="F54" s="101"/>
      <c r="G54" s="101"/>
      <c r="H54" s="101"/>
      <c r="I54" s="101"/>
      <c r="J54" s="101"/>
      <c r="K54" s="101"/>
      <c r="L54" s="101"/>
    </row>
    <row r="55" spans="1:12">
      <c r="A55" s="101"/>
      <c r="B55" s="101"/>
      <c r="C55" s="101"/>
      <c r="D55" s="101"/>
      <c r="E55" s="101"/>
      <c r="F55" s="101"/>
      <c r="G55" s="101"/>
      <c r="H55" s="101"/>
      <c r="I55" s="101"/>
      <c r="J55" s="101"/>
      <c r="K55" s="101"/>
      <c r="L55" s="101"/>
    </row>
    <row r="56" spans="1:12">
      <c r="A56" s="101"/>
      <c r="B56" s="101"/>
      <c r="C56" s="101"/>
      <c r="D56" s="101"/>
      <c r="E56" s="101"/>
      <c r="F56" s="101"/>
      <c r="G56" s="101"/>
      <c r="H56" s="101"/>
      <c r="I56" s="101"/>
      <c r="J56" s="101"/>
      <c r="K56" s="101"/>
      <c r="L56" s="101"/>
    </row>
    <row r="57" spans="1:12">
      <c r="A57" s="101"/>
      <c r="B57" s="101"/>
      <c r="C57" s="101"/>
      <c r="D57" s="101"/>
      <c r="E57" s="101"/>
      <c r="F57" s="101"/>
      <c r="G57" s="101"/>
      <c r="H57" s="101"/>
      <c r="I57" s="101"/>
      <c r="J57" s="101"/>
      <c r="K57" s="101"/>
      <c r="L57" s="101"/>
    </row>
    <row r="58" spans="1:12">
      <c r="A58" s="101"/>
      <c r="B58" s="101"/>
      <c r="C58" s="101"/>
      <c r="D58" s="101"/>
      <c r="E58" s="101"/>
      <c r="F58" s="101"/>
      <c r="G58" s="101"/>
      <c r="H58" s="101"/>
      <c r="I58" s="101"/>
      <c r="J58" s="101"/>
      <c r="K58" s="101"/>
      <c r="L58" s="101"/>
    </row>
    <row r="59" spans="1:12">
      <c r="A59" s="101"/>
      <c r="B59" s="101"/>
      <c r="C59" s="101"/>
      <c r="D59" s="101"/>
      <c r="E59" s="101"/>
      <c r="F59" s="101"/>
      <c r="G59" s="101"/>
      <c r="H59" s="101"/>
      <c r="I59" s="101"/>
      <c r="J59" s="101"/>
      <c r="K59" s="101"/>
      <c r="L59" s="101"/>
    </row>
    <row r="60" spans="1:12">
      <c r="A60" s="101"/>
      <c r="B60" s="101"/>
      <c r="C60" s="101"/>
      <c r="D60" s="101"/>
      <c r="E60" s="101"/>
      <c r="F60" s="101"/>
      <c r="G60" s="101"/>
      <c r="H60" s="101"/>
      <c r="I60" s="101"/>
      <c r="J60" s="101"/>
      <c r="K60" s="101"/>
      <c r="L60" s="101"/>
    </row>
    <row r="61" spans="1:12">
      <c r="A61" s="101"/>
      <c r="B61" s="101"/>
      <c r="C61" s="101"/>
      <c r="D61" s="101"/>
      <c r="E61" s="101"/>
      <c r="F61" s="101"/>
      <c r="G61" s="101"/>
      <c r="H61" s="101"/>
      <c r="I61" s="101"/>
      <c r="J61" s="101"/>
      <c r="K61" s="101"/>
      <c r="L61" s="101"/>
    </row>
    <row r="62" spans="1:12">
      <c r="A62" s="101"/>
      <c r="B62" s="101"/>
      <c r="C62" s="101"/>
      <c r="D62" s="101"/>
      <c r="E62" s="101"/>
      <c r="F62" s="101"/>
      <c r="G62" s="101"/>
      <c r="H62" s="101"/>
      <c r="I62" s="101"/>
      <c r="J62" s="101"/>
      <c r="K62" s="101"/>
      <c r="L62" s="101"/>
    </row>
    <row r="63" spans="1:12">
      <c r="A63" s="101"/>
      <c r="B63" s="101"/>
      <c r="C63" s="101"/>
      <c r="D63" s="101"/>
      <c r="E63" s="101"/>
      <c r="F63" s="101"/>
      <c r="G63" s="101"/>
      <c r="H63" s="101"/>
      <c r="I63" s="101"/>
      <c r="J63" s="101"/>
      <c r="K63" s="101"/>
      <c r="L63" s="101"/>
    </row>
    <row r="64" spans="1:12">
      <c r="A64" s="101"/>
      <c r="B64" s="101"/>
      <c r="C64" s="101"/>
      <c r="D64" s="101"/>
      <c r="E64" s="101"/>
      <c r="F64" s="101"/>
      <c r="G64" s="101"/>
      <c r="H64" s="101"/>
      <c r="I64" s="101"/>
      <c r="J64" s="101"/>
      <c r="K64" s="101"/>
      <c r="L64" s="101"/>
    </row>
    <row r="65" spans="1:12">
      <c r="A65" s="101"/>
      <c r="B65" s="101"/>
      <c r="C65" s="101"/>
      <c r="D65" s="101"/>
      <c r="E65" s="101"/>
      <c r="F65" s="101"/>
      <c r="G65" s="101"/>
      <c r="H65" s="101"/>
      <c r="I65" s="101"/>
      <c r="J65" s="101"/>
      <c r="K65" s="101"/>
      <c r="L65" s="101"/>
    </row>
    <row r="66" spans="1:12">
      <c r="A66" s="101"/>
      <c r="B66" s="101"/>
      <c r="C66" s="101"/>
      <c r="D66" s="101"/>
      <c r="E66" s="101"/>
      <c r="F66" s="101"/>
      <c r="G66" s="101"/>
      <c r="H66" s="101"/>
      <c r="I66" s="101"/>
      <c r="J66" s="101"/>
      <c r="K66" s="101"/>
      <c r="L66" s="101"/>
    </row>
    <row r="67" spans="1:12">
      <c r="A67" s="101"/>
      <c r="B67" s="101"/>
      <c r="C67" s="101"/>
      <c r="D67" s="101"/>
      <c r="E67" s="101"/>
      <c r="F67" s="101"/>
      <c r="G67" s="101"/>
      <c r="H67" s="101"/>
      <c r="I67" s="101"/>
      <c r="J67" s="101"/>
      <c r="K67" s="101"/>
      <c r="L67" s="101"/>
    </row>
    <row r="68" spans="1:12">
      <c r="A68" s="101"/>
      <c r="B68" s="101"/>
      <c r="C68" s="101"/>
      <c r="D68" s="101"/>
      <c r="E68" s="101"/>
      <c r="F68" s="101"/>
      <c r="G68" s="101"/>
      <c r="H68" s="101"/>
      <c r="I68" s="101"/>
      <c r="J68" s="101"/>
      <c r="K68" s="101"/>
      <c r="L68" s="101"/>
    </row>
    <row r="69" spans="1:12">
      <c r="A69" s="101"/>
      <c r="B69" s="101"/>
      <c r="C69" s="101"/>
      <c r="D69" s="101"/>
      <c r="E69" s="101"/>
      <c r="F69" s="101"/>
      <c r="G69" s="101"/>
      <c r="H69" s="101"/>
      <c r="I69" s="101"/>
      <c r="J69" s="101"/>
      <c r="K69" s="101"/>
      <c r="L69" s="101"/>
    </row>
    <row r="70" spans="1:12">
      <c r="A70" s="101"/>
      <c r="B70" s="101"/>
      <c r="C70" s="101"/>
      <c r="D70" s="101"/>
      <c r="E70" s="101"/>
      <c r="F70" s="101"/>
      <c r="G70" s="101"/>
      <c r="H70" s="101"/>
      <c r="I70" s="101"/>
      <c r="J70" s="101"/>
      <c r="K70" s="101"/>
      <c r="L70" s="101"/>
    </row>
    <row r="71" spans="1:12">
      <c r="A71" s="101"/>
      <c r="B71" s="101"/>
      <c r="C71" s="101"/>
      <c r="D71" s="101"/>
      <c r="E71" s="101"/>
      <c r="F71" s="101"/>
      <c r="G71" s="101"/>
      <c r="H71" s="101"/>
      <c r="I71" s="101"/>
      <c r="J71" s="101"/>
      <c r="K71" s="101"/>
      <c r="L71" s="101"/>
    </row>
    <row r="72" spans="1:12">
      <c r="A72" s="101"/>
      <c r="B72" s="101"/>
      <c r="C72" s="101"/>
      <c r="D72" s="101"/>
      <c r="E72" s="101"/>
      <c r="F72" s="101"/>
      <c r="G72" s="101"/>
      <c r="H72" s="101"/>
      <c r="I72" s="101"/>
      <c r="J72" s="101"/>
      <c r="K72" s="101"/>
      <c r="L72" s="101"/>
    </row>
    <row r="73" spans="1:12">
      <c r="A73" s="101"/>
      <c r="B73" s="101"/>
      <c r="C73" s="101"/>
      <c r="D73" s="101"/>
      <c r="E73" s="101"/>
      <c r="F73" s="101"/>
      <c r="G73" s="101"/>
      <c r="H73" s="101"/>
      <c r="I73" s="101"/>
      <c r="J73" s="101"/>
      <c r="K73" s="101"/>
      <c r="L73" s="101"/>
    </row>
    <row r="74" spans="1:12">
      <c r="A74" s="101"/>
      <c r="B74" s="101"/>
      <c r="C74" s="101"/>
      <c r="D74" s="101"/>
      <c r="E74" s="101"/>
      <c r="F74" s="101"/>
      <c r="G74" s="101"/>
      <c r="H74" s="101"/>
      <c r="I74" s="101"/>
      <c r="J74" s="101"/>
      <c r="K74" s="101"/>
      <c r="L74" s="101"/>
    </row>
    <row r="75" spans="1:12">
      <c r="A75" s="101"/>
      <c r="B75" s="101"/>
      <c r="C75" s="101"/>
      <c r="D75" s="101"/>
      <c r="E75" s="101"/>
      <c r="F75" s="101"/>
      <c r="G75" s="101"/>
      <c r="H75" s="101"/>
      <c r="I75" s="101"/>
      <c r="J75" s="101"/>
      <c r="K75" s="101"/>
      <c r="L75" s="101"/>
    </row>
    <row r="76" spans="1:12">
      <c r="A76" s="101"/>
      <c r="B76" s="101"/>
      <c r="C76" s="101"/>
      <c r="D76" s="101"/>
      <c r="E76" s="101"/>
      <c r="F76" s="101"/>
      <c r="G76" s="101"/>
      <c r="H76" s="101"/>
      <c r="I76" s="101"/>
      <c r="J76" s="101"/>
      <c r="K76" s="101"/>
      <c r="L76" s="101"/>
    </row>
    <row r="77" spans="1:12">
      <c r="A77" s="101"/>
      <c r="B77" s="101"/>
      <c r="C77" s="101"/>
      <c r="D77" s="101"/>
      <c r="E77" s="101"/>
      <c r="F77" s="101"/>
      <c r="G77" s="101"/>
      <c r="H77" s="101"/>
      <c r="I77" s="101"/>
      <c r="J77" s="101"/>
      <c r="K77" s="101"/>
      <c r="L77" s="101"/>
    </row>
    <row r="78" spans="1:12">
      <c r="A78" s="101"/>
      <c r="B78" s="101"/>
      <c r="C78" s="101"/>
      <c r="D78" s="101"/>
      <c r="E78" s="101"/>
      <c r="F78" s="101"/>
      <c r="G78" s="101"/>
      <c r="H78" s="101"/>
      <c r="I78" s="101"/>
      <c r="J78" s="101"/>
      <c r="K78" s="101"/>
      <c r="L78" s="101"/>
    </row>
    <row r="79" spans="1:12">
      <c r="A79" s="101"/>
      <c r="B79" s="101"/>
      <c r="C79" s="101"/>
      <c r="D79" s="101"/>
      <c r="E79" s="101"/>
      <c r="F79" s="101"/>
      <c r="G79" s="101"/>
      <c r="H79" s="101"/>
      <c r="I79" s="101"/>
      <c r="J79" s="101"/>
      <c r="K79" s="101"/>
      <c r="L79" s="101"/>
    </row>
    <row r="80" spans="1:12">
      <c r="A80" s="101"/>
      <c r="B80" s="101"/>
      <c r="C80" s="101"/>
      <c r="D80" s="101"/>
      <c r="E80" s="101"/>
      <c r="F80" s="101"/>
      <c r="G80" s="101"/>
      <c r="H80" s="101"/>
      <c r="I80" s="101"/>
      <c r="J80" s="101"/>
      <c r="K80" s="101"/>
      <c r="L80" s="101"/>
    </row>
    <row r="81" spans="1:12">
      <c r="A81" s="101"/>
      <c r="B81" s="101"/>
      <c r="C81" s="101"/>
      <c r="D81" s="101"/>
      <c r="E81" s="101"/>
      <c r="F81" s="101"/>
      <c r="G81" s="101"/>
      <c r="H81" s="101"/>
      <c r="I81" s="101"/>
      <c r="J81" s="101"/>
      <c r="K81" s="101"/>
      <c r="L81" s="101"/>
    </row>
    <row r="82" spans="1:12">
      <c r="A82" s="101"/>
      <c r="B82" s="101"/>
      <c r="C82" s="101"/>
      <c r="D82" s="101"/>
      <c r="E82" s="101"/>
      <c r="F82" s="101"/>
      <c r="G82" s="101"/>
      <c r="H82" s="101"/>
      <c r="I82" s="101"/>
      <c r="J82" s="101"/>
      <c r="K82" s="101"/>
      <c r="L82" s="101"/>
    </row>
    <row r="83" spans="1:12">
      <c r="A83" s="101"/>
      <c r="B83" s="101"/>
      <c r="C83" s="101"/>
      <c r="D83" s="101"/>
      <c r="E83" s="101"/>
      <c r="F83" s="101"/>
      <c r="G83" s="101"/>
      <c r="H83" s="101"/>
      <c r="I83" s="101"/>
      <c r="J83" s="101"/>
      <c r="K83" s="101"/>
      <c r="L83" s="101"/>
    </row>
    <row r="84" spans="1:12">
      <c r="A84" s="101"/>
      <c r="B84" s="101"/>
      <c r="C84" s="101"/>
      <c r="D84" s="101"/>
      <c r="E84" s="101"/>
      <c r="F84" s="101"/>
      <c r="G84" s="101"/>
      <c r="H84" s="101"/>
      <c r="I84" s="101"/>
      <c r="J84" s="101"/>
      <c r="K84" s="101"/>
      <c r="L84" s="101"/>
    </row>
    <row r="85" spans="1:12">
      <c r="A85" s="101"/>
      <c r="B85" s="101"/>
      <c r="C85" s="101"/>
      <c r="D85" s="101"/>
      <c r="E85" s="101"/>
      <c r="F85" s="101"/>
      <c r="G85" s="101"/>
      <c r="H85" s="101"/>
      <c r="I85" s="101"/>
      <c r="J85" s="101"/>
      <c r="K85" s="101"/>
      <c r="L85" s="101"/>
    </row>
    <row r="86" spans="1:12">
      <c r="A86" s="101"/>
      <c r="B86" s="101"/>
      <c r="C86" s="101"/>
      <c r="D86" s="101"/>
      <c r="E86" s="101"/>
      <c r="F86" s="101"/>
      <c r="G86" s="101"/>
      <c r="H86" s="101"/>
      <c r="I86" s="101"/>
      <c r="J86" s="101"/>
      <c r="K86" s="101"/>
      <c r="L86" s="101"/>
    </row>
    <row r="87" spans="1:12">
      <c r="A87" s="101"/>
      <c r="B87" s="101"/>
      <c r="C87" s="101"/>
      <c r="D87" s="101"/>
      <c r="E87" s="101"/>
      <c r="F87" s="101"/>
      <c r="G87" s="101"/>
      <c r="H87" s="101"/>
      <c r="I87" s="101"/>
      <c r="J87" s="101"/>
      <c r="K87" s="101"/>
      <c r="L87" s="101"/>
    </row>
    <row r="88" spans="1:12">
      <c r="A88" s="101"/>
      <c r="B88" s="101"/>
      <c r="C88" s="101"/>
      <c r="D88" s="101"/>
      <c r="E88" s="101"/>
      <c r="F88" s="101"/>
      <c r="G88" s="101"/>
      <c r="H88" s="101"/>
      <c r="I88" s="101"/>
      <c r="J88" s="101"/>
      <c r="K88" s="101"/>
      <c r="L88" s="101"/>
    </row>
    <row r="89" spans="1:12">
      <c r="A89" s="101"/>
      <c r="B89" s="101"/>
      <c r="C89" s="101"/>
      <c r="D89" s="101"/>
      <c r="E89" s="101"/>
      <c r="F89" s="101"/>
      <c r="G89" s="101"/>
      <c r="H89" s="101"/>
      <c r="I89" s="101"/>
      <c r="J89" s="101"/>
      <c r="K89" s="101"/>
      <c r="L89" s="101"/>
    </row>
    <row r="90" spans="1:12">
      <c r="A90" s="101"/>
      <c r="B90" s="101"/>
      <c r="C90" s="101"/>
      <c r="D90" s="101"/>
      <c r="E90" s="101"/>
      <c r="F90" s="101"/>
      <c r="G90" s="101"/>
      <c r="H90" s="101"/>
      <c r="I90" s="101"/>
      <c r="J90" s="101"/>
      <c r="K90" s="101"/>
      <c r="L90" s="101"/>
    </row>
    <row r="91" spans="1:12">
      <c r="A91" s="101"/>
      <c r="B91" s="101"/>
      <c r="C91" s="101"/>
      <c r="D91" s="101"/>
      <c r="E91" s="101"/>
      <c r="F91" s="101"/>
      <c r="G91" s="101"/>
      <c r="H91" s="101"/>
      <c r="I91" s="101"/>
      <c r="J91" s="101"/>
      <c r="K91" s="101"/>
      <c r="L91" s="101"/>
    </row>
    <row r="92" spans="1:12">
      <c r="A92" s="101"/>
      <c r="B92" s="101"/>
      <c r="C92" s="101"/>
      <c r="D92" s="101"/>
      <c r="E92" s="101"/>
      <c r="F92" s="101"/>
      <c r="G92" s="101"/>
      <c r="H92" s="101"/>
      <c r="I92" s="101"/>
      <c r="J92" s="101"/>
      <c r="K92" s="101"/>
      <c r="L92" s="101"/>
    </row>
    <row r="93" spans="1:12">
      <c r="A93" s="101"/>
      <c r="B93" s="101"/>
      <c r="C93" s="101"/>
      <c r="D93" s="101"/>
      <c r="E93" s="101"/>
      <c r="F93" s="101"/>
      <c r="G93" s="101"/>
      <c r="H93" s="101"/>
      <c r="I93" s="101"/>
      <c r="J93" s="101"/>
      <c r="K93" s="101"/>
      <c r="L93" s="101"/>
    </row>
    <row r="94" spans="1:12">
      <c r="A94" s="101"/>
      <c r="B94" s="101"/>
      <c r="C94" s="101"/>
      <c r="D94" s="101"/>
      <c r="E94" s="101"/>
      <c r="F94" s="101"/>
      <c r="G94" s="101"/>
      <c r="H94" s="101"/>
      <c r="I94" s="101"/>
      <c r="J94" s="101"/>
      <c r="K94" s="101"/>
      <c r="L94" s="101"/>
    </row>
    <row r="95" spans="1:12">
      <c r="A95" s="101"/>
      <c r="B95" s="101"/>
      <c r="C95" s="101"/>
      <c r="D95" s="101"/>
      <c r="E95" s="101"/>
      <c r="F95" s="101"/>
      <c r="G95" s="101"/>
      <c r="H95" s="101"/>
      <c r="I95" s="101"/>
      <c r="J95" s="101"/>
      <c r="K95" s="101"/>
      <c r="L95" s="101"/>
    </row>
    <row r="96" spans="1:12">
      <c r="A96" s="101"/>
      <c r="B96" s="101"/>
      <c r="C96" s="101"/>
      <c r="D96" s="101"/>
      <c r="E96" s="101"/>
      <c r="F96" s="101"/>
      <c r="G96" s="101"/>
      <c r="H96" s="101"/>
      <c r="I96" s="101"/>
      <c r="J96" s="101"/>
      <c r="K96" s="101"/>
      <c r="L96" s="101"/>
    </row>
    <row r="97" spans="1:12">
      <c r="A97" s="101"/>
      <c r="B97" s="101"/>
      <c r="C97" s="101"/>
      <c r="D97" s="101"/>
      <c r="E97" s="101"/>
      <c r="F97" s="101"/>
      <c r="G97" s="101"/>
      <c r="H97" s="101"/>
      <c r="I97" s="101"/>
      <c r="J97" s="101"/>
      <c r="K97" s="101"/>
      <c r="L97" s="101"/>
    </row>
    <row r="98" spans="1:12">
      <c r="A98" s="101"/>
      <c r="B98" s="101"/>
      <c r="C98" s="101"/>
      <c r="D98" s="101"/>
      <c r="E98" s="101"/>
      <c r="F98" s="101"/>
      <c r="G98" s="101"/>
      <c r="H98" s="101"/>
      <c r="I98" s="101"/>
      <c r="J98" s="101"/>
      <c r="K98" s="101"/>
      <c r="L98" s="101"/>
    </row>
    <row r="99" spans="1:12">
      <c r="A99" s="101"/>
      <c r="B99" s="101"/>
      <c r="C99" s="101"/>
      <c r="D99" s="101"/>
      <c r="E99" s="101"/>
      <c r="F99" s="101"/>
      <c r="G99" s="101"/>
      <c r="H99" s="101"/>
      <c r="I99" s="101"/>
      <c r="J99" s="101"/>
      <c r="K99" s="101"/>
      <c r="L99" s="101"/>
    </row>
    <row r="100" spans="1:12">
      <c r="A100" s="101"/>
      <c r="B100" s="101"/>
      <c r="C100" s="101"/>
      <c r="D100" s="101"/>
      <c r="E100" s="101"/>
      <c r="F100" s="101"/>
      <c r="G100" s="101"/>
      <c r="H100" s="101"/>
      <c r="I100" s="101"/>
      <c r="J100" s="101"/>
      <c r="K100" s="101"/>
      <c r="L100" s="101"/>
    </row>
    <row r="101" spans="1:12">
      <c r="A101" s="101"/>
      <c r="B101" s="101"/>
      <c r="C101" s="101"/>
      <c r="D101" s="101"/>
      <c r="E101" s="101"/>
      <c r="F101" s="101"/>
      <c r="G101" s="101"/>
      <c r="H101" s="101"/>
      <c r="I101" s="101"/>
      <c r="J101" s="101"/>
      <c r="K101" s="101"/>
      <c r="L101" s="101"/>
    </row>
    <row r="102" spans="1:12">
      <c r="A102" s="101"/>
      <c r="B102" s="101"/>
      <c r="C102" s="101"/>
      <c r="D102" s="101"/>
      <c r="E102" s="101"/>
      <c r="F102" s="101"/>
      <c r="G102" s="101"/>
      <c r="H102" s="101"/>
      <c r="I102" s="101"/>
      <c r="J102" s="101"/>
      <c r="K102" s="101"/>
      <c r="L102" s="101"/>
    </row>
  </sheetData>
  <mergeCells count="4">
    <mergeCell ref="D7:H7"/>
    <mergeCell ref="D9:H9"/>
    <mergeCell ref="D10:H10"/>
    <mergeCell ref="D8:H8"/>
  </mergeCells>
  <phoneticPr fontId="0" type="noConversion"/>
  <pageMargins left="0.75" right="0.75" top="1" bottom="1" header="0.5" footer="0.5"/>
  <pageSetup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>
  <sheetPr codeName="Sheet11111226"/>
  <dimension ref="B1:I73"/>
  <sheetViews>
    <sheetView zoomScaleNormal="100" workbookViewId="0"/>
  </sheetViews>
  <sheetFormatPr defaultRowHeight="15"/>
  <cols>
    <col min="1" max="1" width="9.140625" style="439"/>
    <col min="2" max="2" width="3.140625" style="439" customWidth="1"/>
    <col min="3" max="3" width="32.85546875" style="439" customWidth="1"/>
    <col min="4" max="4" width="21.140625" style="495" customWidth="1"/>
    <col min="5" max="7" width="14.7109375" style="495" customWidth="1"/>
    <col min="8" max="8" width="14.7109375" style="439" customWidth="1"/>
    <col min="9" max="9" width="3.140625" style="440" customWidth="1"/>
    <col min="10" max="10" width="3.140625" style="439" customWidth="1"/>
    <col min="11" max="16384" width="9.140625" style="439"/>
  </cols>
  <sheetData>
    <row r="1" spans="2:9" ht="18">
      <c r="C1" s="777" t="s">
        <v>591</v>
      </c>
      <c r="D1" s="777"/>
      <c r="E1" s="777"/>
      <c r="F1" s="777"/>
      <c r="G1" s="777"/>
      <c r="H1" s="777"/>
    </row>
    <row r="2" spans="2:9" ht="18" customHeight="1">
      <c r="C2" s="777" t="s">
        <v>772</v>
      </c>
      <c r="D2" s="777"/>
      <c r="E2" s="777"/>
      <c r="F2" s="777"/>
      <c r="G2" s="777"/>
      <c r="H2" s="777"/>
    </row>
    <row r="4" spans="2:9">
      <c r="C4" s="441" t="s">
        <v>34</v>
      </c>
      <c r="D4" s="442"/>
      <c r="E4" s="442"/>
      <c r="F4" s="442"/>
      <c r="G4" s="442"/>
      <c r="H4" s="440"/>
    </row>
    <row r="5" spans="2:9" ht="15.75" thickBot="1">
      <c r="C5" s="443"/>
      <c r="D5" s="444"/>
      <c r="E5" s="442"/>
      <c r="F5" s="442"/>
      <c r="G5" s="442"/>
      <c r="H5" s="440"/>
    </row>
    <row r="6" spans="2:9">
      <c r="B6" s="445"/>
      <c r="C6" s="446"/>
      <c r="D6" s="447"/>
      <c r="E6" s="447"/>
      <c r="F6" s="447"/>
      <c r="G6" s="447"/>
      <c r="H6" s="564"/>
      <c r="I6" s="448"/>
    </row>
    <row r="7" spans="2:9">
      <c r="B7" s="449"/>
      <c r="C7" s="565" t="s">
        <v>297</v>
      </c>
      <c r="D7" s="566">
        <v>150000</v>
      </c>
      <c r="E7" s="567"/>
      <c r="F7" s="567"/>
      <c r="G7" s="567"/>
      <c r="H7" s="568"/>
      <c r="I7" s="452"/>
    </row>
    <row r="8" spans="2:9">
      <c r="B8" s="449"/>
      <c r="C8" s="565" t="s">
        <v>298</v>
      </c>
      <c r="D8" s="569">
        <v>5.35</v>
      </c>
      <c r="E8" s="567"/>
      <c r="F8" s="567"/>
      <c r="G8" s="567"/>
      <c r="H8" s="568"/>
      <c r="I8" s="452"/>
    </row>
    <row r="9" spans="2:9">
      <c r="B9" s="449"/>
      <c r="C9" s="565" t="s">
        <v>299</v>
      </c>
      <c r="D9" s="457">
        <v>320000</v>
      </c>
      <c r="E9" s="567"/>
      <c r="F9" s="567"/>
      <c r="G9" s="567"/>
      <c r="H9" s="568"/>
      <c r="I9" s="452"/>
    </row>
    <row r="10" spans="2:9">
      <c r="B10" s="449"/>
      <c r="C10" s="565" t="s">
        <v>300</v>
      </c>
      <c r="D10" s="296">
        <v>0.21</v>
      </c>
      <c r="E10" s="570"/>
      <c r="F10" s="570"/>
      <c r="G10" s="570"/>
      <c r="H10" s="568"/>
      <c r="I10" s="452"/>
    </row>
    <row r="11" spans="2:9">
      <c r="B11" s="449"/>
      <c r="C11" s="565" t="s">
        <v>301</v>
      </c>
      <c r="D11" s="296">
        <v>0.18</v>
      </c>
      <c r="E11" s="567"/>
      <c r="F11" s="567"/>
      <c r="G11" s="567"/>
      <c r="H11" s="568"/>
      <c r="I11" s="452"/>
    </row>
    <row r="12" spans="2:9">
      <c r="B12" s="449"/>
      <c r="C12" s="565"/>
      <c r="D12" s="457"/>
      <c r="E12" s="567"/>
      <c r="F12" s="567"/>
      <c r="G12" s="567"/>
      <c r="H12" s="568"/>
      <c r="I12" s="452"/>
    </row>
    <row r="13" spans="2:9">
      <c r="B13" s="449"/>
      <c r="C13" s="565"/>
      <c r="D13" s="211" t="s">
        <v>302</v>
      </c>
      <c r="E13" s="571" t="s">
        <v>303</v>
      </c>
      <c r="F13" s="571" t="s">
        <v>121</v>
      </c>
      <c r="G13" s="571" t="s">
        <v>304</v>
      </c>
      <c r="H13" s="571" t="s">
        <v>305</v>
      </c>
      <c r="I13" s="452"/>
    </row>
    <row r="14" spans="2:9">
      <c r="B14" s="449"/>
      <c r="C14" s="565" t="s">
        <v>773</v>
      </c>
      <c r="D14" s="572">
        <v>1.19</v>
      </c>
      <c r="E14" s="573">
        <v>0.19</v>
      </c>
      <c r="F14" s="573">
        <v>16.32</v>
      </c>
      <c r="G14" s="212">
        <v>0.1</v>
      </c>
      <c r="H14" s="212">
        <v>0.12</v>
      </c>
      <c r="I14" s="452"/>
    </row>
    <row r="15" spans="2:9">
      <c r="B15" s="449"/>
      <c r="C15" s="565" t="s">
        <v>774</v>
      </c>
      <c r="D15" s="574">
        <v>1.26</v>
      </c>
      <c r="E15" s="575">
        <v>0.55000000000000004</v>
      </c>
      <c r="F15" s="575">
        <v>13.94</v>
      </c>
      <c r="G15" s="212">
        <v>0.12</v>
      </c>
      <c r="H15" s="212">
        <v>0.17</v>
      </c>
      <c r="I15" s="452"/>
    </row>
    <row r="16" spans="2:9">
      <c r="B16" s="449"/>
      <c r="C16" s="565" t="s">
        <v>775</v>
      </c>
      <c r="D16" s="576">
        <v>-0.27</v>
      </c>
      <c r="E16" s="577">
        <v>0.56999999999999995</v>
      </c>
      <c r="F16" s="577">
        <v>23.97</v>
      </c>
      <c r="G16" s="213" t="s">
        <v>895</v>
      </c>
      <c r="H16" s="213">
        <v>0.16</v>
      </c>
      <c r="I16" s="452"/>
    </row>
    <row r="17" spans="2:9">
      <c r="B17" s="449"/>
      <c r="C17" s="565" t="s">
        <v>306</v>
      </c>
      <c r="D17" s="578">
        <f>AVERAGE(D14:D16)</f>
        <v>0.72666666666666668</v>
      </c>
      <c r="E17" s="578">
        <f>AVERAGE(E14:E16)</f>
        <v>0.4366666666666667</v>
      </c>
      <c r="F17" s="578">
        <f>AVERAGE(F14:F16)</f>
        <v>18.076666666666664</v>
      </c>
      <c r="G17" s="579">
        <f>AVERAGE(G14:G16)</f>
        <v>0.11</v>
      </c>
      <c r="H17" s="579">
        <f>AVERAGE(H14:H16)</f>
        <v>0.15000000000000002</v>
      </c>
      <c r="I17" s="452"/>
    </row>
    <row r="18" spans="2:9">
      <c r="B18" s="449"/>
      <c r="C18" s="565"/>
      <c r="D18" s="580"/>
      <c r="E18" s="573"/>
      <c r="F18" s="573"/>
      <c r="G18" s="212"/>
      <c r="H18" s="212"/>
      <c r="I18" s="452"/>
    </row>
    <row r="19" spans="2:9">
      <c r="B19" s="449"/>
      <c r="C19" s="565" t="s">
        <v>776</v>
      </c>
      <c r="D19" s="580">
        <v>2.0699999999999998</v>
      </c>
      <c r="E19" s="573"/>
      <c r="F19" s="573"/>
      <c r="G19" s="212"/>
      <c r="H19" s="212"/>
      <c r="I19" s="452"/>
    </row>
    <row r="20" spans="2:9">
      <c r="B20" s="449"/>
      <c r="C20" s="565"/>
      <c r="D20" s="296"/>
      <c r="E20" s="581"/>
      <c r="F20" s="581"/>
      <c r="G20" s="581"/>
      <c r="H20" s="581"/>
      <c r="I20" s="452"/>
    </row>
    <row r="21" spans="2:9" ht="15.75" thickBot="1">
      <c r="B21" s="462"/>
      <c r="C21" s="463"/>
      <c r="D21" s="464"/>
      <c r="E21" s="464"/>
      <c r="F21" s="464"/>
      <c r="G21" s="464"/>
      <c r="H21" s="582"/>
      <c r="I21" s="465"/>
    </row>
    <row r="22" spans="2:9">
      <c r="C22" s="440"/>
      <c r="D22" s="442"/>
      <c r="E22" s="442"/>
      <c r="F22" s="442"/>
      <c r="G22" s="442"/>
      <c r="H22" s="440"/>
    </row>
    <row r="23" spans="2:9">
      <c r="C23" s="441" t="s">
        <v>51</v>
      </c>
      <c r="D23" s="442"/>
      <c r="E23" s="442"/>
      <c r="F23" s="442"/>
      <c r="G23" s="442"/>
      <c r="H23" s="440"/>
    </row>
    <row r="24" spans="2:9" ht="15.75" thickBot="1">
      <c r="C24" s="443"/>
      <c r="D24" s="442"/>
      <c r="E24" s="442"/>
      <c r="F24" s="442"/>
      <c r="G24" s="442"/>
      <c r="H24" s="440"/>
    </row>
    <row r="25" spans="2:9">
      <c r="B25" s="466"/>
      <c r="C25" s="467"/>
      <c r="D25" s="468"/>
      <c r="E25" s="468"/>
      <c r="F25" s="468"/>
      <c r="G25" s="468"/>
      <c r="H25" s="583"/>
      <c r="I25" s="469"/>
    </row>
    <row r="26" spans="2:9" ht="15.75">
      <c r="B26" s="545" t="s">
        <v>98</v>
      </c>
      <c r="C26" s="482" t="s">
        <v>307</v>
      </c>
      <c r="D26" s="476">
        <f>(D7*2)*D8</f>
        <v>1605000</v>
      </c>
      <c r="E26" s="472"/>
      <c r="F26" s="472"/>
      <c r="G26" s="472"/>
      <c r="H26" s="584"/>
      <c r="I26" s="473"/>
    </row>
    <row r="27" spans="2:9" ht="15.75">
      <c r="B27" s="545"/>
      <c r="C27" s="482" t="s">
        <v>777</v>
      </c>
      <c r="D27" s="585">
        <f>(D9*2)/D26</f>
        <v>0.39875389408099687</v>
      </c>
      <c r="E27" s="472"/>
      <c r="F27" s="472"/>
      <c r="G27" s="472"/>
      <c r="H27" s="584"/>
      <c r="I27" s="473"/>
    </row>
    <row r="28" spans="2:9" ht="15.75">
      <c r="B28" s="545"/>
      <c r="C28" s="482" t="s">
        <v>308</v>
      </c>
      <c r="D28" s="585">
        <f>1-((D9*2)/D26)</f>
        <v>0.60124610591900307</v>
      </c>
      <c r="E28" s="472"/>
      <c r="F28" s="472"/>
      <c r="G28" s="472"/>
      <c r="H28" s="584"/>
      <c r="I28" s="473"/>
    </row>
    <row r="29" spans="2:9" ht="15.75">
      <c r="B29" s="545"/>
      <c r="C29" s="482" t="s">
        <v>309</v>
      </c>
      <c r="D29" s="585">
        <f>D28*D10</f>
        <v>0.12626168224299064</v>
      </c>
      <c r="E29" s="472"/>
      <c r="F29" s="472"/>
      <c r="G29" s="472"/>
      <c r="H29" s="584"/>
      <c r="I29" s="473"/>
    </row>
    <row r="30" spans="2:9" ht="15.75">
      <c r="B30" s="545"/>
      <c r="C30" s="482" t="s">
        <v>310</v>
      </c>
      <c r="D30" s="476">
        <f>(D9*2)*(1+D29)</f>
        <v>720807.47663551406</v>
      </c>
      <c r="E30" s="472"/>
      <c r="F30" s="472"/>
      <c r="G30" s="472"/>
      <c r="H30" s="584"/>
      <c r="I30" s="473"/>
    </row>
    <row r="31" spans="2:9" ht="15.75">
      <c r="B31" s="545"/>
      <c r="C31" s="482" t="s">
        <v>311</v>
      </c>
      <c r="D31" s="476">
        <f>D30/(D11-D29)</f>
        <v>13413286.956521738</v>
      </c>
      <c r="E31" s="472"/>
      <c r="F31" s="472"/>
      <c r="G31" s="472"/>
      <c r="H31" s="584"/>
      <c r="I31" s="473"/>
    </row>
    <row r="32" spans="2:9" ht="15.75">
      <c r="B32" s="545"/>
      <c r="C32" s="482"/>
      <c r="D32" s="472"/>
      <c r="E32" s="472"/>
      <c r="F32" s="472"/>
      <c r="G32" s="472"/>
      <c r="H32" s="584"/>
      <c r="I32" s="473"/>
    </row>
    <row r="33" spans="2:9" ht="15.75">
      <c r="B33" s="545"/>
      <c r="C33" s="475" t="s">
        <v>312</v>
      </c>
      <c r="D33" s="222">
        <f>D31/(D7*2)</f>
        <v>44.710956521739128</v>
      </c>
      <c r="E33" s="586"/>
      <c r="F33" s="586"/>
      <c r="G33" s="586"/>
      <c r="H33" s="587"/>
      <c r="I33" s="473"/>
    </row>
    <row r="34" spans="2:9" ht="15.75">
      <c r="B34" s="545"/>
      <c r="C34" s="475"/>
      <c r="D34" s="223"/>
      <c r="E34" s="586"/>
      <c r="F34" s="586"/>
      <c r="G34" s="586"/>
      <c r="H34" s="587"/>
      <c r="I34" s="473"/>
    </row>
    <row r="35" spans="2:9" ht="15.75">
      <c r="B35" s="545" t="s">
        <v>111</v>
      </c>
      <c r="C35" s="475" t="s">
        <v>313</v>
      </c>
      <c r="D35" s="478">
        <f>(D14+D15+D19)/3</f>
        <v>1.5066666666666666</v>
      </c>
      <c r="E35" s="586"/>
      <c r="F35" s="586"/>
      <c r="G35" s="586"/>
      <c r="H35" s="587"/>
      <c r="I35" s="473"/>
    </row>
    <row r="36" spans="2:9" ht="15.75">
      <c r="B36" s="545"/>
      <c r="C36" s="475" t="s">
        <v>314</v>
      </c>
      <c r="D36" s="585">
        <f>E17/D35</f>
        <v>0.28982300884955758</v>
      </c>
      <c r="E36" s="586"/>
      <c r="F36" s="586"/>
      <c r="G36" s="586"/>
      <c r="H36" s="587"/>
      <c r="I36" s="473"/>
    </row>
    <row r="37" spans="2:9" ht="15.75">
      <c r="B37" s="545"/>
      <c r="C37" s="475" t="s">
        <v>315</v>
      </c>
      <c r="D37" s="585">
        <f>1-D36</f>
        <v>0.71017699115044242</v>
      </c>
      <c r="E37" s="586"/>
      <c r="F37" s="586"/>
      <c r="G37" s="586"/>
      <c r="H37" s="587"/>
      <c r="I37" s="473"/>
    </row>
    <row r="38" spans="2:9" ht="15.75">
      <c r="B38" s="545"/>
      <c r="C38" s="475" t="s">
        <v>316</v>
      </c>
      <c r="D38" s="585">
        <f>D37*G17</f>
        <v>7.8119469026548663E-2</v>
      </c>
      <c r="E38" s="586"/>
      <c r="F38" s="586"/>
      <c r="G38" s="586"/>
      <c r="H38" s="587"/>
      <c r="I38" s="473"/>
    </row>
    <row r="39" spans="2:9" ht="15.75">
      <c r="B39" s="545"/>
      <c r="C39" s="475"/>
      <c r="D39" s="223"/>
      <c r="E39" s="586"/>
      <c r="F39" s="586"/>
      <c r="G39" s="586"/>
      <c r="H39" s="587"/>
      <c r="I39" s="473"/>
    </row>
    <row r="40" spans="2:9" ht="15.75">
      <c r="B40" s="545"/>
      <c r="C40" s="487" t="s">
        <v>317</v>
      </c>
      <c r="D40" s="588" t="s">
        <v>318</v>
      </c>
      <c r="E40" s="586"/>
      <c r="F40" s="586"/>
      <c r="G40" s="586"/>
      <c r="H40" s="587"/>
      <c r="I40" s="473"/>
    </row>
    <row r="41" spans="2:9" ht="15.75">
      <c r="B41" s="545"/>
      <c r="C41" s="487">
        <v>1</v>
      </c>
      <c r="D41" s="478">
        <f>D30</f>
        <v>720807.47663551406</v>
      </c>
      <c r="E41" s="586"/>
      <c r="F41" s="586"/>
      <c r="G41" s="586"/>
      <c r="H41" s="587"/>
      <c r="I41" s="473"/>
    </row>
    <row r="42" spans="2:9" ht="15.75">
      <c r="B42" s="545"/>
      <c r="C42" s="487">
        <v>2</v>
      </c>
      <c r="D42" s="478">
        <f>D41*(1+D29)</f>
        <v>811817.84120883932</v>
      </c>
      <c r="E42" s="586"/>
      <c r="F42" s="586"/>
      <c r="G42" s="586"/>
      <c r="H42" s="587"/>
      <c r="I42" s="473"/>
    </row>
    <row r="43" spans="2:9" ht="15.75">
      <c r="B43" s="545"/>
      <c r="C43" s="487">
        <v>3</v>
      </c>
      <c r="D43" s="478">
        <f>D42*(1+D29)</f>
        <v>914319.32751474052</v>
      </c>
      <c r="E43" s="586"/>
      <c r="F43" s="586"/>
      <c r="G43" s="586"/>
      <c r="H43" s="587"/>
      <c r="I43" s="473"/>
    </row>
    <row r="44" spans="2:9" ht="15.75">
      <c r="B44" s="545"/>
      <c r="C44" s="487">
        <v>4</v>
      </c>
      <c r="D44" s="478">
        <f>D43*(1+D29)</f>
        <v>1029762.8239140316</v>
      </c>
      <c r="E44" s="586"/>
      <c r="F44" s="586"/>
      <c r="G44" s="586"/>
      <c r="H44" s="587"/>
      <c r="I44" s="473"/>
    </row>
    <row r="45" spans="2:9" ht="15.75">
      <c r="B45" s="545"/>
      <c r="C45" s="487">
        <v>5</v>
      </c>
      <c r="D45" s="478">
        <f>D44*(1+D29)</f>
        <v>1159782.4103727099</v>
      </c>
      <c r="E45" s="586"/>
      <c r="F45" s="586"/>
      <c r="G45" s="586"/>
      <c r="H45" s="587"/>
      <c r="I45" s="473"/>
    </row>
    <row r="46" spans="2:9" ht="15.75">
      <c r="B46" s="545"/>
      <c r="C46" s="487">
        <v>6</v>
      </c>
      <c r="D46" s="478">
        <f>D45*(1+D38)</f>
        <v>1250383.9964573567</v>
      </c>
      <c r="E46" s="586"/>
      <c r="F46" s="586"/>
      <c r="G46" s="586"/>
      <c r="H46" s="587"/>
      <c r="I46" s="473"/>
    </row>
    <row r="47" spans="2:9" ht="15.75">
      <c r="B47" s="545"/>
      <c r="C47" s="475"/>
      <c r="D47" s="225"/>
      <c r="E47" s="586"/>
      <c r="F47" s="586"/>
      <c r="G47" s="586"/>
      <c r="H47" s="587"/>
      <c r="I47" s="473"/>
    </row>
    <row r="48" spans="2:9" ht="15.75">
      <c r="B48" s="545"/>
      <c r="C48" s="475" t="s">
        <v>319</v>
      </c>
      <c r="D48" s="478">
        <f>D46/(H17-D38)</f>
        <v>17395308.291742843</v>
      </c>
      <c r="E48" s="589"/>
      <c r="F48" s="589"/>
      <c r="G48" s="589"/>
      <c r="H48" s="587"/>
      <c r="I48" s="473"/>
    </row>
    <row r="49" spans="2:9" ht="15.75">
      <c r="B49" s="545"/>
      <c r="C49" s="475" t="s">
        <v>320</v>
      </c>
      <c r="D49" s="478">
        <f>NPV(H17,D41:D45)+(D48/((1+H17)^5))</f>
        <v>11655749.48441905</v>
      </c>
      <c r="E49" s="589"/>
      <c r="F49" s="589"/>
      <c r="G49" s="589"/>
      <c r="H49" s="587"/>
      <c r="I49" s="473"/>
    </row>
    <row r="50" spans="2:9" ht="15.75">
      <c r="B50" s="545"/>
      <c r="C50" s="475"/>
      <c r="D50" s="226"/>
      <c r="E50" s="586"/>
      <c r="F50" s="586"/>
      <c r="G50" s="586"/>
      <c r="H50" s="587"/>
      <c r="I50" s="473"/>
    </row>
    <row r="51" spans="2:9" ht="15.75">
      <c r="B51" s="545"/>
      <c r="C51" s="475" t="s">
        <v>312</v>
      </c>
      <c r="D51" s="222">
        <f>D49/(D7*2)</f>
        <v>38.852498281396834</v>
      </c>
      <c r="E51" s="589"/>
      <c r="F51" s="589"/>
      <c r="G51" s="589"/>
      <c r="H51" s="587"/>
      <c r="I51" s="473"/>
    </row>
    <row r="52" spans="2:9" ht="15.75">
      <c r="B52" s="545"/>
      <c r="C52" s="475"/>
      <c r="D52" s="223"/>
      <c r="E52" s="589"/>
      <c r="F52" s="589"/>
      <c r="G52" s="589"/>
      <c r="H52" s="587"/>
      <c r="I52" s="473"/>
    </row>
    <row r="53" spans="2:9" ht="15.75">
      <c r="B53" s="545" t="s">
        <v>140</v>
      </c>
      <c r="C53" s="475" t="s">
        <v>114</v>
      </c>
      <c r="D53" s="227">
        <f>F17/D35</f>
        <v>11.997787610619469</v>
      </c>
      <c r="E53" s="589"/>
      <c r="F53" s="589"/>
      <c r="G53" s="589"/>
      <c r="H53" s="587"/>
      <c r="I53" s="473"/>
    </row>
    <row r="54" spans="2:9" ht="15.75">
      <c r="B54" s="545"/>
      <c r="C54" s="475"/>
      <c r="D54" s="223"/>
      <c r="E54" s="589"/>
      <c r="F54" s="589"/>
      <c r="G54" s="589"/>
      <c r="H54" s="587"/>
      <c r="I54" s="473"/>
    </row>
    <row r="55" spans="2:9" ht="15.75">
      <c r="B55" s="545"/>
      <c r="C55" s="475" t="s">
        <v>321</v>
      </c>
      <c r="D55" s="227">
        <f>D33/D8</f>
        <v>8.3571881349045096</v>
      </c>
      <c r="E55" s="589"/>
      <c r="F55" s="589"/>
      <c r="G55" s="589"/>
      <c r="H55" s="587"/>
      <c r="I55" s="473"/>
    </row>
    <row r="56" spans="2:9" ht="15.75">
      <c r="B56" s="545"/>
      <c r="C56" s="475"/>
      <c r="D56" s="223"/>
      <c r="E56" s="589"/>
      <c r="F56" s="589"/>
      <c r="G56" s="589"/>
      <c r="H56" s="587"/>
      <c r="I56" s="473"/>
    </row>
    <row r="57" spans="2:9" ht="15.75">
      <c r="B57" s="545"/>
      <c r="C57" s="475" t="s">
        <v>322</v>
      </c>
      <c r="D57" s="227">
        <f>D51/D8</f>
        <v>7.2621492114760438</v>
      </c>
      <c r="E57" s="589"/>
      <c r="F57" s="589"/>
      <c r="G57" s="590"/>
      <c r="H57" s="587"/>
      <c r="I57" s="473"/>
    </row>
    <row r="58" spans="2:9" ht="15.75">
      <c r="B58" s="545"/>
      <c r="C58" s="475"/>
      <c r="D58" s="223"/>
      <c r="E58" s="589"/>
      <c r="F58" s="589"/>
      <c r="G58" s="590"/>
      <c r="H58" s="587"/>
      <c r="I58" s="473"/>
    </row>
    <row r="59" spans="2:9" ht="15.75">
      <c r="B59" s="545"/>
      <c r="C59" s="475" t="s">
        <v>323</v>
      </c>
      <c r="D59" s="223"/>
      <c r="E59" s="589"/>
      <c r="F59" s="589"/>
      <c r="G59" s="589"/>
      <c r="H59" s="587"/>
      <c r="I59" s="473"/>
    </row>
    <row r="60" spans="2:9" ht="15.75">
      <c r="B60" s="545"/>
      <c r="C60" s="475" t="s">
        <v>324</v>
      </c>
      <c r="D60" s="478">
        <f>D53*D8</f>
        <v>64.188163716814159</v>
      </c>
      <c r="E60" s="589"/>
      <c r="F60" s="589"/>
      <c r="G60" s="589"/>
      <c r="H60" s="587"/>
      <c r="I60" s="473"/>
    </row>
    <row r="61" spans="2:9" ht="15.75">
      <c r="B61" s="545"/>
      <c r="C61" s="475"/>
      <c r="D61" s="223"/>
      <c r="E61" s="589"/>
      <c r="F61" s="589"/>
      <c r="G61" s="589"/>
      <c r="H61" s="587"/>
      <c r="I61" s="473"/>
    </row>
    <row r="62" spans="2:9" ht="15.75">
      <c r="B62" s="545" t="s">
        <v>250</v>
      </c>
      <c r="C62" s="475" t="s">
        <v>307</v>
      </c>
      <c r="D62" s="591">
        <f>D8*2*D7</f>
        <v>1605000</v>
      </c>
      <c r="E62" s="589"/>
      <c r="F62" s="589"/>
      <c r="G62" s="589"/>
      <c r="H62" s="587"/>
      <c r="I62" s="473"/>
    </row>
    <row r="63" spans="2:9" ht="15.75">
      <c r="B63" s="545"/>
      <c r="C63" s="475"/>
      <c r="D63" s="223"/>
      <c r="E63" s="589"/>
      <c r="F63" s="589"/>
      <c r="G63" s="589"/>
      <c r="H63" s="587"/>
      <c r="I63" s="473"/>
    </row>
    <row r="64" spans="2:9" ht="15.75">
      <c r="B64" s="545"/>
      <c r="C64" s="475" t="s">
        <v>325</v>
      </c>
      <c r="D64" s="478">
        <f>D62/H17</f>
        <v>10699999.999999998</v>
      </c>
      <c r="E64" s="589"/>
      <c r="F64" s="589"/>
      <c r="G64" s="589"/>
      <c r="H64" s="587"/>
      <c r="I64" s="473"/>
    </row>
    <row r="65" spans="2:9" ht="15.75">
      <c r="B65" s="545"/>
      <c r="C65" s="475"/>
      <c r="D65" s="223"/>
      <c r="E65" s="589"/>
      <c r="F65" s="589"/>
      <c r="G65" s="589"/>
      <c r="H65" s="587"/>
      <c r="I65" s="473"/>
    </row>
    <row r="66" spans="2:9" ht="15.75">
      <c r="B66" s="545"/>
      <c r="C66" s="475" t="s">
        <v>326</v>
      </c>
      <c r="D66" s="223"/>
      <c r="E66" s="589"/>
      <c r="F66" s="589"/>
      <c r="G66" s="589"/>
      <c r="H66" s="587"/>
      <c r="I66" s="473"/>
    </row>
    <row r="67" spans="2:9" ht="15.75">
      <c r="B67" s="545"/>
      <c r="C67" s="475" t="s">
        <v>327</v>
      </c>
      <c r="D67" s="585">
        <f>D64/D49</f>
        <v>0.91800188519008064</v>
      </c>
      <c r="E67" s="589"/>
      <c r="F67" s="589"/>
      <c r="G67" s="589"/>
      <c r="H67" s="587"/>
      <c r="I67" s="473"/>
    </row>
    <row r="68" spans="2:9" ht="15.75">
      <c r="B68" s="545"/>
      <c r="C68" s="475"/>
      <c r="D68" s="223"/>
      <c r="E68" s="589"/>
      <c r="F68" s="589"/>
      <c r="G68" s="589"/>
      <c r="H68" s="587"/>
      <c r="I68" s="473"/>
    </row>
    <row r="69" spans="2:9" ht="15.75">
      <c r="B69" s="545"/>
      <c r="C69" s="475" t="s">
        <v>328</v>
      </c>
      <c r="D69" s="223"/>
      <c r="E69" s="589"/>
      <c r="F69" s="589"/>
      <c r="G69" s="589"/>
      <c r="H69" s="587"/>
      <c r="I69" s="473"/>
    </row>
    <row r="70" spans="2:9" ht="15.75">
      <c r="B70" s="545"/>
      <c r="C70" s="475" t="s">
        <v>327</v>
      </c>
      <c r="D70" s="228">
        <f>1-D67</f>
        <v>8.1998114809919365E-2</v>
      </c>
      <c r="E70" s="589"/>
      <c r="F70" s="589"/>
      <c r="G70" s="589"/>
      <c r="H70" s="587"/>
      <c r="I70" s="473"/>
    </row>
    <row r="71" spans="2:9" ht="15.75">
      <c r="B71" s="545"/>
      <c r="C71" s="475"/>
      <c r="D71" s="223"/>
      <c r="E71" s="589"/>
      <c r="F71" s="589"/>
      <c r="G71" s="589"/>
      <c r="H71" s="587"/>
      <c r="I71" s="473"/>
    </row>
    <row r="72" spans="2:9" ht="15.75">
      <c r="B72" s="545" t="s">
        <v>276</v>
      </c>
      <c r="C72" s="475" t="s">
        <v>304</v>
      </c>
      <c r="D72" s="228">
        <f>D38/D28</f>
        <v>0.12992927231876747</v>
      </c>
      <c r="E72" s="589"/>
      <c r="F72" s="589"/>
      <c r="G72" s="589"/>
      <c r="H72" s="587"/>
      <c r="I72" s="473"/>
    </row>
    <row r="73" spans="2:9" ht="16.5" thickBot="1">
      <c r="B73" s="592"/>
      <c r="C73" s="492"/>
      <c r="D73" s="493"/>
      <c r="E73" s="230"/>
      <c r="F73" s="230"/>
      <c r="G73" s="230"/>
      <c r="H73" s="593"/>
      <c r="I73" s="494"/>
    </row>
  </sheetData>
  <mergeCells count="2">
    <mergeCell ref="C1:H1"/>
    <mergeCell ref="C2:H2"/>
  </mergeCells>
  <phoneticPr fontId="53" type="noConversion"/>
  <pageMargins left="0.75" right="0.75" top="1" bottom="1" header="0.5" footer="0.5"/>
  <pageSetup scale="70" orientation="portrait" horizontalDpi="300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>
  <sheetPr codeName="Sheet11111224"/>
  <dimension ref="B1:F26"/>
  <sheetViews>
    <sheetView zoomScaleNormal="100" workbookViewId="0"/>
  </sheetViews>
  <sheetFormatPr defaultRowHeight="15"/>
  <cols>
    <col min="2" max="2" width="3.140625" customWidth="1"/>
    <col min="3" max="3" width="38.7109375" customWidth="1"/>
    <col min="4" max="4" width="21.7109375" style="58" customWidth="1"/>
    <col min="5" max="5" width="21.85546875" style="59" customWidth="1"/>
    <col min="6" max="6" width="3.140625" customWidth="1"/>
  </cols>
  <sheetData>
    <row r="1" spans="2:6" ht="18">
      <c r="C1" s="772" t="s">
        <v>641</v>
      </c>
      <c r="D1" s="772"/>
    </row>
    <row r="2" spans="2:6" ht="18" customHeight="1">
      <c r="C2" s="772" t="s">
        <v>642</v>
      </c>
      <c r="D2" s="772"/>
    </row>
    <row r="4" spans="2:6">
      <c r="C4" s="9" t="s">
        <v>34</v>
      </c>
      <c r="D4" s="203"/>
    </row>
    <row r="5" spans="2:6" ht="15.75" thickBot="1">
      <c r="C5" s="17"/>
      <c r="D5" s="204"/>
    </row>
    <row r="6" spans="2:6">
      <c r="B6" s="62"/>
      <c r="C6" s="205"/>
      <c r="D6" s="206"/>
      <c r="E6" s="104"/>
      <c r="F6" s="119"/>
    </row>
    <row r="7" spans="2:6" ht="15" customHeight="1">
      <c r="B7" s="65"/>
      <c r="C7" s="188"/>
      <c r="D7" s="372" t="s">
        <v>643</v>
      </c>
      <c r="E7" s="372" t="s">
        <v>280</v>
      </c>
      <c r="F7" s="123"/>
    </row>
    <row r="8" spans="2:6" ht="15" customHeight="1">
      <c r="B8" s="65"/>
      <c r="C8" s="188" t="s">
        <v>644</v>
      </c>
      <c r="D8" s="191">
        <v>9.1800000000000007E-2</v>
      </c>
      <c r="E8" s="191">
        <v>0.20430000000000001</v>
      </c>
      <c r="F8" s="123"/>
    </row>
    <row r="9" spans="2:6" ht="15" customHeight="1">
      <c r="B9" s="65"/>
      <c r="C9" s="188" t="s">
        <v>645</v>
      </c>
      <c r="D9" s="191">
        <v>0.14119999999999999</v>
      </c>
      <c r="E9" s="191">
        <v>0.25130000000000002</v>
      </c>
      <c r="F9" s="123"/>
    </row>
    <row r="10" spans="2:6" ht="15" customHeight="1">
      <c r="B10" s="65"/>
      <c r="C10" s="188" t="s">
        <v>646</v>
      </c>
      <c r="D10" s="191">
        <v>8.5800000000000001E-2</v>
      </c>
      <c r="E10" s="191">
        <v>0.2382</v>
      </c>
      <c r="F10" s="123"/>
    </row>
    <row r="11" spans="2:6" ht="15" customHeight="1">
      <c r="B11" s="65"/>
      <c r="C11" s="188" t="s">
        <v>647</v>
      </c>
      <c r="D11" s="191">
        <v>6.4500000000000002E-2</v>
      </c>
      <c r="E11" s="191">
        <v>9.8500000000000004E-2</v>
      </c>
      <c r="F11" s="123"/>
    </row>
    <row r="12" spans="2:6" ht="15" customHeight="1">
      <c r="B12" s="65"/>
      <c r="C12" s="49"/>
      <c r="D12" s="373"/>
      <c r="E12" s="63"/>
      <c r="F12" s="123"/>
    </row>
    <row r="13" spans="2:6">
      <c r="B13" s="65"/>
      <c r="C13" s="14" t="s">
        <v>872</v>
      </c>
      <c r="D13" s="374">
        <v>3.2000000000000001E-2</v>
      </c>
      <c r="E13" s="63"/>
      <c r="F13" s="123"/>
    </row>
    <row r="14" spans="2:6" ht="15" customHeight="1">
      <c r="B14" s="65"/>
      <c r="C14" s="63" t="s">
        <v>648</v>
      </c>
      <c r="D14" s="374">
        <v>0.16</v>
      </c>
      <c r="E14" s="63"/>
      <c r="F14" s="123"/>
    </row>
    <row r="15" spans="2:6">
      <c r="B15" s="65"/>
      <c r="C15" s="14" t="s">
        <v>779</v>
      </c>
      <c r="D15" s="374">
        <v>0.65</v>
      </c>
      <c r="E15" s="63"/>
      <c r="F15" s="123"/>
    </row>
    <row r="16" spans="2:6" ht="15.75" thickBot="1">
      <c r="B16" s="72"/>
      <c r="C16" s="73"/>
      <c r="D16" s="214"/>
      <c r="E16" s="73"/>
      <c r="F16" s="134"/>
    </row>
    <row r="17" spans="2:5">
      <c r="C17" s="59"/>
      <c r="D17" s="203"/>
    </row>
    <row r="18" spans="2:5">
      <c r="C18" s="9" t="s">
        <v>51</v>
      </c>
      <c r="D18" s="203"/>
    </row>
    <row r="19" spans="2:5" ht="15.75" thickBot="1">
      <c r="C19" s="17"/>
      <c r="D19" s="203"/>
    </row>
    <row r="20" spans="2:5">
      <c r="B20" s="215"/>
      <c r="C20" s="109"/>
      <c r="D20" s="216"/>
      <c r="E20" s="137"/>
    </row>
    <row r="21" spans="2:5" ht="15.75">
      <c r="B21" s="238"/>
      <c r="C21" s="375" t="s">
        <v>644</v>
      </c>
      <c r="D21" s="376">
        <f>(D8-$D$13)/E8</f>
        <v>0.29270680372001961</v>
      </c>
      <c r="E21" s="141"/>
    </row>
    <row r="22" spans="2:5" ht="15.75">
      <c r="B22" s="238"/>
      <c r="C22" s="375" t="s">
        <v>645</v>
      </c>
      <c r="D22" s="376">
        <f>(D9-$D$13)/E9</f>
        <v>0.43454038997214478</v>
      </c>
      <c r="E22" s="141"/>
    </row>
    <row r="23" spans="2:5" ht="15" customHeight="1">
      <c r="B23" s="238"/>
      <c r="C23" s="375" t="s">
        <v>646</v>
      </c>
      <c r="D23" s="376">
        <f>(D10-$D$13)/E10</f>
        <v>0.2258606213266163</v>
      </c>
      <c r="E23" s="141"/>
    </row>
    <row r="24" spans="2:5" ht="15.75">
      <c r="B24" s="238"/>
      <c r="C24" s="375" t="s">
        <v>647</v>
      </c>
      <c r="D24" s="376">
        <f>(D11-$D$13)/E11</f>
        <v>0.32994923857868019</v>
      </c>
      <c r="E24" s="141"/>
    </row>
    <row r="25" spans="2:5" ht="15.75">
      <c r="B25" s="238"/>
      <c r="C25" s="221" t="s">
        <v>649</v>
      </c>
      <c r="D25" s="377">
        <f>(D14-D13)/D15</f>
        <v>0.19692307692307692</v>
      </c>
      <c r="E25" s="141"/>
    </row>
    <row r="26" spans="2:5" ht="15.75" thickBot="1">
      <c r="B26" s="246"/>
      <c r="C26" s="90"/>
      <c r="D26" s="229"/>
      <c r="E26" s="164"/>
    </row>
  </sheetData>
  <mergeCells count="2">
    <mergeCell ref="C1:D1"/>
    <mergeCell ref="C2:D2"/>
  </mergeCells>
  <phoneticPr fontId="0" type="noConversion"/>
  <pageMargins left="0.75" right="0.75" top="1" bottom="1" header="0.5" footer="0.5"/>
  <pageSetup scale="70" orientation="portrait" horizontalDpi="300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>
  <sheetPr codeName="Sheet11111225"/>
  <dimension ref="B1:H53"/>
  <sheetViews>
    <sheetView zoomScaleNormal="100" workbookViewId="0"/>
  </sheetViews>
  <sheetFormatPr defaultRowHeight="15"/>
  <cols>
    <col min="2" max="2" width="3.140625" customWidth="1"/>
    <col min="3" max="3" width="38.7109375" customWidth="1"/>
    <col min="4" max="4" width="21.7109375" style="58" customWidth="1"/>
    <col min="5" max="5" width="21.85546875" style="59" customWidth="1"/>
    <col min="6" max="6" width="3.140625" customWidth="1"/>
    <col min="8" max="8" width="10.5703125" bestFit="1" customWidth="1"/>
  </cols>
  <sheetData>
    <row r="1" spans="2:6" ht="18">
      <c r="C1" s="772" t="s">
        <v>716</v>
      </c>
      <c r="D1" s="772"/>
    </row>
    <row r="2" spans="2:6" ht="18" customHeight="1">
      <c r="C2" s="772" t="s">
        <v>650</v>
      </c>
      <c r="D2" s="772"/>
    </row>
    <row r="4" spans="2:6">
      <c r="C4" s="9" t="s">
        <v>34</v>
      </c>
      <c r="D4" s="203"/>
    </row>
    <row r="5" spans="2:6" ht="15.75" thickBot="1">
      <c r="C5" s="17"/>
      <c r="D5" s="204"/>
    </row>
    <row r="6" spans="2:6">
      <c r="B6" s="62"/>
      <c r="C6" s="205"/>
      <c r="D6" s="206"/>
      <c r="E6" s="104"/>
      <c r="F6" s="119"/>
    </row>
    <row r="7" spans="2:6" ht="15" customHeight="1">
      <c r="B7" s="65"/>
      <c r="C7" s="188"/>
      <c r="D7" s="372" t="s">
        <v>643</v>
      </c>
      <c r="E7" s="372" t="s">
        <v>280</v>
      </c>
      <c r="F7" s="123"/>
    </row>
    <row r="8" spans="2:6" ht="15" customHeight="1">
      <c r="B8" s="65"/>
      <c r="C8" s="188" t="s">
        <v>646</v>
      </c>
      <c r="D8" s="378">
        <f ca="1">'Chapter 10'!D10</f>
        <v>8.5800000000000001E-2</v>
      </c>
      <c r="E8" s="378">
        <f ca="1">'Chapter 10'!E10</f>
        <v>0.2382</v>
      </c>
      <c r="F8" s="123"/>
    </row>
    <row r="9" spans="2:6" ht="15" customHeight="1">
      <c r="B9" s="65"/>
      <c r="C9" s="188" t="s">
        <v>647</v>
      </c>
      <c r="D9" s="378">
        <f ca="1">'Chapter 10'!D11</f>
        <v>6.4500000000000002E-2</v>
      </c>
      <c r="E9" s="378">
        <f ca="1">'Chapter 10'!E11</f>
        <v>9.8500000000000004E-2</v>
      </c>
      <c r="F9" s="123"/>
    </row>
    <row r="10" spans="2:6">
      <c r="B10" s="65"/>
      <c r="C10" s="14" t="s">
        <v>219</v>
      </c>
      <c r="D10" s="378">
        <f ca="1">'Chapter 10'!D13</f>
        <v>3.2000000000000001E-2</v>
      </c>
      <c r="E10" s="63"/>
      <c r="F10" s="123"/>
    </row>
    <row r="11" spans="2:6">
      <c r="B11" s="65"/>
      <c r="C11" s="63"/>
      <c r="D11" s="378"/>
      <c r="E11" s="63"/>
      <c r="F11" s="123"/>
    </row>
    <row r="12" spans="2:6">
      <c r="B12" s="65"/>
      <c r="C12" s="63" t="s">
        <v>651</v>
      </c>
      <c r="D12" s="379">
        <v>0.15</v>
      </c>
      <c r="E12" s="63"/>
      <c r="F12" s="123"/>
    </row>
    <row r="13" spans="2:6" ht="15.75" thickBot="1">
      <c r="B13" s="72"/>
      <c r="C13" s="73"/>
      <c r="D13" s="214"/>
      <c r="E13" s="73"/>
      <c r="F13" s="134"/>
    </row>
    <row r="14" spans="2:6">
      <c r="C14" s="59"/>
      <c r="D14" s="203"/>
    </row>
    <row r="15" spans="2:6">
      <c r="C15" s="9" t="s">
        <v>51</v>
      </c>
      <c r="D15" s="203"/>
    </row>
    <row r="16" spans="2:6" ht="15.75" thickBot="1">
      <c r="C16" s="17"/>
      <c r="D16" s="203"/>
    </row>
    <row r="17" spans="2:6">
      <c r="B17" s="215"/>
      <c r="C17" s="109"/>
      <c r="D17" s="216"/>
      <c r="E17" s="324"/>
      <c r="F17" s="137"/>
    </row>
    <row r="18" spans="2:6" ht="30">
      <c r="B18" s="238"/>
      <c r="C18" s="380" t="s">
        <v>652</v>
      </c>
      <c r="D18" s="381" t="s">
        <v>653</v>
      </c>
      <c r="E18" s="382" t="s">
        <v>654</v>
      </c>
      <c r="F18" s="141"/>
    </row>
    <row r="19" spans="2:6">
      <c r="B19" s="238"/>
      <c r="C19" s="383">
        <v>0</v>
      </c>
      <c r="D19" s="384">
        <f t="shared" ref="D19:D29" si="0">C19*$D$8+((1-C19)*$D$9)</f>
        <v>6.4500000000000002E-2</v>
      </c>
      <c r="E19" s="385">
        <f t="shared" ref="E19:E29" si="1">SQRT(((C19^2)*($E$8^2))+(((1-C19)^2)*($E$9^2))+(2*C19*(1-C19)*$E$8*$E$9*$D$12))</f>
        <v>9.8500000000000004E-2</v>
      </c>
      <c r="F19" s="141"/>
    </row>
    <row r="20" spans="2:6">
      <c r="B20" s="238"/>
      <c r="C20" s="383">
        <v>0.1</v>
      </c>
      <c r="D20" s="384">
        <f t="shared" si="0"/>
        <v>6.6630000000000009E-2</v>
      </c>
      <c r="E20" s="385">
        <f t="shared" si="1"/>
        <v>9.5182497340635067E-2</v>
      </c>
      <c r="F20" s="141"/>
    </row>
    <row r="21" spans="2:6">
      <c r="B21" s="238"/>
      <c r="C21" s="383">
        <v>0.2</v>
      </c>
      <c r="D21" s="384">
        <f t="shared" si="0"/>
        <v>6.8760000000000016E-2</v>
      </c>
      <c r="E21" s="385">
        <f t="shared" si="1"/>
        <v>9.8006220210760109E-2</v>
      </c>
      <c r="F21" s="141"/>
    </row>
    <row r="22" spans="2:6">
      <c r="B22" s="238"/>
      <c r="C22" s="383">
        <v>0.3</v>
      </c>
      <c r="D22" s="384">
        <f t="shared" si="0"/>
        <v>7.0889999999999995E-2</v>
      </c>
      <c r="E22" s="385">
        <f t="shared" si="1"/>
        <v>0.10648372739531613</v>
      </c>
      <c r="F22" s="141"/>
    </row>
    <row r="23" spans="2:6">
      <c r="B23" s="238"/>
      <c r="C23" s="383">
        <v>0.4</v>
      </c>
      <c r="D23" s="384">
        <f t="shared" si="0"/>
        <v>7.3020000000000002E-2</v>
      </c>
      <c r="E23" s="385">
        <f t="shared" si="1"/>
        <v>0.11941692844818946</v>
      </c>
      <c r="F23" s="141"/>
    </row>
    <row r="24" spans="2:6">
      <c r="B24" s="238"/>
      <c r="C24" s="383">
        <v>0.5</v>
      </c>
      <c r="D24" s="384">
        <f t="shared" si="0"/>
        <v>7.5149999999999995E-2</v>
      </c>
      <c r="E24" s="385">
        <f t="shared" si="1"/>
        <v>0.13553624976367024</v>
      </c>
      <c r="F24" s="141"/>
    </row>
    <row r="25" spans="2:6">
      <c r="B25" s="238"/>
      <c r="C25" s="383">
        <v>0.6</v>
      </c>
      <c r="D25" s="384">
        <f t="shared" si="0"/>
        <v>7.7280000000000001E-2</v>
      </c>
      <c r="E25" s="385">
        <f t="shared" si="1"/>
        <v>0.15384342949895519</v>
      </c>
      <c r="F25" s="141"/>
    </row>
    <row r="26" spans="2:6">
      <c r="B26" s="238"/>
      <c r="C26" s="383">
        <v>0.7</v>
      </c>
      <c r="D26" s="384">
        <f t="shared" si="0"/>
        <v>7.9409999999999994E-2</v>
      </c>
      <c r="E26" s="385">
        <f t="shared" si="1"/>
        <v>0.17364786264161156</v>
      </c>
      <c r="F26" s="141"/>
    </row>
    <row r="27" spans="2:6">
      <c r="B27" s="238"/>
      <c r="C27" s="383">
        <v>0.8</v>
      </c>
      <c r="D27" s="384">
        <f t="shared" si="0"/>
        <v>8.1540000000000001E-2</v>
      </c>
      <c r="E27" s="385">
        <f t="shared" si="1"/>
        <v>0.1944927073182951</v>
      </c>
      <c r="F27" s="141"/>
    </row>
    <row r="28" spans="2:6">
      <c r="B28" s="238"/>
      <c r="C28" s="383">
        <v>0.9</v>
      </c>
      <c r="D28" s="384">
        <f t="shared" si="0"/>
        <v>8.3669999999999994E-2</v>
      </c>
      <c r="E28" s="385">
        <f t="shared" si="1"/>
        <v>0.21607706912118185</v>
      </c>
      <c r="F28" s="141"/>
    </row>
    <row r="29" spans="2:6">
      <c r="B29" s="238"/>
      <c r="C29" s="383">
        <v>1</v>
      </c>
      <c r="D29" s="384">
        <f t="shared" si="0"/>
        <v>8.5800000000000001E-2</v>
      </c>
      <c r="E29" s="385">
        <f t="shared" si="1"/>
        <v>0.2382</v>
      </c>
      <c r="F29" s="141"/>
    </row>
    <row r="30" spans="2:6">
      <c r="B30" s="238"/>
      <c r="C30" s="383"/>
      <c r="D30" s="384"/>
      <c r="E30" s="385"/>
      <c r="F30" s="141"/>
    </row>
    <row r="31" spans="2:6">
      <c r="B31" s="238"/>
      <c r="C31" s="386" t="s">
        <v>655</v>
      </c>
      <c r="D31" s="384"/>
      <c r="E31" s="385"/>
      <c r="F31" s="141"/>
    </row>
    <row r="32" spans="2:6">
      <c r="B32" s="238"/>
      <c r="C32" s="387" t="s">
        <v>652</v>
      </c>
      <c r="D32" s="220">
        <f>1-D33</f>
        <v>0.20817390028812099</v>
      </c>
      <c r="E32" s="385"/>
      <c r="F32" s="141"/>
    </row>
    <row r="33" spans="2:8">
      <c r="B33" s="238"/>
      <c r="C33" s="387" t="s">
        <v>656</v>
      </c>
      <c r="D33" s="220">
        <v>0.79182609971187901</v>
      </c>
      <c r="E33" s="385"/>
      <c r="F33" s="141"/>
    </row>
    <row r="34" spans="2:8">
      <c r="B34" s="238"/>
      <c r="C34" s="387" t="s">
        <v>280</v>
      </c>
      <c r="D34" s="220">
        <f>SQRT(((D32^2)*(E8^2))+((D33^2)*(E9^2))+(2*D32*D33*E8*E9*D12))</f>
        <v>9.8500420133310077E-2</v>
      </c>
      <c r="E34" s="385"/>
      <c r="F34" s="141"/>
    </row>
    <row r="35" spans="2:8">
      <c r="B35" s="238"/>
      <c r="C35" s="387" t="s">
        <v>657</v>
      </c>
      <c r="D35" s="220">
        <f>(D32*D8)+(D33*D9)</f>
        <v>6.8934104076136982E-2</v>
      </c>
      <c r="E35" s="385"/>
      <c r="F35" s="141"/>
    </row>
    <row r="36" spans="2:8">
      <c r="B36" s="238"/>
      <c r="C36" s="81"/>
      <c r="D36" s="240"/>
      <c r="E36" s="181"/>
      <c r="F36" s="141"/>
    </row>
    <row r="37" spans="2:8">
      <c r="B37" s="238"/>
      <c r="C37" s="113" t="s">
        <v>658</v>
      </c>
      <c r="D37" s="240"/>
      <c r="E37" s="181"/>
      <c r="F37" s="141"/>
    </row>
    <row r="38" spans="2:8" ht="15.75">
      <c r="B38" s="238"/>
      <c r="C38" s="375" t="s">
        <v>659</v>
      </c>
      <c r="D38" s="228">
        <f>((E9^2)-(D12*E8*E9))/((E8^2)+(E9^2)-(2*E8*E9*D12))</f>
        <v>0.10408360363539157</v>
      </c>
      <c r="E38" s="181"/>
      <c r="F38" s="141"/>
    </row>
    <row r="39" spans="2:8" ht="15.75">
      <c r="B39" s="238"/>
      <c r="C39" s="375" t="s">
        <v>656</v>
      </c>
      <c r="D39" s="228">
        <f>1-D38</f>
        <v>0.8959163963646084</v>
      </c>
      <c r="E39" s="181"/>
      <c r="F39" s="141"/>
    </row>
    <row r="40" spans="2:8" ht="15" customHeight="1">
      <c r="B40" s="238"/>
      <c r="C40" s="375" t="s">
        <v>657</v>
      </c>
      <c r="D40" s="228">
        <f>(D38*D8)+(D39*D9)</f>
        <v>6.6716980757433833E-2</v>
      </c>
      <c r="E40" s="181"/>
      <c r="F40" s="141"/>
    </row>
    <row r="41" spans="2:8" ht="15" customHeight="1">
      <c r="B41" s="238"/>
      <c r="C41" s="375" t="s">
        <v>660</v>
      </c>
      <c r="D41" s="388">
        <f>((D38^2)*($E$8^2))+((D39^2)*($E$9^2))+(2*D38*D39*$E$8*$E$9*$D$12)</f>
        <v>9.0587172116809375E-3</v>
      </c>
      <c r="E41" s="181"/>
      <c r="F41" s="141"/>
    </row>
    <row r="42" spans="2:8" ht="15.75">
      <c r="B42" s="238"/>
      <c r="C42" s="375" t="s">
        <v>280</v>
      </c>
      <c r="D42" s="228">
        <f>SQRT(((D38^2)*($E$8^2))+((D39^2)*($E$9^2))+(2*D38*D39*$E$8*$E$9*$D$12))</f>
        <v>9.5177293571948859E-2</v>
      </c>
      <c r="E42" s="181"/>
      <c r="F42" s="141"/>
    </row>
    <row r="43" spans="2:8" ht="15.75">
      <c r="B43" s="238"/>
      <c r="C43" s="221"/>
      <c r="D43" s="389"/>
      <c r="E43" s="181"/>
      <c r="F43" s="141"/>
    </row>
    <row r="44" spans="2:8">
      <c r="B44" s="238"/>
      <c r="C44" s="113" t="s">
        <v>661</v>
      </c>
      <c r="D44" s="240"/>
      <c r="E44" s="181"/>
      <c r="F44" s="141"/>
    </row>
    <row r="45" spans="2:8" ht="15.75">
      <c r="B45" s="238"/>
      <c r="C45" s="81" t="s">
        <v>659</v>
      </c>
      <c r="D45" s="228">
        <v>0.19764542494950549</v>
      </c>
      <c r="E45" s="181"/>
      <c r="F45" s="141"/>
    </row>
    <row r="46" spans="2:8" ht="15.75">
      <c r="B46" s="238"/>
      <c r="C46" s="81" t="s">
        <v>662</v>
      </c>
      <c r="D46" s="750">
        <f>(((D45*D8))+((1-D45)*D9)-D10)/(SQRT(((D45^2)*(E8^2))+(((1-D45)^2)*(E9^2))+(2*D45*(1-D45)*E8*E9*D12)))</f>
        <v>0.37508431556152805</v>
      </c>
      <c r="E46" s="181"/>
      <c r="F46" s="141"/>
    </row>
    <row r="47" spans="2:8" ht="15.75">
      <c r="B47" s="238"/>
      <c r="C47" s="221"/>
      <c r="D47" s="389"/>
      <c r="E47" s="181"/>
      <c r="F47" s="141"/>
    </row>
    <row r="48" spans="2:8" ht="15.75">
      <c r="B48" s="238"/>
      <c r="C48" s="375" t="s">
        <v>659</v>
      </c>
      <c r="D48" s="364">
        <f>1-D49</f>
        <v>0.1976453497097258</v>
      </c>
      <c r="E48" s="390"/>
      <c r="F48" s="141"/>
      <c r="H48" s="391"/>
    </row>
    <row r="49" spans="2:8" ht="15.75">
      <c r="B49" s="238"/>
      <c r="C49" s="375" t="s">
        <v>656</v>
      </c>
      <c r="D49" s="44">
        <f>(((D9-D10)*(E8^2))-((D8-D10)*E8*E9*D12))/(((D9-D10)*(E8^2))+((D8-D10)*(E9^2))-((D9-D10+D8-D10)*E8*E9*D12))</f>
        <v>0.8023546502902742</v>
      </c>
      <c r="E49" s="390"/>
      <c r="F49" s="141"/>
      <c r="H49" s="391"/>
    </row>
    <row r="50" spans="2:8" ht="15.75">
      <c r="B50" s="238"/>
      <c r="C50" s="375" t="s">
        <v>657</v>
      </c>
      <c r="D50" s="228">
        <f>(D48*D8)+(D49*D9)</f>
        <v>6.8709845948817155E-2</v>
      </c>
      <c r="E50" s="390"/>
      <c r="F50" s="141"/>
    </row>
    <row r="51" spans="2:8" ht="15.75">
      <c r="B51" s="238"/>
      <c r="C51" s="375" t="s">
        <v>280</v>
      </c>
      <c r="D51" s="228">
        <f>SQRT(((D48^2)*($E$8^2))+((D49^2)*($E$9^2))+(2*D48*D49*$E$8*$E$9*$D$12))</f>
        <v>9.7870917086627027E-2</v>
      </c>
      <c r="E51" s="390"/>
      <c r="F51" s="141"/>
    </row>
    <row r="52" spans="2:8" ht="15.75">
      <c r="B52" s="238"/>
      <c r="C52" s="221" t="s">
        <v>662</v>
      </c>
      <c r="D52" s="377">
        <f>(D50-D10)/D51</f>
        <v>0.37508431556153415</v>
      </c>
      <c r="E52" s="390"/>
      <c r="F52" s="141"/>
    </row>
    <row r="53" spans="2:8" ht="15.75" thickBot="1">
      <c r="B53" s="246"/>
      <c r="C53" s="90"/>
      <c r="D53" s="229"/>
      <c r="E53" s="336"/>
      <c r="F53" s="164"/>
    </row>
  </sheetData>
  <mergeCells count="2">
    <mergeCell ref="C1:D1"/>
    <mergeCell ref="C2:D2"/>
  </mergeCells>
  <phoneticPr fontId="0" type="noConversion"/>
  <pageMargins left="0.75" right="0.75" top="1" bottom="1" header="0.5" footer="0.5"/>
  <pageSetup scale="70" orientation="portrait" horizontalDpi="300" r:id="rId1"/>
  <headerFooter alignWithMargins="0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>
  <dimension ref="A1:E17"/>
  <sheetViews>
    <sheetView showGridLines="0" workbookViewId="0"/>
  </sheetViews>
  <sheetFormatPr defaultRowHeight="12.75"/>
  <cols>
    <col min="1" max="1" width="2.28515625" customWidth="1"/>
    <col min="2" max="2" width="6.28515625" bestFit="1" customWidth="1"/>
    <col min="3" max="3" width="38.7109375" bestFit="1" customWidth="1"/>
    <col min="4" max="4" width="14.28515625" bestFit="1" customWidth="1"/>
    <col min="5" max="5" width="11.42578125" bestFit="1" customWidth="1"/>
  </cols>
  <sheetData>
    <row r="1" spans="1:5">
      <c r="A1" s="116" t="s">
        <v>780</v>
      </c>
    </row>
    <row r="2" spans="1:5">
      <c r="A2" s="116" t="s">
        <v>781</v>
      </c>
    </row>
    <row r="3" spans="1:5">
      <c r="A3" s="116" t="s">
        <v>782</v>
      </c>
    </row>
    <row r="6" spans="1:5" ht="13.5" thickBot="1">
      <c r="A6" t="s">
        <v>783</v>
      </c>
    </row>
    <row r="7" spans="1:5" ht="13.5" thickBot="1">
      <c r="B7" s="594" t="s">
        <v>288</v>
      </c>
      <c r="C7" s="594" t="s">
        <v>289</v>
      </c>
      <c r="D7" s="594" t="s">
        <v>290</v>
      </c>
      <c r="E7" s="594" t="s">
        <v>291</v>
      </c>
    </row>
    <row r="8" spans="1:5" ht="13.5" thickBot="1">
      <c r="B8" s="200" t="s">
        <v>784</v>
      </c>
      <c r="C8" s="200" t="s">
        <v>785</v>
      </c>
      <c r="D8" s="595">
        <v>0.26630434782608697</v>
      </c>
      <c r="E8" s="595">
        <v>0.3171332368839348</v>
      </c>
    </row>
    <row r="11" spans="1:5" ht="13.5" thickBot="1">
      <c r="A11" t="s">
        <v>292</v>
      </c>
    </row>
    <row r="12" spans="1:5" ht="13.5" thickBot="1">
      <c r="B12" s="594" t="s">
        <v>288</v>
      </c>
      <c r="C12" s="594" t="s">
        <v>289</v>
      </c>
      <c r="D12" s="594" t="s">
        <v>290</v>
      </c>
      <c r="E12" s="594" t="s">
        <v>291</v>
      </c>
    </row>
    <row r="13" spans="1:5" ht="13.5" thickBot="1">
      <c r="B13" s="200" t="s">
        <v>786</v>
      </c>
      <c r="C13" s="200" t="s">
        <v>787</v>
      </c>
      <c r="D13" s="202">
        <v>0</v>
      </c>
      <c r="E13" s="202">
        <v>0.2253875473660811</v>
      </c>
    </row>
    <row r="16" spans="1:5">
      <c r="A16" t="s">
        <v>293</v>
      </c>
    </row>
    <row r="17" spans="2:2">
      <c r="B17" t="s">
        <v>294</v>
      </c>
    </row>
  </sheetData>
  <phoneticPr fontId="53" type="noConversion"/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>
  <dimension ref="A1:O138"/>
  <sheetViews>
    <sheetView workbookViewId="0"/>
  </sheetViews>
  <sheetFormatPr defaultRowHeight="15"/>
  <cols>
    <col min="1" max="1" width="9.140625" style="6"/>
    <col min="2" max="2" width="3.140625" style="6" customWidth="1"/>
    <col min="3" max="6" width="9" style="6" bestFit="1" customWidth="1"/>
    <col min="7" max="7" width="10" style="6" bestFit="1" customWidth="1"/>
    <col min="8" max="8" width="11.42578125" style="6" customWidth="1"/>
    <col min="9" max="9" width="11.85546875" style="6" customWidth="1"/>
    <col min="10" max="10" width="11.5703125" style="414" customWidth="1"/>
    <col min="11" max="11" width="8.42578125" style="414" bestFit="1" customWidth="1"/>
    <col min="12" max="13" width="9.7109375" style="6" bestFit="1" customWidth="1"/>
    <col min="14" max="14" width="3.140625" style="6" customWidth="1"/>
    <col min="15" max="15" width="9.140625" style="6"/>
  </cols>
  <sheetData>
    <row r="1" spans="2:15" ht="18">
      <c r="C1" s="772" t="s">
        <v>788</v>
      </c>
      <c r="D1" s="772"/>
      <c r="E1" s="772"/>
      <c r="F1" s="772"/>
      <c r="G1" s="772"/>
      <c r="H1" s="772"/>
      <c r="I1" s="772"/>
      <c r="J1" s="772"/>
      <c r="K1" s="772"/>
    </row>
    <row r="2" spans="2:15" ht="18">
      <c r="C2" s="772" t="s">
        <v>717</v>
      </c>
      <c r="D2" s="772"/>
      <c r="E2" s="772"/>
      <c r="F2" s="772"/>
      <c r="G2" s="772"/>
      <c r="H2" s="772"/>
      <c r="I2" s="772"/>
      <c r="J2" s="772"/>
      <c r="K2" s="772"/>
    </row>
    <row r="4" spans="2:15">
      <c r="C4" s="779" t="s">
        <v>34</v>
      </c>
      <c r="D4" s="779"/>
    </row>
    <row r="5" spans="2:15" ht="15.75" thickBot="1"/>
    <row r="6" spans="2:15">
      <c r="B6" s="10"/>
      <c r="C6" s="11"/>
      <c r="D6" s="11"/>
      <c r="E6" s="11"/>
      <c r="F6" s="11"/>
      <c r="G6" s="11"/>
      <c r="H6" s="11"/>
      <c r="I6" s="417"/>
      <c r="J6" s="11"/>
      <c r="K6" s="12"/>
      <c r="M6"/>
      <c r="N6"/>
      <c r="O6"/>
    </row>
    <row r="7" spans="2:15">
      <c r="B7" s="13"/>
      <c r="C7" s="14"/>
      <c r="D7" s="14"/>
      <c r="E7" s="14"/>
      <c r="F7" s="14"/>
      <c r="G7" s="14"/>
      <c r="H7" s="393" t="s">
        <v>4</v>
      </c>
      <c r="I7" s="418" t="s">
        <v>5</v>
      </c>
      <c r="J7" s="393" t="s">
        <v>6</v>
      </c>
      <c r="K7" s="16"/>
      <c r="M7"/>
      <c r="N7"/>
      <c r="O7"/>
    </row>
    <row r="8" spans="2:15">
      <c r="B8" s="13"/>
      <c r="C8" s="718"/>
      <c r="D8" s="719" t="s">
        <v>0</v>
      </c>
      <c r="E8" s="719" t="s">
        <v>1</v>
      </c>
      <c r="F8" s="719" t="s">
        <v>2</v>
      </c>
      <c r="G8" s="719" t="s">
        <v>3</v>
      </c>
      <c r="H8" s="720" t="s">
        <v>860</v>
      </c>
      <c r="I8" s="720" t="s">
        <v>860</v>
      </c>
      <c r="J8" s="720" t="s">
        <v>860</v>
      </c>
      <c r="K8" s="16"/>
      <c r="M8"/>
      <c r="N8"/>
      <c r="O8"/>
    </row>
    <row r="9" spans="2:15">
      <c r="B9" s="13"/>
      <c r="C9" s="718">
        <v>200605</v>
      </c>
      <c r="D9" s="722"/>
      <c r="E9" s="722"/>
      <c r="F9" s="722"/>
      <c r="G9" s="722"/>
      <c r="H9" s="723">
        <v>71.680000000000007</v>
      </c>
      <c r="I9" s="723">
        <v>31.35</v>
      </c>
      <c r="J9" s="723">
        <v>19.91</v>
      </c>
      <c r="K9" s="16"/>
      <c r="M9"/>
      <c r="N9"/>
      <c r="O9"/>
    </row>
    <row r="10" spans="2:15">
      <c r="B10" s="13"/>
      <c r="C10" s="721">
        <v>200606</v>
      </c>
      <c r="D10" s="724">
        <v>-0.44</v>
      </c>
      <c r="E10" s="724">
        <v>-0.47</v>
      </c>
      <c r="F10" s="724">
        <v>1.48</v>
      </c>
      <c r="G10" s="724">
        <v>0.4</v>
      </c>
      <c r="H10" s="723">
        <v>71.150000000000006</v>
      </c>
      <c r="I10" s="723">
        <v>30.97</v>
      </c>
      <c r="J10" s="723">
        <v>19.64</v>
      </c>
      <c r="K10" s="16"/>
      <c r="M10"/>
      <c r="N10"/>
      <c r="O10"/>
    </row>
    <row r="11" spans="2:15">
      <c r="B11" s="13"/>
      <c r="C11" s="721">
        <v>200607</v>
      </c>
      <c r="D11" s="724">
        <v>-0.59</v>
      </c>
      <c r="E11" s="724">
        <v>-3.91</v>
      </c>
      <c r="F11" s="724">
        <v>3.28</v>
      </c>
      <c r="G11" s="724">
        <v>0.4</v>
      </c>
      <c r="H11" s="723">
        <v>68.92</v>
      </c>
      <c r="I11" s="723">
        <v>30.6</v>
      </c>
      <c r="J11" s="723">
        <v>18.38</v>
      </c>
      <c r="K11" s="16"/>
      <c r="M11"/>
      <c r="N11"/>
      <c r="O11"/>
    </row>
    <row r="12" spans="2:15">
      <c r="B12" s="13"/>
      <c r="C12" s="721">
        <v>200608</v>
      </c>
      <c r="D12" s="724">
        <v>2.09</v>
      </c>
      <c r="E12" s="724">
        <v>0.79</v>
      </c>
      <c r="F12" s="724">
        <v>-1.72</v>
      </c>
      <c r="G12" s="724">
        <v>0.42</v>
      </c>
      <c r="H12" s="723">
        <v>70.58</v>
      </c>
      <c r="I12" s="723">
        <v>31.17</v>
      </c>
      <c r="J12" s="723">
        <v>18.79</v>
      </c>
      <c r="K12" s="16"/>
      <c r="M12"/>
      <c r="N12"/>
      <c r="O12"/>
    </row>
    <row r="13" spans="2:15">
      <c r="B13" s="13"/>
      <c r="C13" s="721">
        <v>200609</v>
      </c>
      <c r="D13" s="724">
        <v>1.53</v>
      </c>
      <c r="E13" s="724">
        <v>-1.19</v>
      </c>
      <c r="F13" s="724">
        <v>-0.45</v>
      </c>
      <c r="G13" s="724">
        <v>0.41</v>
      </c>
      <c r="H13" s="723">
        <v>71.37</v>
      </c>
      <c r="I13" s="723">
        <v>31.63</v>
      </c>
      <c r="J13" s="723">
        <v>19.41</v>
      </c>
      <c r="K13" s="16"/>
      <c r="M13"/>
      <c r="N13"/>
      <c r="O13"/>
    </row>
    <row r="14" spans="2:15">
      <c r="B14" s="13"/>
      <c r="C14" s="721">
        <v>200610</v>
      </c>
      <c r="D14" s="724">
        <v>3.3</v>
      </c>
      <c r="E14" s="724">
        <v>1.68</v>
      </c>
      <c r="F14" s="724">
        <v>0.48</v>
      </c>
      <c r="G14" s="724">
        <v>0.41</v>
      </c>
      <c r="H14" s="723">
        <v>73.459999999999994</v>
      </c>
      <c r="I14" s="723">
        <v>32.729999999999997</v>
      </c>
      <c r="J14" s="723">
        <v>20.53</v>
      </c>
      <c r="K14" s="16"/>
      <c r="M14"/>
      <c r="N14"/>
      <c r="O14"/>
    </row>
    <row r="15" spans="2:15">
      <c r="B15" s="13"/>
      <c r="C15" s="721">
        <v>200611</v>
      </c>
      <c r="D15" s="724">
        <v>1.95</v>
      </c>
      <c r="E15" s="724">
        <v>0.7</v>
      </c>
      <c r="F15" s="724">
        <v>0.46</v>
      </c>
      <c r="G15" s="724">
        <v>0.42</v>
      </c>
      <c r="H15" s="723">
        <v>75.36</v>
      </c>
      <c r="I15" s="723">
        <v>34.1</v>
      </c>
      <c r="J15" s="723">
        <v>21.12</v>
      </c>
      <c r="K15" s="16"/>
      <c r="M15"/>
      <c r="N15"/>
      <c r="O15"/>
    </row>
    <row r="16" spans="2:15">
      <c r="B16" s="13"/>
      <c r="C16" s="721">
        <v>200612</v>
      </c>
      <c r="D16" s="724">
        <v>0.68</v>
      </c>
      <c r="E16" s="724">
        <v>-0.9</v>
      </c>
      <c r="F16" s="724">
        <v>2.5499999999999998</v>
      </c>
      <c r="G16" s="724">
        <v>0.4</v>
      </c>
      <c r="H16" s="723">
        <v>74.959999999999994</v>
      </c>
      <c r="I16" s="723">
        <v>34.72</v>
      </c>
      <c r="J16" s="723">
        <v>21.32</v>
      </c>
      <c r="K16" s="16"/>
      <c r="M16"/>
      <c r="N16"/>
      <c r="O16"/>
    </row>
    <row r="17" spans="2:15">
      <c r="B17" s="13"/>
      <c r="C17" s="721">
        <v>200701</v>
      </c>
      <c r="D17" s="724">
        <v>1.5</v>
      </c>
      <c r="E17" s="724">
        <v>0.04</v>
      </c>
      <c r="F17" s="724">
        <v>-0.09</v>
      </c>
      <c r="G17" s="724">
        <v>0.44</v>
      </c>
      <c r="H17" s="723">
        <v>77.11</v>
      </c>
      <c r="I17" s="723">
        <v>35.14</v>
      </c>
      <c r="J17" s="723">
        <v>22.15</v>
      </c>
      <c r="K17" s="16"/>
      <c r="M17"/>
      <c r="N17"/>
      <c r="O17"/>
    </row>
    <row r="18" spans="2:15">
      <c r="B18" s="13"/>
      <c r="C18" s="721">
        <v>200702</v>
      </c>
      <c r="D18" s="724">
        <v>-1.78</v>
      </c>
      <c r="E18" s="724">
        <v>1.39</v>
      </c>
      <c r="F18" s="724">
        <v>0.31</v>
      </c>
      <c r="G18" s="724">
        <v>0.38</v>
      </c>
      <c r="H18" s="723">
        <v>75.84</v>
      </c>
      <c r="I18" s="723">
        <v>35.049999999999997</v>
      </c>
      <c r="J18" s="723">
        <v>21.99</v>
      </c>
      <c r="K18" s="16"/>
      <c r="M18"/>
      <c r="N18"/>
      <c r="O18"/>
    </row>
    <row r="19" spans="2:15">
      <c r="B19" s="13"/>
      <c r="C19" s="721">
        <v>200703</v>
      </c>
      <c r="D19" s="724">
        <v>0.87</v>
      </c>
      <c r="E19" s="724">
        <v>-0.19</v>
      </c>
      <c r="F19" s="724">
        <v>0.32</v>
      </c>
      <c r="G19" s="724">
        <v>0.43</v>
      </c>
      <c r="H19" s="723">
        <v>76.47</v>
      </c>
      <c r="I19" s="723">
        <v>35.619999999999997</v>
      </c>
      <c r="J19" s="723">
        <v>22.14</v>
      </c>
      <c r="K19" s="16"/>
      <c r="M19"/>
      <c r="N19"/>
      <c r="O19"/>
    </row>
    <row r="20" spans="2:15">
      <c r="B20" s="13"/>
      <c r="C20" s="721">
        <v>200704</v>
      </c>
      <c r="D20" s="724">
        <v>3.55</v>
      </c>
      <c r="E20" s="724">
        <v>-2.11</v>
      </c>
      <c r="F20" s="724">
        <v>-0.96</v>
      </c>
      <c r="G20" s="724">
        <v>0.44</v>
      </c>
      <c r="H20" s="723">
        <v>80.150000000000006</v>
      </c>
      <c r="I20" s="723">
        <v>36.79</v>
      </c>
      <c r="J20" s="723">
        <v>22.6</v>
      </c>
      <c r="K20" s="16"/>
      <c r="M20"/>
      <c r="N20"/>
      <c r="O20"/>
    </row>
    <row r="21" spans="2:15">
      <c r="B21" s="13"/>
      <c r="C21" s="721">
        <v>200705</v>
      </c>
      <c r="D21" s="724">
        <v>3.48</v>
      </c>
      <c r="E21" s="724">
        <v>-7.0000000000000007E-2</v>
      </c>
      <c r="F21" s="724">
        <v>-0.08</v>
      </c>
      <c r="G21" s="724">
        <v>0.41</v>
      </c>
      <c r="H21" s="723">
        <v>83.41</v>
      </c>
      <c r="I21" s="723">
        <v>38.229999999999997</v>
      </c>
      <c r="J21" s="723">
        <v>23.47</v>
      </c>
      <c r="K21" s="16"/>
      <c r="M21"/>
      <c r="N21"/>
      <c r="O21"/>
    </row>
    <row r="22" spans="2:15">
      <c r="B22" s="13"/>
      <c r="C22" s="721">
        <v>200706</v>
      </c>
      <c r="D22" s="724">
        <v>-1.87</v>
      </c>
      <c r="E22" s="724">
        <v>0.65</v>
      </c>
      <c r="F22" s="724">
        <v>-1.05</v>
      </c>
      <c r="G22" s="724">
        <v>0.4</v>
      </c>
      <c r="H22" s="723">
        <v>83.06</v>
      </c>
      <c r="I22" s="723">
        <v>37.880000000000003</v>
      </c>
      <c r="J22" s="723">
        <v>23.49</v>
      </c>
      <c r="K22" s="16"/>
      <c r="M22"/>
      <c r="N22"/>
      <c r="O22"/>
    </row>
    <row r="23" spans="2:15">
      <c r="B23" s="13"/>
      <c r="C23" s="721">
        <v>200707</v>
      </c>
      <c r="D23" s="724">
        <v>-3.57</v>
      </c>
      <c r="E23" s="724">
        <v>-2.71</v>
      </c>
      <c r="F23" s="724">
        <v>-2.97</v>
      </c>
      <c r="G23" s="724">
        <v>0.4</v>
      </c>
      <c r="H23" s="723">
        <v>81.55</v>
      </c>
      <c r="I23" s="723">
        <v>36.19</v>
      </c>
      <c r="J23" s="723">
        <v>22.5</v>
      </c>
      <c r="K23" s="16"/>
      <c r="M23"/>
      <c r="N23"/>
      <c r="O23"/>
    </row>
    <row r="24" spans="2:15">
      <c r="B24" s="13"/>
      <c r="C24" s="721">
        <v>200708</v>
      </c>
      <c r="D24" s="724">
        <v>0.75</v>
      </c>
      <c r="E24" s="724">
        <v>-0.13</v>
      </c>
      <c r="F24" s="724">
        <v>-2.35</v>
      </c>
      <c r="G24" s="724">
        <v>0.42</v>
      </c>
      <c r="H24" s="723">
        <v>82.49</v>
      </c>
      <c r="I24" s="723">
        <v>35.93</v>
      </c>
      <c r="J24" s="723">
        <v>22.69</v>
      </c>
      <c r="K24" s="16"/>
      <c r="M24"/>
      <c r="N24"/>
      <c r="O24"/>
    </row>
    <row r="25" spans="2:15">
      <c r="B25" s="13"/>
      <c r="C25" s="721">
        <v>200709</v>
      </c>
      <c r="D25" s="724">
        <v>3.77</v>
      </c>
      <c r="E25" s="724">
        <v>-2.4700000000000002</v>
      </c>
      <c r="F25" s="724">
        <v>-2.09</v>
      </c>
      <c r="G25" s="724">
        <v>0.32</v>
      </c>
      <c r="H25" s="723">
        <v>87.61</v>
      </c>
      <c r="I25" s="723">
        <v>36.880000000000003</v>
      </c>
      <c r="J25" s="723">
        <v>23.78</v>
      </c>
      <c r="K25" s="16"/>
      <c r="M25"/>
      <c r="N25"/>
      <c r="O25"/>
    </row>
    <row r="26" spans="2:15">
      <c r="B26" s="13"/>
      <c r="C26" s="721">
        <v>200710</v>
      </c>
      <c r="D26" s="724">
        <v>2.2599999999999998</v>
      </c>
      <c r="E26" s="724">
        <v>0.08</v>
      </c>
      <c r="F26" s="724">
        <v>-1.98</v>
      </c>
      <c r="G26" s="724">
        <v>0.32</v>
      </c>
      <c r="H26" s="723">
        <v>92.28</v>
      </c>
      <c r="I26" s="723">
        <v>37.979999999999997</v>
      </c>
      <c r="J26" s="723">
        <v>25.09</v>
      </c>
      <c r="K26" s="16"/>
      <c r="M26"/>
      <c r="N26"/>
      <c r="O26"/>
    </row>
    <row r="27" spans="2:15">
      <c r="B27" s="13"/>
      <c r="C27" s="721">
        <v>200711</v>
      </c>
      <c r="D27" s="724">
        <v>-5.27</v>
      </c>
      <c r="E27" s="724">
        <v>-2.74</v>
      </c>
      <c r="F27" s="724">
        <v>-0.99</v>
      </c>
      <c r="G27" s="724">
        <v>0.34</v>
      </c>
      <c r="H27" s="723">
        <v>88.78</v>
      </c>
      <c r="I27" s="723">
        <v>35.6</v>
      </c>
      <c r="J27" s="723">
        <v>24.43</v>
      </c>
      <c r="K27" s="16"/>
      <c r="M27"/>
      <c r="N27"/>
      <c r="O27"/>
    </row>
    <row r="28" spans="2:15">
      <c r="B28" s="13"/>
      <c r="C28" s="721">
        <v>200712</v>
      </c>
      <c r="D28" s="724">
        <v>-0.7</v>
      </c>
      <c r="E28" s="724">
        <v>0.06</v>
      </c>
      <c r="F28" s="724">
        <v>-7.0000000000000007E-2</v>
      </c>
      <c r="G28" s="724">
        <v>0.27</v>
      </c>
      <c r="H28" s="723">
        <v>89.09</v>
      </c>
      <c r="I28" s="723">
        <v>35.770000000000003</v>
      </c>
      <c r="J28" s="723">
        <v>23.83</v>
      </c>
      <c r="K28" s="16"/>
      <c r="M28"/>
      <c r="N28"/>
      <c r="O28"/>
    </row>
    <row r="29" spans="2:15">
      <c r="B29" s="13"/>
      <c r="C29" s="721">
        <v>200801</v>
      </c>
      <c r="D29" s="724">
        <v>-6.44</v>
      </c>
      <c r="E29" s="724">
        <v>-0.76</v>
      </c>
      <c r="F29" s="724">
        <v>3.05</v>
      </c>
      <c r="G29" s="724">
        <v>0.21</v>
      </c>
      <c r="H29" s="723">
        <v>81.11</v>
      </c>
      <c r="I29" s="723">
        <v>33.99</v>
      </c>
      <c r="J29" s="723">
        <v>21.61</v>
      </c>
      <c r="K29" s="16"/>
      <c r="M29"/>
      <c r="N29"/>
      <c r="O29"/>
    </row>
    <row r="30" spans="2:15">
      <c r="B30" s="13"/>
      <c r="C30" s="721">
        <v>200802</v>
      </c>
      <c r="D30" s="724">
        <v>-2.33</v>
      </c>
      <c r="E30" s="724">
        <v>-0.54</v>
      </c>
      <c r="F30" s="724">
        <v>0</v>
      </c>
      <c r="G30" s="724">
        <v>0.13</v>
      </c>
      <c r="H30" s="723">
        <v>79.81</v>
      </c>
      <c r="I30" s="723">
        <v>33.65</v>
      </c>
      <c r="J30" s="723">
        <v>20.84</v>
      </c>
      <c r="K30" s="16"/>
      <c r="M30"/>
      <c r="N30"/>
      <c r="O30"/>
    </row>
    <row r="31" spans="2:15">
      <c r="B31" s="13"/>
      <c r="C31" s="721">
        <v>200803</v>
      </c>
      <c r="D31" s="724">
        <v>-1.21</v>
      </c>
      <c r="E31" s="724">
        <v>0.85</v>
      </c>
      <c r="F31" s="724">
        <v>0.19</v>
      </c>
      <c r="G31" s="724">
        <v>0.17</v>
      </c>
      <c r="H31" s="723">
        <v>78.069999999999993</v>
      </c>
      <c r="I31" s="723">
        <v>33.04</v>
      </c>
      <c r="J31" s="723">
        <v>20.58</v>
      </c>
      <c r="K31" s="16"/>
      <c r="M31"/>
      <c r="N31"/>
      <c r="O31"/>
    </row>
    <row r="32" spans="2:15">
      <c r="B32" s="13"/>
      <c r="C32" s="721">
        <v>200804</v>
      </c>
      <c r="D32" s="724">
        <v>4.9400000000000004</v>
      </c>
      <c r="E32" s="724">
        <v>-1.53</v>
      </c>
      <c r="F32" s="724">
        <v>7.0000000000000007E-2</v>
      </c>
      <c r="G32" s="724">
        <v>0.17</v>
      </c>
      <c r="H32" s="723">
        <v>83.16</v>
      </c>
      <c r="I32" s="723">
        <v>34.72</v>
      </c>
      <c r="J32" s="723">
        <v>21.62</v>
      </c>
      <c r="K32" s="16"/>
      <c r="M32"/>
      <c r="N32"/>
      <c r="O32"/>
    </row>
    <row r="33" spans="2:15">
      <c r="B33" s="13"/>
      <c r="C33" s="721">
        <v>200805</v>
      </c>
      <c r="D33" s="724">
        <v>2.2200000000000002</v>
      </c>
      <c r="E33" s="724">
        <v>2.87</v>
      </c>
      <c r="F33" s="724">
        <v>-0.31</v>
      </c>
      <c r="G33" s="724">
        <v>0.17</v>
      </c>
      <c r="H33" s="723">
        <v>85.7</v>
      </c>
      <c r="I33" s="723">
        <v>35.94</v>
      </c>
      <c r="J33" s="723">
        <v>22.31</v>
      </c>
      <c r="K33" s="16"/>
      <c r="M33"/>
      <c r="N33"/>
      <c r="O33"/>
    </row>
    <row r="34" spans="2:15">
      <c r="B34" s="13"/>
      <c r="C34" s="721">
        <v>200806</v>
      </c>
      <c r="D34" s="724">
        <v>-8.0299999999999994</v>
      </c>
      <c r="E34" s="724">
        <v>1.08</v>
      </c>
      <c r="F34" s="724">
        <v>-1.05</v>
      </c>
      <c r="G34" s="724">
        <v>0.17</v>
      </c>
      <c r="H34" s="723">
        <v>78.53</v>
      </c>
      <c r="I34" s="723">
        <v>32.799999999999997</v>
      </c>
      <c r="J34" s="723">
        <v>20.18</v>
      </c>
      <c r="K34" s="16"/>
      <c r="M34"/>
      <c r="N34"/>
      <c r="O34"/>
    </row>
    <row r="35" spans="2:15">
      <c r="B35" s="13"/>
      <c r="C35" s="721">
        <v>200807</v>
      </c>
      <c r="D35" s="724">
        <v>-1.47</v>
      </c>
      <c r="E35" s="724">
        <v>3.71</v>
      </c>
      <c r="F35" s="724">
        <v>3.61</v>
      </c>
      <c r="G35" s="724">
        <v>0.15</v>
      </c>
      <c r="H35" s="723">
        <v>75.44</v>
      </c>
      <c r="I35" s="723">
        <v>32.340000000000003</v>
      </c>
      <c r="J35" s="723">
        <v>20.27</v>
      </c>
      <c r="K35" s="16"/>
      <c r="M35"/>
      <c r="N35"/>
      <c r="O35"/>
    </row>
    <row r="36" spans="2:15">
      <c r="B36" s="13"/>
      <c r="C36" s="721">
        <v>200808</v>
      </c>
      <c r="D36" s="724">
        <v>0.99</v>
      </c>
      <c r="E36" s="724">
        <v>3.76</v>
      </c>
      <c r="F36" s="724">
        <v>1.46</v>
      </c>
      <c r="G36" s="724">
        <v>0.12</v>
      </c>
      <c r="H36" s="723">
        <v>75.38</v>
      </c>
      <c r="I36" s="723">
        <v>32.68</v>
      </c>
      <c r="J36" s="723">
        <v>20.84</v>
      </c>
      <c r="K36" s="16"/>
      <c r="M36"/>
      <c r="N36"/>
      <c r="O36"/>
    </row>
    <row r="37" spans="2:15">
      <c r="B37" s="13"/>
      <c r="C37" s="721">
        <v>200809</v>
      </c>
      <c r="D37" s="724">
        <v>-9.9600000000000009</v>
      </c>
      <c r="E37" s="724">
        <v>-0.24</v>
      </c>
      <c r="F37" s="724">
        <v>4.4800000000000004</v>
      </c>
      <c r="G37" s="724">
        <v>0.15</v>
      </c>
      <c r="H37" s="723">
        <v>61.83</v>
      </c>
      <c r="I37" s="723">
        <v>28.82</v>
      </c>
      <c r="J37" s="723">
        <v>18.7</v>
      </c>
      <c r="K37" s="16"/>
      <c r="M37"/>
      <c r="N37"/>
      <c r="O37"/>
    </row>
    <row r="38" spans="2:15">
      <c r="B38" s="13"/>
      <c r="C38" s="721">
        <v>200810</v>
      </c>
      <c r="D38" s="724">
        <v>-18.54</v>
      </c>
      <c r="E38" s="724">
        <v>-2.12</v>
      </c>
      <c r="F38" s="724">
        <v>-3.13</v>
      </c>
      <c r="G38" s="724">
        <v>0.08</v>
      </c>
      <c r="H38" s="723">
        <v>48.48</v>
      </c>
      <c r="I38" s="723">
        <v>23.05</v>
      </c>
      <c r="J38" s="723">
        <v>15.07</v>
      </c>
      <c r="K38" s="16"/>
      <c r="M38"/>
      <c r="N38"/>
      <c r="O38"/>
    </row>
    <row r="39" spans="2:15">
      <c r="B39" s="13"/>
      <c r="C39" s="721">
        <v>200811</v>
      </c>
      <c r="D39" s="724">
        <v>-8.5500000000000007</v>
      </c>
      <c r="E39" s="724">
        <v>-3.62</v>
      </c>
      <c r="F39" s="724">
        <v>-4.93</v>
      </c>
      <c r="G39" s="724">
        <v>0.02</v>
      </c>
      <c r="H39" s="723">
        <v>42.98</v>
      </c>
      <c r="I39" s="723">
        <v>21.03</v>
      </c>
      <c r="J39" s="723">
        <v>13.46</v>
      </c>
      <c r="K39" s="16"/>
      <c r="M39"/>
      <c r="N39"/>
      <c r="O39"/>
    </row>
    <row r="40" spans="2:15">
      <c r="B40" s="13"/>
      <c r="C40" s="721">
        <v>200812</v>
      </c>
      <c r="D40" s="724">
        <v>2.06</v>
      </c>
      <c r="E40" s="724">
        <v>4.04</v>
      </c>
      <c r="F40" s="724">
        <v>-1.28</v>
      </c>
      <c r="G40" s="724">
        <v>0.09</v>
      </c>
      <c r="H40" s="723">
        <v>45.09</v>
      </c>
      <c r="I40" s="723">
        <v>22.84</v>
      </c>
      <c r="J40" s="723">
        <v>14.24</v>
      </c>
      <c r="K40" s="16"/>
      <c r="M40"/>
      <c r="N40"/>
      <c r="O40"/>
    </row>
    <row r="41" spans="2:15">
      <c r="B41" s="13"/>
      <c r="C41" s="721">
        <v>200901</v>
      </c>
      <c r="D41" s="724">
        <v>-7.75</v>
      </c>
      <c r="E41" s="724">
        <v>-0.91</v>
      </c>
      <c r="F41" s="724">
        <v>-9.93</v>
      </c>
      <c r="G41" s="724">
        <v>0</v>
      </c>
      <c r="H41" s="723">
        <v>41.69</v>
      </c>
      <c r="I41" s="723">
        <v>21.38</v>
      </c>
      <c r="J41" s="723">
        <v>13.23</v>
      </c>
      <c r="K41" s="16"/>
      <c r="M41"/>
      <c r="N41"/>
      <c r="O41"/>
    </row>
    <row r="42" spans="2:15">
      <c r="B42" s="13"/>
      <c r="C42" s="721">
        <v>200902</v>
      </c>
      <c r="D42" s="724">
        <v>-10.119999999999999</v>
      </c>
      <c r="E42" s="724">
        <v>-0.41</v>
      </c>
      <c r="F42" s="724">
        <v>-6.73</v>
      </c>
      <c r="G42" s="724">
        <v>0.01</v>
      </c>
      <c r="H42" s="723">
        <v>38.520000000000003</v>
      </c>
      <c r="I42" s="723">
        <v>19.41</v>
      </c>
      <c r="J42" s="723">
        <v>12.17</v>
      </c>
      <c r="K42" s="16"/>
      <c r="M42"/>
      <c r="N42"/>
      <c r="O42"/>
    </row>
    <row r="43" spans="2:15">
      <c r="B43" s="13"/>
      <c r="C43" s="721">
        <v>200903</v>
      </c>
      <c r="D43" s="724">
        <v>8.76</v>
      </c>
      <c r="E43" s="724">
        <v>0.74</v>
      </c>
      <c r="F43" s="724">
        <v>2.5499999999999998</v>
      </c>
      <c r="G43" s="724">
        <v>0.01</v>
      </c>
      <c r="H43" s="723">
        <v>43.88</v>
      </c>
      <c r="I43" s="723">
        <v>21.04</v>
      </c>
      <c r="J43" s="723">
        <v>13.15</v>
      </c>
      <c r="K43" s="16"/>
      <c r="M43"/>
      <c r="N43"/>
      <c r="O43"/>
    </row>
    <row r="44" spans="2:15">
      <c r="B44" s="13"/>
      <c r="C44" s="721">
        <v>200904</v>
      </c>
      <c r="D44" s="724">
        <v>11.04</v>
      </c>
      <c r="E44" s="724">
        <v>5.14</v>
      </c>
      <c r="F44" s="724">
        <v>5.74</v>
      </c>
      <c r="G44" s="724">
        <v>0.01</v>
      </c>
      <c r="H44" s="723">
        <v>49.88</v>
      </c>
      <c r="I44" s="723">
        <v>24.09</v>
      </c>
      <c r="J44" s="723">
        <v>15</v>
      </c>
      <c r="K44" s="16"/>
      <c r="M44"/>
      <c r="N44"/>
      <c r="O44"/>
    </row>
    <row r="45" spans="2:15">
      <c r="B45" s="13"/>
      <c r="C45" s="721">
        <v>200905</v>
      </c>
      <c r="D45" s="724">
        <v>6.73</v>
      </c>
      <c r="E45" s="724">
        <v>-2.61</v>
      </c>
      <c r="F45" s="724">
        <v>0.44</v>
      </c>
      <c r="G45" s="724">
        <v>0</v>
      </c>
      <c r="H45" s="723">
        <v>52.99</v>
      </c>
      <c r="I45" s="723">
        <v>25.61</v>
      </c>
      <c r="J45" s="723">
        <v>15.52</v>
      </c>
      <c r="K45" s="16"/>
      <c r="M45"/>
      <c r="N45"/>
      <c r="O45"/>
    </row>
    <row r="46" spans="2:15">
      <c r="B46" s="13"/>
      <c r="C46" s="721">
        <v>200906</v>
      </c>
      <c r="D46" s="724">
        <v>-0.28000000000000003</v>
      </c>
      <c r="E46" s="724">
        <v>2.64</v>
      </c>
      <c r="F46" s="724">
        <v>-2.48</v>
      </c>
      <c r="G46" s="724">
        <v>0</v>
      </c>
      <c r="H46" s="723">
        <v>52.26</v>
      </c>
      <c r="I46" s="723">
        <v>25.59</v>
      </c>
      <c r="J46" s="723">
        <v>15.82</v>
      </c>
      <c r="K46" s="16"/>
      <c r="M46"/>
      <c r="N46"/>
      <c r="O46"/>
    </row>
    <row r="47" spans="2:15">
      <c r="B47" s="13"/>
      <c r="C47" s="721">
        <v>200907</v>
      </c>
      <c r="D47" s="724">
        <v>8.24</v>
      </c>
      <c r="E47" s="724">
        <v>2.48</v>
      </c>
      <c r="F47" s="724">
        <v>4.83</v>
      </c>
      <c r="G47" s="724">
        <v>0.01</v>
      </c>
      <c r="H47" s="723">
        <v>56.84</v>
      </c>
      <c r="I47" s="723">
        <v>27.86</v>
      </c>
      <c r="J47" s="723">
        <v>16.64</v>
      </c>
      <c r="K47" s="16"/>
      <c r="M47"/>
      <c r="N47"/>
      <c r="O47"/>
    </row>
    <row r="48" spans="2:15">
      <c r="B48" s="13"/>
      <c r="C48" s="721">
        <v>200908</v>
      </c>
      <c r="D48" s="724">
        <v>3.18</v>
      </c>
      <c r="E48" s="724">
        <v>-0.57999999999999996</v>
      </c>
      <c r="F48" s="724">
        <v>7.62</v>
      </c>
      <c r="G48" s="724">
        <v>0.01</v>
      </c>
      <c r="H48" s="723">
        <v>58.07</v>
      </c>
      <c r="I48" s="723">
        <v>29.08</v>
      </c>
      <c r="J48" s="723">
        <v>17.09</v>
      </c>
      <c r="K48" s="16"/>
      <c r="M48"/>
      <c r="N48"/>
      <c r="O48"/>
    </row>
    <row r="49" spans="2:15">
      <c r="B49" s="13"/>
      <c r="C49" s="721">
        <v>200909</v>
      </c>
      <c r="D49" s="724">
        <v>4.5199999999999996</v>
      </c>
      <c r="E49" s="724">
        <v>2.36</v>
      </c>
      <c r="F49" s="724">
        <v>1.5</v>
      </c>
      <c r="G49" s="724">
        <v>0</v>
      </c>
      <c r="H49" s="723">
        <v>61.15</v>
      </c>
      <c r="I49" s="723">
        <v>30.2</v>
      </c>
      <c r="J49" s="723">
        <v>17.96</v>
      </c>
      <c r="K49" s="16"/>
      <c r="M49"/>
      <c r="N49"/>
      <c r="O49"/>
    </row>
    <row r="50" spans="2:15">
      <c r="B50" s="13"/>
      <c r="C50" s="721">
        <v>200910</v>
      </c>
      <c r="D50" s="724">
        <v>-2.84</v>
      </c>
      <c r="E50" s="724">
        <v>-4.2699999999999996</v>
      </c>
      <c r="F50" s="724">
        <v>-4.38</v>
      </c>
      <c r="G50" s="724">
        <v>0</v>
      </c>
      <c r="H50" s="723">
        <v>57.83</v>
      </c>
      <c r="I50" s="723">
        <v>29.34</v>
      </c>
      <c r="J50" s="723">
        <v>17.39</v>
      </c>
      <c r="K50" s="16"/>
      <c r="M50"/>
      <c r="N50"/>
      <c r="O50"/>
    </row>
    <row r="51" spans="2:15">
      <c r="B51" s="13"/>
      <c r="C51" s="721">
        <v>200911</v>
      </c>
      <c r="D51" s="724">
        <v>5.74</v>
      </c>
      <c r="E51" s="724">
        <v>-2.83</v>
      </c>
      <c r="F51" s="724">
        <v>0.12</v>
      </c>
      <c r="G51" s="724">
        <v>0</v>
      </c>
      <c r="H51" s="723">
        <v>60.99</v>
      </c>
      <c r="I51" s="723">
        <v>30.48</v>
      </c>
      <c r="J51" s="723">
        <v>17.97</v>
      </c>
      <c r="K51" s="16"/>
      <c r="M51"/>
      <c r="N51"/>
      <c r="O51"/>
    </row>
    <row r="52" spans="2:15">
      <c r="B52" s="13"/>
      <c r="C52" s="721">
        <v>200912</v>
      </c>
      <c r="D52" s="724">
        <v>2.92</v>
      </c>
      <c r="E52" s="724">
        <v>5.88</v>
      </c>
      <c r="F52" s="724">
        <v>0.74</v>
      </c>
      <c r="G52" s="724">
        <v>0</v>
      </c>
      <c r="H52" s="723">
        <v>63.64</v>
      </c>
      <c r="I52" s="723">
        <v>31.77</v>
      </c>
      <c r="J52" s="723">
        <v>19.260000000000002</v>
      </c>
      <c r="K52" s="16"/>
      <c r="M52"/>
      <c r="N52"/>
      <c r="O52"/>
    </row>
    <row r="53" spans="2:15">
      <c r="B53" s="13"/>
      <c r="C53" s="721">
        <v>201001</v>
      </c>
      <c r="D53" s="724">
        <v>-3.71</v>
      </c>
      <c r="E53" s="724">
        <v>0.43</v>
      </c>
      <c r="F53" s="724">
        <v>0.56999999999999995</v>
      </c>
      <c r="G53" s="724">
        <v>0</v>
      </c>
      <c r="H53" s="723">
        <v>60.86</v>
      </c>
      <c r="I53" s="723">
        <v>31.25</v>
      </c>
      <c r="J53" s="723">
        <v>18.649999999999999</v>
      </c>
      <c r="K53" s="16"/>
      <c r="M53"/>
      <c r="N53"/>
      <c r="O53"/>
    </row>
    <row r="54" spans="2:15">
      <c r="B54" s="13"/>
      <c r="C54" s="721">
        <v>201002</v>
      </c>
      <c r="D54" s="724">
        <v>3.54</v>
      </c>
      <c r="E54" s="724">
        <v>1.41</v>
      </c>
      <c r="F54" s="724">
        <v>2.75</v>
      </c>
      <c r="G54" s="724">
        <v>0</v>
      </c>
      <c r="H54" s="723">
        <v>62.69</v>
      </c>
      <c r="I54" s="723">
        <v>32.35</v>
      </c>
      <c r="J54" s="723">
        <v>19.12</v>
      </c>
      <c r="K54" s="16"/>
      <c r="M54"/>
      <c r="N54"/>
      <c r="O54"/>
    </row>
    <row r="55" spans="2:15">
      <c r="B55" s="13"/>
      <c r="C55" s="721">
        <v>201003</v>
      </c>
      <c r="D55" s="724">
        <v>6.44</v>
      </c>
      <c r="E55" s="724">
        <v>1.59</v>
      </c>
      <c r="F55" s="724">
        <v>2.02</v>
      </c>
      <c r="G55" s="724">
        <v>0</v>
      </c>
      <c r="H55" s="723">
        <v>66.84</v>
      </c>
      <c r="I55" s="723">
        <v>34.42</v>
      </c>
      <c r="J55" s="723">
        <v>20.3</v>
      </c>
      <c r="K55" s="16"/>
      <c r="M55"/>
      <c r="N55"/>
      <c r="O55"/>
    </row>
    <row r="56" spans="2:15">
      <c r="B56" s="13"/>
      <c r="C56" s="721">
        <v>201004</v>
      </c>
      <c r="D56" s="724">
        <v>2.02</v>
      </c>
      <c r="E56" s="724">
        <v>5</v>
      </c>
      <c r="F56" s="724">
        <v>3.14</v>
      </c>
      <c r="G56" s="724">
        <v>0</v>
      </c>
      <c r="H56" s="723">
        <v>67.849999999999994</v>
      </c>
      <c r="I56" s="723">
        <v>35.299999999999997</v>
      </c>
      <c r="J56" s="723">
        <v>21.42</v>
      </c>
      <c r="K56" s="16"/>
      <c r="M56"/>
      <c r="N56"/>
      <c r="O56"/>
    </row>
    <row r="57" spans="2:15">
      <c r="B57" s="13"/>
      <c r="C57" s="721">
        <v>201005</v>
      </c>
      <c r="D57" s="724">
        <v>-8</v>
      </c>
      <c r="E57" s="724">
        <v>-0.03</v>
      </c>
      <c r="F57" s="724">
        <v>-2.36</v>
      </c>
      <c r="G57" s="724">
        <v>0.01</v>
      </c>
      <c r="H57" s="723">
        <v>62.35</v>
      </c>
      <c r="I57" s="723">
        <v>32.57</v>
      </c>
      <c r="J57" s="723">
        <v>20.05</v>
      </c>
      <c r="K57" s="16"/>
      <c r="M57"/>
      <c r="N57"/>
      <c r="O57"/>
    </row>
    <row r="58" spans="2:15">
      <c r="B58" s="13"/>
      <c r="C58" s="721">
        <v>201006</v>
      </c>
      <c r="D58" s="724">
        <v>-5.21</v>
      </c>
      <c r="E58" s="724">
        <v>-2.0499999999999998</v>
      </c>
      <c r="F58" s="724">
        <v>-4.28</v>
      </c>
      <c r="G58" s="724">
        <v>0.01</v>
      </c>
      <c r="H58" s="723">
        <v>58.32</v>
      </c>
      <c r="I58" s="723">
        <v>31.02</v>
      </c>
      <c r="J58" s="723">
        <v>18.84</v>
      </c>
      <c r="K58" s="16"/>
      <c r="M58"/>
      <c r="N58"/>
      <c r="O58"/>
    </row>
    <row r="59" spans="2:15">
      <c r="B59" s="13"/>
      <c r="C59" s="721">
        <v>201007</v>
      </c>
      <c r="D59" s="724">
        <v>7.24</v>
      </c>
      <c r="E59" s="724">
        <v>-0.08</v>
      </c>
      <c r="F59" s="724">
        <v>0.13</v>
      </c>
      <c r="G59" s="724">
        <v>0.01</v>
      </c>
      <c r="H59" s="723">
        <v>61.27</v>
      </c>
      <c r="I59" s="723">
        <v>32.92</v>
      </c>
      <c r="J59" s="723">
        <v>19.96</v>
      </c>
      <c r="K59" s="16"/>
      <c r="M59"/>
      <c r="N59"/>
      <c r="O59"/>
    </row>
    <row r="60" spans="2:15">
      <c r="B60" s="13"/>
      <c r="C60" s="721">
        <v>201008</v>
      </c>
      <c r="D60" s="724">
        <v>-4.4000000000000004</v>
      </c>
      <c r="E60" s="724">
        <v>-2.92</v>
      </c>
      <c r="F60" s="724">
        <v>-1.71</v>
      </c>
      <c r="G60" s="724">
        <v>0.01</v>
      </c>
      <c r="H60" s="723">
        <v>57.64</v>
      </c>
      <c r="I60" s="723">
        <v>31.58</v>
      </c>
      <c r="J60" s="723">
        <v>18.88</v>
      </c>
      <c r="K60" s="16"/>
      <c r="M60"/>
      <c r="N60"/>
      <c r="O60"/>
    </row>
    <row r="61" spans="2:15">
      <c r="B61" s="13"/>
      <c r="C61" s="721">
        <v>201009</v>
      </c>
      <c r="D61" s="724">
        <v>9.24</v>
      </c>
      <c r="E61" s="724">
        <v>3.97</v>
      </c>
      <c r="F61" s="724">
        <v>-3.14</v>
      </c>
      <c r="G61" s="724">
        <v>0.01</v>
      </c>
      <c r="H61" s="723">
        <v>63.89</v>
      </c>
      <c r="I61" s="723">
        <v>34.6</v>
      </c>
      <c r="J61" s="723">
        <v>20.9</v>
      </c>
      <c r="K61" s="16"/>
      <c r="M61"/>
      <c r="N61"/>
      <c r="O61"/>
    </row>
    <row r="62" spans="2:15">
      <c r="B62" s="13"/>
      <c r="C62" s="721">
        <v>201010</v>
      </c>
      <c r="D62" s="724">
        <v>3.89</v>
      </c>
      <c r="E62" s="724">
        <v>0.91</v>
      </c>
      <c r="F62" s="724">
        <v>-2.14</v>
      </c>
      <c r="G62" s="724">
        <v>0.01</v>
      </c>
      <c r="H62" s="723">
        <v>66.2</v>
      </c>
      <c r="I62" s="723">
        <v>35.93</v>
      </c>
      <c r="J62" s="723">
        <v>21.53</v>
      </c>
      <c r="K62" s="16"/>
      <c r="M62"/>
      <c r="N62"/>
      <c r="O62"/>
    </row>
    <row r="63" spans="2:15">
      <c r="B63" s="13"/>
      <c r="C63" s="721">
        <v>201011</v>
      </c>
      <c r="D63" s="724">
        <v>0.57999999999999996</v>
      </c>
      <c r="E63" s="724">
        <v>3.72</v>
      </c>
      <c r="F63" s="724">
        <v>-0.61</v>
      </c>
      <c r="G63" s="724">
        <v>0.01</v>
      </c>
      <c r="H63" s="723">
        <v>67.099999999999994</v>
      </c>
      <c r="I63" s="723">
        <v>36</v>
      </c>
      <c r="J63" s="723">
        <v>22.46</v>
      </c>
      <c r="K63" s="16"/>
      <c r="M63"/>
      <c r="N63"/>
      <c r="O63"/>
    </row>
    <row r="64" spans="2:15">
      <c r="B64" s="13"/>
      <c r="C64" s="721">
        <v>201012</v>
      </c>
      <c r="D64" s="724">
        <v>6.77</v>
      </c>
      <c r="E64" s="724">
        <v>0.8</v>
      </c>
      <c r="F64" s="724">
        <v>3.53</v>
      </c>
      <c r="G64" s="724">
        <v>0.01</v>
      </c>
      <c r="H64" s="723">
        <v>71.569999999999993</v>
      </c>
      <c r="I64" s="723">
        <v>38.380000000000003</v>
      </c>
      <c r="J64" s="723">
        <v>23.78</v>
      </c>
      <c r="K64" s="16"/>
      <c r="M64"/>
      <c r="N64"/>
      <c r="O64"/>
    </row>
    <row r="65" spans="2:15">
      <c r="B65" s="13"/>
      <c r="C65" s="721">
        <v>201101</v>
      </c>
      <c r="D65" s="724">
        <v>2.02</v>
      </c>
      <c r="E65" s="724">
        <v>-2.42</v>
      </c>
      <c r="F65" s="724">
        <v>0.94</v>
      </c>
      <c r="G65" s="724">
        <v>0</v>
      </c>
      <c r="H65" s="723">
        <v>72.73</v>
      </c>
      <c r="I65" s="723">
        <v>38.89</v>
      </c>
      <c r="J65" s="723">
        <v>24.32</v>
      </c>
      <c r="K65" s="16"/>
      <c r="M65"/>
      <c r="N65"/>
      <c r="O65"/>
    </row>
    <row r="66" spans="2:15">
      <c r="B66" s="13"/>
      <c r="C66" s="721">
        <v>201102</v>
      </c>
      <c r="D66" s="724">
        <v>3.85</v>
      </c>
      <c r="E66" s="724">
        <v>1.78</v>
      </c>
      <c r="F66" s="724">
        <v>1.37</v>
      </c>
      <c r="G66" s="724">
        <v>0.01</v>
      </c>
      <c r="H66" s="723">
        <v>75.75</v>
      </c>
      <c r="I66" s="723">
        <v>40.28</v>
      </c>
      <c r="J66" s="723">
        <v>25.64</v>
      </c>
      <c r="K66" s="16"/>
      <c r="M66"/>
      <c r="N66"/>
      <c r="O66"/>
    </row>
    <row r="67" spans="2:15">
      <c r="B67" s="13"/>
      <c r="C67" s="721">
        <v>201103</v>
      </c>
      <c r="D67" s="724">
        <v>0.28999999999999998</v>
      </c>
      <c r="E67" s="724">
        <v>2.71</v>
      </c>
      <c r="F67" s="724">
        <v>-1.31</v>
      </c>
      <c r="G67" s="724">
        <v>0</v>
      </c>
      <c r="H67" s="723">
        <v>75.45</v>
      </c>
      <c r="I67" s="723">
        <v>40.76</v>
      </c>
      <c r="J67" s="723">
        <v>26.17</v>
      </c>
      <c r="K67" s="16"/>
      <c r="M67"/>
      <c r="N67"/>
      <c r="O67"/>
    </row>
    <row r="68" spans="2:15">
      <c r="B68" s="13"/>
      <c r="C68" s="721">
        <v>201104</v>
      </c>
      <c r="D68" s="724">
        <v>2.82</v>
      </c>
      <c r="E68" s="724">
        <v>-0.19</v>
      </c>
      <c r="F68" s="724">
        <v>-2.35</v>
      </c>
      <c r="G68" s="724">
        <v>0</v>
      </c>
      <c r="H68" s="723">
        <v>77.349999999999994</v>
      </c>
      <c r="I68" s="723">
        <v>42.57</v>
      </c>
      <c r="J68" s="723">
        <v>26.93</v>
      </c>
      <c r="K68" s="16"/>
      <c r="M68"/>
      <c r="N68"/>
      <c r="O68"/>
    </row>
    <row r="69" spans="2:15">
      <c r="B69" s="13"/>
      <c r="C69" s="721">
        <v>201105</v>
      </c>
      <c r="D69" s="724">
        <v>-1.47</v>
      </c>
      <c r="E69" s="724">
        <v>-0.39</v>
      </c>
      <c r="F69" s="724">
        <v>-2.27</v>
      </c>
      <c r="G69" s="724">
        <v>0</v>
      </c>
      <c r="H69" s="723">
        <v>75.63</v>
      </c>
      <c r="I69" s="723">
        <v>42.08</v>
      </c>
      <c r="J69" s="723">
        <v>26.73</v>
      </c>
      <c r="K69" s="16"/>
      <c r="M69"/>
      <c r="N69"/>
      <c r="O69"/>
    </row>
    <row r="70" spans="2:15" ht="15.75" thickBot="1">
      <c r="B70" s="24"/>
      <c r="C70" s="25"/>
      <c r="D70" s="25"/>
      <c r="E70" s="25"/>
      <c r="F70" s="25"/>
      <c r="G70" s="25"/>
      <c r="H70" s="25"/>
      <c r="I70" s="419"/>
      <c r="J70" s="25"/>
      <c r="K70" s="26"/>
      <c r="M70"/>
      <c r="N70"/>
      <c r="O70"/>
    </row>
    <row r="71" spans="2:15">
      <c r="G71" s="420"/>
      <c r="H71" s="420"/>
      <c r="I71" s="420"/>
    </row>
    <row r="72" spans="2:15">
      <c r="C72" s="9" t="s">
        <v>51</v>
      </c>
      <c r="G72" s="416"/>
      <c r="H72" s="416"/>
      <c r="I72" s="416"/>
    </row>
    <row r="73" spans="2:15" ht="15.75" thickBot="1">
      <c r="G73" s="416"/>
      <c r="H73" s="416"/>
      <c r="I73" s="416"/>
    </row>
    <row r="74" spans="2:15">
      <c r="B74" s="27"/>
      <c r="C74" s="28"/>
      <c r="D74" s="28"/>
      <c r="E74" s="28"/>
      <c r="F74" s="28"/>
      <c r="G74" s="425"/>
      <c r="H74" s="425"/>
      <c r="I74" s="425"/>
      <c r="J74" s="426"/>
      <c r="K74" s="426"/>
      <c r="L74" s="28"/>
      <c r="M74" s="28"/>
      <c r="N74" s="29"/>
    </row>
    <row r="75" spans="2:15">
      <c r="B75" s="30"/>
      <c r="C75" s="31"/>
      <c r="D75" s="31"/>
      <c r="E75" s="31"/>
      <c r="F75" s="728"/>
      <c r="G75" s="778" t="s">
        <v>32</v>
      </c>
      <c r="H75" s="778"/>
      <c r="I75" s="778"/>
      <c r="J75" s="421"/>
      <c r="K75" s="421"/>
      <c r="L75" s="31"/>
      <c r="M75" s="31"/>
      <c r="N75" s="33"/>
    </row>
    <row r="76" spans="2:15">
      <c r="B76" s="30"/>
      <c r="C76" s="728"/>
      <c r="D76" s="334" t="s">
        <v>0</v>
      </c>
      <c r="E76" s="334" t="s">
        <v>1</v>
      </c>
      <c r="F76" s="334" t="s">
        <v>2</v>
      </c>
      <c r="G76" s="31" t="s">
        <v>7</v>
      </c>
      <c r="H76" s="31" t="s">
        <v>5</v>
      </c>
      <c r="I76" s="31" t="s">
        <v>6</v>
      </c>
      <c r="J76" s="421"/>
      <c r="K76" s="421"/>
      <c r="L76" s="31"/>
      <c r="M76" s="31"/>
      <c r="N76" s="33"/>
    </row>
    <row r="77" spans="2:15">
      <c r="B77" s="30"/>
      <c r="C77" s="729">
        <f>C9</f>
        <v>200605</v>
      </c>
      <c r="D77" s="422">
        <f t="shared" ref="D77:F96" si="0">D10/100</f>
        <v>-4.4000000000000003E-3</v>
      </c>
      <c r="E77" s="422">
        <f t="shared" si="0"/>
        <v>-4.6999999999999993E-3</v>
      </c>
      <c r="F77" s="422">
        <f t="shared" si="0"/>
        <v>1.4800000000000001E-2</v>
      </c>
      <c r="G77" s="423">
        <f>((H10-H9)/H9)-(G10/100)</f>
        <v>-1.139397321428573E-2</v>
      </c>
      <c r="H77" s="423">
        <f>((I10-I9)/I9)-(G10/100)</f>
        <v>-1.6121212121212203E-2</v>
      </c>
      <c r="I77" s="423">
        <f>((J10-J9)/J9)-(G10/100)</f>
        <v>-1.7561024610748346E-2</v>
      </c>
      <c r="J77" s="421"/>
      <c r="K77" s="424"/>
      <c r="L77" s="31"/>
      <c r="M77" s="31"/>
      <c r="N77" s="33"/>
    </row>
    <row r="78" spans="2:15">
      <c r="B78" s="30"/>
      <c r="C78" s="729">
        <f t="shared" ref="C78:C136" si="1">C10</f>
        <v>200606</v>
      </c>
      <c r="D78" s="422">
        <f t="shared" si="0"/>
        <v>-5.8999999999999999E-3</v>
      </c>
      <c r="E78" s="422">
        <f t="shared" si="0"/>
        <v>-3.9100000000000003E-2</v>
      </c>
      <c r="F78" s="422">
        <f t="shared" si="0"/>
        <v>3.2799999999999996E-2</v>
      </c>
      <c r="G78" s="423">
        <f t="shared" ref="G78:G136" si="2">((H11-H10)/H10)-(G11/100)</f>
        <v>-3.5342234715390081E-2</v>
      </c>
      <c r="H78" s="423">
        <f t="shared" ref="H78:H136" si="3">((I11-I10)/I10)-(G11/100)</f>
        <v>-1.5947045527930172E-2</v>
      </c>
      <c r="I78" s="423">
        <f t="shared" ref="I78:I136" si="4">((J11-J10)/J10)-(G11/100)</f>
        <v>-6.8154786150712909E-2</v>
      </c>
      <c r="J78" s="421"/>
      <c r="K78" s="424"/>
      <c r="L78" s="31"/>
      <c r="M78" s="31"/>
      <c r="N78" s="33"/>
    </row>
    <row r="79" spans="2:15">
      <c r="B79" s="30"/>
      <c r="C79" s="729">
        <f t="shared" si="1"/>
        <v>200607</v>
      </c>
      <c r="D79" s="422">
        <f t="shared" si="0"/>
        <v>2.0899999999999998E-2</v>
      </c>
      <c r="E79" s="422">
        <f t="shared" si="0"/>
        <v>7.9000000000000008E-3</v>
      </c>
      <c r="F79" s="422">
        <f t="shared" si="0"/>
        <v>-1.72E-2</v>
      </c>
      <c r="G79" s="423">
        <f t="shared" si="2"/>
        <v>1.9885896691816549E-2</v>
      </c>
      <c r="H79" s="423">
        <f t="shared" si="3"/>
        <v>1.4427450980392168E-2</v>
      </c>
      <c r="I79" s="423">
        <f t="shared" si="4"/>
        <v>1.8106855277475527E-2</v>
      </c>
      <c r="J79" s="421"/>
      <c r="K79" s="424"/>
      <c r="L79" s="31"/>
      <c r="M79" s="31"/>
      <c r="N79" s="33"/>
    </row>
    <row r="80" spans="2:15">
      <c r="B80" s="30"/>
      <c r="C80" s="729">
        <f t="shared" si="1"/>
        <v>200608</v>
      </c>
      <c r="D80" s="422">
        <f t="shared" si="0"/>
        <v>1.5300000000000001E-2</v>
      </c>
      <c r="E80" s="422">
        <f t="shared" si="0"/>
        <v>-1.1899999999999999E-2</v>
      </c>
      <c r="F80" s="422">
        <f t="shared" si="0"/>
        <v>-4.5000000000000005E-3</v>
      </c>
      <c r="G80" s="423">
        <f t="shared" si="2"/>
        <v>7.0929725134599927E-3</v>
      </c>
      <c r="H80" s="423">
        <f t="shared" si="3"/>
        <v>1.0657779916586374E-2</v>
      </c>
      <c r="I80" s="423">
        <f t="shared" si="4"/>
        <v>2.8896274614156524E-2</v>
      </c>
      <c r="J80" s="421"/>
      <c r="K80" s="424"/>
      <c r="L80" s="31"/>
      <c r="M80" s="31"/>
      <c r="N80" s="33"/>
    </row>
    <row r="81" spans="2:14">
      <c r="B81" s="30"/>
      <c r="C81" s="729">
        <f t="shared" si="1"/>
        <v>200609</v>
      </c>
      <c r="D81" s="422">
        <f t="shared" si="0"/>
        <v>3.3000000000000002E-2</v>
      </c>
      <c r="E81" s="422">
        <f t="shared" si="0"/>
        <v>1.6799999999999999E-2</v>
      </c>
      <c r="F81" s="422">
        <f t="shared" si="0"/>
        <v>4.7999999999999996E-3</v>
      </c>
      <c r="G81" s="423">
        <f t="shared" si="2"/>
        <v>2.5184012890570116E-2</v>
      </c>
      <c r="H81" s="423">
        <f t="shared" si="3"/>
        <v>3.0677110338286372E-2</v>
      </c>
      <c r="I81" s="423">
        <f t="shared" si="4"/>
        <v>5.3602215352910924E-2</v>
      </c>
      <c r="J81" s="421"/>
      <c r="K81" s="424"/>
      <c r="L81" s="31"/>
      <c r="M81" s="31"/>
      <c r="N81" s="33"/>
    </row>
    <row r="82" spans="2:14">
      <c r="B82" s="30"/>
      <c r="C82" s="729">
        <f t="shared" si="1"/>
        <v>200610</v>
      </c>
      <c r="D82" s="422">
        <f t="shared" si="0"/>
        <v>1.95E-2</v>
      </c>
      <c r="E82" s="422">
        <f t="shared" si="0"/>
        <v>6.9999999999999993E-3</v>
      </c>
      <c r="F82" s="422">
        <f t="shared" si="0"/>
        <v>4.5999999999999999E-3</v>
      </c>
      <c r="G82" s="423">
        <f t="shared" si="2"/>
        <v>2.1664416008712304E-2</v>
      </c>
      <c r="H82" s="423">
        <f t="shared" si="3"/>
        <v>3.765762297586326E-2</v>
      </c>
      <c r="I82" s="423">
        <f t="shared" si="4"/>
        <v>2.4538431563565506E-2</v>
      </c>
      <c r="J82" s="421"/>
      <c r="K82" s="424"/>
      <c r="L82" s="31"/>
      <c r="M82" s="31"/>
      <c r="N82" s="33"/>
    </row>
    <row r="83" spans="2:14">
      <c r="B83" s="30"/>
      <c r="C83" s="729">
        <f t="shared" si="1"/>
        <v>200611</v>
      </c>
      <c r="D83" s="422">
        <f t="shared" si="0"/>
        <v>6.8000000000000005E-3</v>
      </c>
      <c r="E83" s="422">
        <f t="shared" si="0"/>
        <v>-9.0000000000000011E-3</v>
      </c>
      <c r="F83" s="422">
        <f t="shared" si="0"/>
        <v>2.5499999999999998E-2</v>
      </c>
      <c r="G83" s="423">
        <f t="shared" si="2"/>
        <v>-9.3078556263270391E-3</v>
      </c>
      <c r="H83" s="423">
        <f t="shared" si="3"/>
        <v>1.4181818181818105E-2</v>
      </c>
      <c r="I83" s="423">
        <f t="shared" si="4"/>
        <v>5.4696969696969352E-3</v>
      </c>
      <c r="J83" s="421"/>
      <c r="K83" s="424"/>
      <c r="L83" s="31"/>
      <c r="M83" s="31"/>
      <c r="N83" s="33"/>
    </row>
    <row r="84" spans="2:14">
      <c r="B84" s="30"/>
      <c r="C84" s="729">
        <f t="shared" si="1"/>
        <v>200612</v>
      </c>
      <c r="D84" s="422">
        <f t="shared" si="0"/>
        <v>1.4999999999999999E-2</v>
      </c>
      <c r="E84" s="422">
        <f t="shared" si="0"/>
        <v>4.0000000000000002E-4</v>
      </c>
      <c r="F84" s="422">
        <f t="shared" si="0"/>
        <v>-8.9999999999999998E-4</v>
      </c>
      <c r="G84" s="423">
        <f t="shared" si="2"/>
        <v>2.4281963713980868E-2</v>
      </c>
      <c r="H84" s="423">
        <f t="shared" si="3"/>
        <v>7.6967741935484368E-3</v>
      </c>
      <c r="I84" s="423">
        <f t="shared" si="4"/>
        <v>3.453058161350836E-2</v>
      </c>
      <c r="J84" s="421"/>
      <c r="K84" s="424"/>
      <c r="L84" s="31"/>
      <c r="M84" s="31"/>
      <c r="N84" s="33"/>
    </row>
    <row r="85" spans="2:14">
      <c r="B85" s="30"/>
      <c r="C85" s="729">
        <f t="shared" si="1"/>
        <v>200701</v>
      </c>
      <c r="D85" s="422">
        <f t="shared" si="0"/>
        <v>-1.78E-2</v>
      </c>
      <c r="E85" s="422">
        <f t="shared" si="0"/>
        <v>1.3899999999999999E-2</v>
      </c>
      <c r="F85" s="422">
        <f t="shared" si="0"/>
        <v>3.0999999999999999E-3</v>
      </c>
      <c r="G85" s="423">
        <f t="shared" si="2"/>
        <v>-2.0269977953572767E-2</v>
      </c>
      <c r="H85" s="423">
        <f t="shared" si="3"/>
        <v>-6.3611838360843314E-3</v>
      </c>
      <c r="I85" s="423">
        <f t="shared" si="4"/>
        <v>-1.1023476297968404E-2</v>
      </c>
      <c r="J85" s="421"/>
      <c r="K85" s="424"/>
      <c r="L85" s="31"/>
      <c r="M85" s="31"/>
      <c r="N85" s="33"/>
    </row>
    <row r="86" spans="2:14">
      <c r="B86" s="30"/>
      <c r="C86" s="729">
        <f t="shared" si="1"/>
        <v>200702</v>
      </c>
      <c r="D86" s="422">
        <f t="shared" si="0"/>
        <v>8.6999999999999994E-3</v>
      </c>
      <c r="E86" s="422">
        <f t="shared" si="0"/>
        <v>-1.9E-3</v>
      </c>
      <c r="F86" s="422">
        <f t="shared" si="0"/>
        <v>3.2000000000000002E-3</v>
      </c>
      <c r="G86" s="423">
        <f t="shared" si="2"/>
        <v>4.0069620253163959E-3</v>
      </c>
      <c r="H86" s="423">
        <f t="shared" si="3"/>
        <v>1.1962482168330965E-2</v>
      </c>
      <c r="I86" s="423">
        <f t="shared" si="4"/>
        <v>2.5212824010915026E-3</v>
      </c>
      <c r="J86" s="421"/>
      <c r="K86" s="424"/>
      <c r="L86" s="31"/>
      <c r="M86" s="31"/>
      <c r="N86" s="33"/>
    </row>
    <row r="87" spans="2:14">
      <c r="B87" s="30"/>
      <c r="C87" s="729">
        <f t="shared" si="1"/>
        <v>200703</v>
      </c>
      <c r="D87" s="422">
        <f t="shared" si="0"/>
        <v>3.5499999999999997E-2</v>
      </c>
      <c r="E87" s="422">
        <f t="shared" si="0"/>
        <v>-2.1099999999999997E-2</v>
      </c>
      <c r="F87" s="422">
        <f t="shared" si="0"/>
        <v>-9.5999999999999992E-3</v>
      </c>
      <c r="G87" s="423">
        <f t="shared" si="2"/>
        <v>4.3723447103439346E-2</v>
      </c>
      <c r="H87" s="423">
        <f t="shared" si="3"/>
        <v>2.8446715328467202E-2</v>
      </c>
      <c r="I87" s="423">
        <f t="shared" si="4"/>
        <v>1.6376874435411058E-2</v>
      </c>
      <c r="J87" s="421"/>
      <c r="K87" s="424"/>
      <c r="L87" s="31"/>
      <c r="M87" s="31"/>
      <c r="N87" s="33"/>
    </row>
    <row r="88" spans="2:14">
      <c r="B88" s="30"/>
      <c r="C88" s="729">
        <f t="shared" si="1"/>
        <v>200704</v>
      </c>
      <c r="D88" s="422">
        <f t="shared" si="0"/>
        <v>3.4799999999999998E-2</v>
      </c>
      <c r="E88" s="422">
        <f t="shared" si="0"/>
        <v>-7.000000000000001E-4</v>
      </c>
      <c r="F88" s="422">
        <f t="shared" si="0"/>
        <v>-8.0000000000000004E-4</v>
      </c>
      <c r="G88" s="423">
        <f t="shared" si="2"/>
        <v>3.6573736743605624E-2</v>
      </c>
      <c r="H88" s="423">
        <f t="shared" si="3"/>
        <v>3.5041070943191026E-2</v>
      </c>
      <c r="I88" s="423">
        <f t="shared" si="4"/>
        <v>3.4395575221238824E-2</v>
      </c>
      <c r="J88" s="421"/>
      <c r="K88" s="424"/>
      <c r="L88" s="31"/>
      <c r="M88" s="31"/>
      <c r="N88" s="33"/>
    </row>
    <row r="89" spans="2:14">
      <c r="B89" s="30"/>
      <c r="C89" s="729">
        <f t="shared" si="1"/>
        <v>200705</v>
      </c>
      <c r="D89" s="422">
        <f t="shared" si="0"/>
        <v>-1.8700000000000001E-2</v>
      </c>
      <c r="E89" s="422">
        <f t="shared" si="0"/>
        <v>6.5000000000000006E-3</v>
      </c>
      <c r="F89" s="422">
        <f t="shared" si="0"/>
        <v>-1.0500000000000001E-2</v>
      </c>
      <c r="G89" s="423">
        <f t="shared" si="2"/>
        <v>-8.1961395516124483E-3</v>
      </c>
      <c r="H89" s="423">
        <f t="shared" si="3"/>
        <v>-1.3155113784985465E-2</v>
      </c>
      <c r="I89" s="423">
        <f t="shared" si="4"/>
        <v>-3.1478483170004441E-3</v>
      </c>
      <c r="J89" s="421"/>
      <c r="K89" s="424"/>
      <c r="L89" s="31"/>
      <c r="M89" s="31"/>
      <c r="N89" s="33"/>
    </row>
    <row r="90" spans="2:14">
      <c r="B90" s="30"/>
      <c r="C90" s="729">
        <f t="shared" si="1"/>
        <v>200706</v>
      </c>
      <c r="D90" s="422">
        <f t="shared" si="0"/>
        <v>-3.5699999999999996E-2</v>
      </c>
      <c r="E90" s="422">
        <f t="shared" si="0"/>
        <v>-2.7099999999999999E-2</v>
      </c>
      <c r="F90" s="422">
        <f t="shared" si="0"/>
        <v>-2.9700000000000001E-2</v>
      </c>
      <c r="G90" s="423">
        <f t="shared" si="2"/>
        <v>-2.2179629183722672E-2</v>
      </c>
      <c r="H90" s="423">
        <f t="shared" si="3"/>
        <v>-4.8614572333685449E-2</v>
      </c>
      <c r="I90" s="423">
        <f t="shared" si="4"/>
        <v>-4.6145593869731744E-2</v>
      </c>
      <c r="J90" s="421"/>
      <c r="K90" s="424"/>
      <c r="L90" s="31"/>
      <c r="M90" s="31"/>
      <c r="N90" s="33"/>
    </row>
    <row r="91" spans="2:14">
      <c r="B91" s="30"/>
      <c r="C91" s="729">
        <f t="shared" si="1"/>
        <v>200707</v>
      </c>
      <c r="D91" s="422">
        <f t="shared" si="0"/>
        <v>7.4999999999999997E-3</v>
      </c>
      <c r="E91" s="422">
        <f t="shared" si="0"/>
        <v>-1.2999999999999999E-3</v>
      </c>
      <c r="F91" s="422">
        <f t="shared" si="0"/>
        <v>-2.35E-2</v>
      </c>
      <c r="G91" s="423">
        <f t="shared" si="2"/>
        <v>7.3266707541385376E-3</v>
      </c>
      <c r="H91" s="423">
        <f t="shared" si="3"/>
        <v>-1.1384305056645427E-2</v>
      </c>
      <c r="I91" s="423">
        <f t="shared" si="4"/>
        <v>4.2444444444445012E-3</v>
      </c>
      <c r="J91" s="421"/>
      <c r="K91" s="424"/>
      <c r="L91" s="31"/>
      <c r="M91" s="31"/>
      <c r="N91" s="33"/>
    </row>
    <row r="92" spans="2:14">
      <c r="B92" s="30"/>
      <c r="C92" s="729">
        <f t="shared" si="1"/>
        <v>200708</v>
      </c>
      <c r="D92" s="422">
        <f t="shared" si="0"/>
        <v>3.7699999999999997E-2</v>
      </c>
      <c r="E92" s="422">
        <f t="shared" si="0"/>
        <v>-2.4700000000000003E-2</v>
      </c>
      <c r="F92" s="422">
        <f t="shared" si="0"/>
        <v>-2.0899999999999998E-2</v>
      </c>
      <c r="G92" s="423">
        <f t="shared" si="2"/>
        <v>5.8868129470238874E-2</v>
      </c>
      <c r="H92" s="423">
        <f t="shared" si="3"/>
        <v>2.3240300584469881E-2</v>
      </c>
      <c r="I92" s="423">
        <f t="shared" si="4"/>
        <v>4.4838783605112377E-2</v>
      </c>
      <c r="J92" s="421"/>
      <c r="K92" s="424"/>
      <c r="L92" s="31"/>
      <c r="M92" s="31"/>
      <c r="N92" s="33"/>
    </row>
    <row r="93" spans="2:14">
      <c r="B93" s="30"/>
      <c r="C93" s="729">
        <f t="shared" si="1"/>
        <v>200709</v>
      </c>
      <c r="D93" s="422">
        <f t="shared" si="0"/>
        <v>2.2599999999999999E-2</v>
      </c>
      <c r="E93" s="422">
        <f t="shared" si="0"/>
        <v>8.0000000000000004E-4</v>
      </c>
      <c r="F93" s="422">
        <f t="shared" si="0"/>
        <v>-1.9799999999999998E-2</v>
      </c>
      <c r="G93" s="423">
        <f t="shared" si="2"/>
        <v>5.0104417303960751E-2</v>
      </c>
      <c r="H93" s="423">
        <f t="shared" si="3"/>
        <v>2.6626464208242794E-2</v>
      </c>
      <c r="I93" s="423">
        <f t="shared" si="4"/>
        <v>5.1888309503784633E-2</v>
      </c>
      <c r="J93" s="421"/>
      <c r="K93" s="424"/>
      <c r="L93" s="31"/>
      <c r="M93" s="31"/>
      <c r="N93" s="33"/>
    </row>
    <row r="94" spans="2:14">
      <c r="B94" s="30"/>
      <c r="C94" s="729">
        <f t="shared" si="1"/>
        <v>200710</v>
      </c>
      <c r="D94" s="422">
        <f t="shared" si="0"/>
        <v>-5.2699999999999997E-2</v>
      </c>
      <c r="E94" s="422">
        <f t="shared" si="0"/>
        <v>-2.7400000000000001E-2</v>
      </c>
      <c r="F94" s="422">
        <f t="shared" si="0"/>
        <v>-9.8999999999999991E-3</v>
      </c>
      <c r="G94" s="423">
        <f t="shared" si="2"/>
        <v>-4.1328045080190723E-2</v>
      </c>
      <c r="H94" s="423">
        <f t="shared" si="3"/>
        <v>-6.6064560294891939E-2</v>
      </c>
      <c r="I94" s="423">
        <f t="shared" si="4"/>
        <v>-2.9705300916699887E-2</v>
      </c>
      <c r="J94" s="421"/>
      <c r="K94" s="424"/>
      <c r="L94" s="31"/>
      <c r="M94" s="31"/>
      <c r="N94" s="33"/>
    </row>
    <row r="95" spans="2:14">
      <c r="B95" s="30"/>
      <c r="C95" s="729">
        <f t="shared" si="1"/>
        <v>200711</v>
      </c>
      <c r="D95" s="422">
        <f t="shared" si="0"/>
        <v>-6.9999999999999993E-3</v>
      </c>
      <c r="E95" s="422">
        <f t="shared" si="0"/>
        <v>5.9999999999999995E-4</v>
      </c>
      <c r="F95" s="422">
        <f t="shared" si="0"/>
        <v>-7.000000000000001E-4</v>
      </c>
      <c r="G95" s="423">
        <f t="shared" si="2"/>
        <v>7.9177742734852724E-4</v>
      </c>
      <c r="H95" s="423">
        <f t="shared" si="3"/>
        <v>2.0752808988764521E-3</v>
      </c>
      <c r="I95" s="423">
        <f t="shared" si="4"/>
        <v>-2.7259967253377055E-2</v>
      </c>
      <c r="J95" s="421"/>
      <c r="K95" s="424"/>
      <c r="L95" s="31"/>
      <c r="M95" s="31"/>
      <c r="N95" s="33"/>
    </row>
    <row r="96" spans="2:14">
      <c r="B96" s="30"/>
      <c r="C96" s="729">
        <f t="shared" si="1"/>
        <v>200712</v>
      </c>
      <c r="D96" s="422">
        <f t="shared" si="0"/>
        <v>-6.4399999999999999E-2</v>
      </c>
      <c r="E96" s="422">
        <f t="shared" si="0"/>
        <v>-7.6E-3</v>
      </c>
      <c r="F96" s="422">
        <f t="shared" si="0"/>
        <v>3.0499999999999999E-2</v>
      </c>
      <c r="G96" s="423">
        <f t="shared" si="2"/>
        <v>-9.1672342574924279E-2</v>
      </c>
      <c r="H96" s="423">
        <f t="shared" si="3"/>
        <v>-5.1862370701705365E-2</v>
      </c>
      <c r="I96" s="423">
        <f t="shared" si="4"/>
        <v>-9.5259882501049067E-2</v>
      </c>
      <c r="J96" s="421"/>
      <c r="K96" s="424"/>
      <c r="L96" s="31"/>
      <c r="M96" s="31"/>
      <c r="N96" s="33"/>
    </row>
    <row r="97" spans="2:14">
      <c r="B97" s="30"/>
      <c r="C97" s="729">
        <f t="shared" si="1"/>
        <v>200801</v>
      </c>
      <c r="D97" s="422">
        <f t="shared" ref="D97:F116" si="5">D30/100</f>
        <v>-2.3300000000000001E-2</v>
      </c>
      <c r="E97" s="422">
        <f t="shared" si="5"/>
        <v>-5.4000000000000003E-3</v>
      </c>
      <c r="F97" s="422">
        <f t="shared" si="5"/>
        <v>0</v>
      </c>
      <c r="G97" s="423">
        <f t="shared" si="2"/>
        <v>-1.7327616816668685E-2</v>
      </c>
      <c r="H97" s="423">
        <f t="shared" si="3"/>
        <v>-1.1302942041777092E-2</v>
      </c>
      <c r="I97" s="423">
        <f t="shared" si="4"/>
        <v>-3.693165201295695E-2</v>
      </c>
      <c r="J97" s="421"/>
      <c r="K97" s="424"/>
      <c r="L97" s="31"/>
      <c r="M97" s="31"/>
      <c r="N97" s="33"/>
    </row>
    <row r="98" spans="2:14">
      <c r="B98" s="30"/>
      <c r="C98" s="729">
        <f t="shared" si="1"/>
        <v>200802</v>
      </c>
      <c r="D98" s="422">
        <f t="shared" si="5"/>
        <v>-1.21E-2</v>
      </c>
      <c r="E98" s="422">
        <f t="shared" si="5"/>
        <v>8.5000000000000006E-3</v>
      </c>
      <c r="F98" s="422">
        <f t="shared" si="5"/>
        <v>1.9E-3</v>
      </c>
      <c r="G98" s="423">
        <f t="shared" si="2"/>
        <v>-2.350177922566106E-2</v>
      </c>
      <c r="H98" s="423">
        <f t="shared" si="3"/>
        <v>-1.9827786032689435E-2</v>
      </c>
      <c r="I98" s="423">
        <f t="shared" si="4"/>
        <v>-1.4176007677543262E-2</v>
      </c>
      <c r="J98" s="421"/>
      <c r="K98" s="424"/>
      <c r="L98" s="31"/>
      <c r="M98" s="31"/>
      <c r="N98" s="33"/>
    </row>
    <row r="99" spans="2:14">
      <c r="B99" s="30"/>
      <c r="C99" s="729">
        <f t="shared" si="1"/>
        <v>200803</v>
      </c>
      <c r="D99" s="422">
        <f t="shared" si="5"/>
        <v>4.9400000000000006E-2</v>
      </c>
      <c r="E99" s="422">
        <f t="shared" si="5"/>
        <v>-1.5300000000000001E-2</v>
      </c>
      <c r="F99" s="422">
        <f t="shared" si="5"/>
        <v>7.000000000000001E-4</v>
      </c>
      <c r="G99" s="423">
        <f t="shared" si="2"/>
        <v>6.3497899321122125E-2</v>
      </c>
      <c r="H99" s="423">
        <f t="shared" si="3"/>
        <v>4.9147457627118633E-2</v>
      </c>
      <c r="I99" s="423">
        <f t="shared" si="4"/>
        <v>4.8834499514091488E-2</v>
      </c>
      <c r="J99" s="421"/>
      <c r="K99" s="424"/>
      <c r="L99" s="31"/>
      <c r="M99" s="31"/>
      <c r="N99" s="33"/>
    </row>
    <row r="100" spans="2:14">
      <c r="B100" s="30"/>
      <c r="C100" s="729">
        <f t="shared" si="1"/>
        <v>200804</v>
      </c>
      <c r="D100" s="422">
        <f t="shared" si="5"/>
        <v>2.2200000000000001E-2</v>
      </c>
      <c r="E100" s="422">
        <f t="shared" si="5"/>
        <v>2.87E-2</v>
      </c>
      <c r="F100" s="422">
        <f t="shared" si="5"/>
        <v>-3.0999999999999999E-3</v>
      </c>
      <c r="G100" s="423">
        <f t="shared" si="2"/>
        <v>2.8843530543530619E-2</v>
      </c>
      <c r="H100" s="423">
        <f t="shared" si="3"/>
        <v>3.3438248847926233E-2</v>
      </c>
      <c r="I100" s="423">
        <f t="shared" si="4"/>
        <v>3.021489361702117E-2</v>
      </c>
      <c r="J100" s="421"/>
      <c r="K100" s="424"/>
      <c r="L100" s="31"/>
      <c r="M100" s="31"/>
      <c r="N100" s="33"/>
    </row>
    <row r="101" spans="2:14">
      <c r="B101" s="30"/>
      <c r="C101" s="729">
        <f t="shared" si="1"/>
        <v>200805</v>
      </c>
      <c r="D101" s="422">
        <f t="shared" si="5"/>
        <v>-8.0299999999999996E-2</v>
      </c>
      <c r="E101" s="422">
        <f t="shared" si="5"/>
        <v>1.0800000000000001E-2</v>
      </c>
      <c r="F101" s="422">
        <f t="shared" si="5"/>
        <v>-1.0500000000000001E-2</v>
      </c>
      <c r="G101" s="423">
        <f t="shared" si="2"/>
        <v>-8.5363943990665131E-2</v>
      </c>
      <c r="H101" s="423">
        <f t="shared" si="3"/>
        <v>-8.9067835281023938E-2</v>
      </c>
      <c r="I101" s="423">
        <f t="shared" si="4"/>
        <v>-9.7172882115643178E-2</v>
      </c>
      <c r="J101" s="421"/>
      <c r="K101" s="424"/>
      <c r="L101" s="31"/>
      <c r="M101" s="31"/>
      <c r="N101" s="33"/>
    </row>
    <row r="102" spans="2:14">
      <c r="B102" s="30"/>
      <c r="C102" s="729">
        <f t="shared" si="1"/>
        <v>200806</v>
      </c>
      <c r="D102" s="422">
        <f t="shared" si="5"/>
        <v>-1.47E-2</v>
      </c>
      <c r="E102" s="422">
        <f t="shared" si="5"/>
        <v>3.7100000000000001E-2</v>
      </c>
      <c r="F102" s="422">
        <f t="shared" si="5"/>
        <v>3.61E-2</v>
      </c>
      <c r="G102" s="423">
        <f t="shared" si="2"/>
        <v>-4.0848019865019784E-2</v>
      </c>
      <c r="H102" s="423">
        <f t="shared" si="3"/>
        <v>-1.552439024390225E-2</v>
      </c>
      <c r="I102" s="423">
        <f t="shared" si="4"/>
        <v>2.9598612487611426E-3</v>
      </c>
      <c r="J102" s="421"/>
      <c r="K102" s="424"/>
      <c r="L102" s="31"/>
      <c r="M102" s="31"/>
      <c r="N102" s="33"/>
    </row>
    <row r="103" spans="2:14">
      <c r="B103" s="30"/>
      <c r="C103" s="729">
        <f t="shared" si="1"/>
        <v>200807</v>
      </c>
      <c r="D103" s="422">
        <f t="shared" si="5"/>
        <v>9.8999999999999991E-3</v>
      </c>
      <c r="E103" s="422">
        <f t="shared" si="5"/>
        <v>3.7599999999999995E-2</v>
      </c>
      <c r="F103" s="422">
        <f t="shared" si="5"/>
        <v>1.46E-2</v>
      </c>
      <c r="G103" s="423">
        <f t="shared" si="2"/>
        <v>-1.9953340402969547E-3</v>
      </c>
      <c r="H103" s="423">
        <f t="shared" si="3"/>
        <v>9.3132962275818271E-3</v>
      </c>
      <c r="I103" s="423">
        <f t="shared" si="4"/>
        <v>2.6920374938332527E-2</v>
      </c>
      <c r="J103" s="421"/>
      <c r="K103" s="424"/>
      <c r="L103" s="31"/>
      <c r="M103" s="31"/>
      <c r="N103" s="33"/>
    </row>
    <row r="104" spans="2:14">
      <c r="B104" s="30"/>
      <c r="C104" s="729">
        <f t="shared" si="1"/>
        <v>200808</v>
      </c>
      <c r="D104" s="422">
        <f t="shared" si="5"/>
        <v>-9.9600000000000008E-2</v>
      </c>
      <c r="E104" s="422">
        <f t="shared" si="5"/>
        <v>-2.3999999999999998E-3</v>
      </c>
      <c r="F104" s="422">
        <f t="shared" si="5"/>
        <v>4.4800000000000006E-2</v>
      </c>
      <c r="G104" s="423">
        <f t="shared" si="2"/>
        <v>-0.18125590342265852</v>
      </c>
      <c r="H104" s="423">
        <f t="shared" si="3"/>
        <v>-0.11961505507955934</v>
      </c>
      <c r="I104" s="423">
        <f t="shared" si="4"/>
        <v>-0.10418714011516318</v>
      </c>
      <c r="J104" s="421"/>
      <c r="K104" s="424"/>
      <c r="L104" s="31"/>
      <c r="M104" s="31"/>
      <c r="N104" s="33"/>
    </row>
    <row r="105" spans="2:14">
      <c r="B105" s="30"/>
      <c r="C105" s="729">
        <f t="shared" si="1"/>
        <v>200809</v>
      </c>
      <c r="D105" s="422">
        <f t="shared" si="5"/>
        <v>-0.18539999999999998</v>
      </c>
      <c r="E105" s="422">
        <f t="shared" si="5"/>
        <v>-2.12E-2</v>
      </c>
      <c r="F105" s="422">
        <f t="shared" si="5"/>
        <v>-3.1300000000000001E-2</v>
      </c>
      <c r="G105" s="423">
        <f t="shared" si="2"/>
        <v>-0.21671460456089278</v>
      </c>
      <c r="H105" s="423">
        <f t="shared" si="3"/>
        <v>-0.20100818875780704</v>
      </c>
      <c r="I105" s="423">
        <f t="shared" si="4"/>
        <v>-0.19491764705882347</v>
      </c>
      <c r="J105" s="421"/>
      <c r="K105" s="424"/>
      <c r="L105" s="31"/>
      <c r="M105" s="31"/>
      <c r="N105" s="33"/>
    </row>
    <row r="106" spans="2:14">
      <c r="B106" s="30"/>
      <c r="C106" s="729">
        <f t="shared" si="1"/>
        <v>200810</v>
      </c>
      <c r="D106" s="422">
        <f t="shared" si="5"/>
        <v>-8.5500000000000007E-2</v>
      </c>
      <c r="E106" s="422">
        <f t="shared" si="5"/>
        <v>-3.6200000000000003E-2</v>
      </c>
      <c r="F106" s="422">
        <f t="shared" si="5"/>
        <v>-4.9299999999999997E-2</v>
      </c>
      <c r="G106" s="423">
        <f t="shared" si="2"/>
        <v>-0.11364884488448847</v>
      </c>
      <c r="H106" s="423">
        <f t="shared" si="3"/>
        <v>-8.7835574837310179E-2</v>
      </c>
      <c r="I106" s="423">
        <f t="shared" si="4"/>
        <v>-0.10703477106834768</v>
      </c>
      <c r="J106" s="421"/>
      <c r="K106" s="424"/>
      <c r="L106" s="31"/>
      <c r="M106" s="31"/>
      <c r="N106" s="33"/>
    </row>
    <row r="107" spans="2:14">
      <c r="B107" s="30"/>
      <c r="C107" s="729">
        <f t="shared" si="1"/>
        <v>200811</v>
      </c>
      <c r="D107" s="422">
        <f t="shared" si="5"/>
        <v>2.06E-2</v>
      </c>
      <c r="E107" s="422">
        <f t="shared" si="5"/>
        <v>4.0399999999999998E-2</v>
      </c>
      <c r="F107" s="422">
        <f t="shared" si="5"/>
        <v>-1.2800000000000001E-2</v>
      </c>
      <c r="G107" s="423">
        <f t="shared" si="2"/>
        <v>4.819260120986521E-2</v>
      </c>
      <c r="H107" s="423">
        <f t="shared" si="3"/>
        <v>8.5167522586780731E-2</v>
      </c>
      <c r="I107" s="423">
        <f t="shared" si="4"/>
        <v>5.7049479940564585E-2</v>
      </c>
      <c r="J107" s="421"/>
      <c r="K107" s="424"/>
      <c r="L107" s="31"/>
      <c r="M107" s="31"/>
      <c r="N107" s="33"/>
    </row>
    <row r="108" spans="2:14">
      <c r="B108" s="30"/>
      <c r="C108" s="729">
        <f t="shared" si="1"/>
        <v>200812</v>
      </c>
      <c r="D108" s="422">
        <f t="shared" si="5"/>
        <v>-7.7499999999999999E-2</v>
      </c>
      <c r="E108" s="422">
        <f t="shared" si="5"/>
        <v>-9.1000000000000004E-3</v>
      </c>
      <c r="F108" s="422">
        <f t="shared" si="5"/>
        <v>-9.9299999999999999E-2</v>
      </c>
      <c r="G108" s="423">
        <f t="shared" si="2"/>
        <v>-7.5404746063428812E-2</v>
      </c>
      <c r="H108" s="423">
        <f t="shared" si="3"/>
        <v>-6.3922942206655023E-2</v>
      </c>
      <c r="I108" s="423">
        <f t="shared" si="4"/>
        <v>-7.092696629213481E-2</v>
      </c>
      <c r="J108" s="421"/>
      <c r="K108" s="424"/>
      <c r="L108" s="31"/>
      <c r="M108" s="31"/>
      <c r="N108" s="33"/>
    </row>
    <row r="109" spans="2:14">
      <c r="B109" s="30"/>
      <c r="C109" s="729">
        <f t="shared" si="1"/>
        <v>200901</v>
      </c>
      <c r="D109" s="422">
        <f t="shared" si="5"/>
        <v>-0.1012</v>
      </c>
      <c r="E109" s="422">
        <f t="shared" si="5"/>
        <v>-4.0999999999999995E-3</v>
      </c>
      <c r="F109" s="422">
        <f t="shared" si="5"/>
        <v>-6.7299999999999999E-2</v>
      </c>
      <c r="G109" s="423">
        <f t="shared" si="2"/>
        <v>-7.6137419045334484E-2</v>
      </c>
      <c r="H109" s="423">
        <f t="shared" si="3"/>
        <v>-9.2242188961646349E-2</v>
      </c>
      <c r="I109" s="423">
        <f t="shared" si="4"/>
        <v>-8.0220937263794451E-2</v>
      </c>
      <c r="J109" s="421"/>
      <c r="K109" s="424"/>
      <c r="L109" s="31"/>
      <c r="M109" s="31"/>
      <c r="N109" s="33"/>
    </row>
    <row r="110" spans="2:14">
      <c r="B110" s="30"/>
      <c r="C110" s="729">
        <f t="shared" si="1"/>
        <v>200902</v>
      </c>
      <c r="D110" s="422">
        <f t="shared" si="5"/>
        <v>8.7599999999999997E-2</v>
      </c>
      <c r="E110" s="422">
        <f t="shared" si="5"/>
        <v>7.4000000000000003E-3</v>
      </c>
      <c r="F110" s="422">
        <f t="shared" si="5"/>
        <v>2.5499999999999998E-2</v>
      </c>
      <c r="G110" s="423">
        <f t="shared" si="2"/>
        <v>0.13904849428868118</v>
      </c>
      <c r="H110" s="423">
        <f t="shared" si="3"/>
        <v>8.3877331272539879E-2</v>
      </c>
      <c r="I110" s="423">
        <f t="shared" si="4"/>
        <v>8.0425883319638486E-2</v>
      </c>
      <c r="J110" s="421"/>
      <c r="K110" s="424"/>
      <c r="L110" s="31"/>
      <c r="M110" s="31"/>
      <c r="N110" s="33"/>
    </row>
    <row r="111" spans="2:14">
      <c r="B111" s="30"/>
      <c r="C111" s="729">
        <f t="shared" si="1"/>
        <v>200903</v>
      </c>
      <c r="D111" s="422">
        <f t="shared" si="5"/>
        <v>0.1104</v>
      </c>
      <c r="E111" s="422">
        <f t="shared" si="5"/>
        <v>5.1399999999999994E-2</v>
      </c>
      <c r="F111" s="422">
        <f t="shared" si="5"/>
        <v>5.74E-2</v>
      </c>
      <c r="G111" s="423">
        <f t="shared" si="2"/>
        <v>0.1366365542388332</v>
      </c>
      <c r="H111" s="423">
        <f t="shared" si="3"/>
        <v>0.14486197718631183</v>
      </c>
      <c r="I111" s="423">
        <f t="shared" si="4"/>
        <v>0.14058441064638783</v>
      </c>
      <c r="J111" s="421"/>
      <c r="K111" s="424"/>
      <c r="L111" s="31"/>
      <c r="M111" s="31"/>
      <c r="N111" s="33"/>
    </row>
    <row r="112" spans="2:14">
      <c r="B112" s="30"/>
      <c r="C112" s="729">
        <f t="shared" si="1"/>
        <v>200904</v>
      </c>
      <c r="D112" s="422">
        <f t="shared" si="5"/>
        <v>6.7299999999999999E-2</v>
      </c>
      <c r="E112" s="422">
        <f t="shared" si="5"/>
        <v>-2.6099999999999998E-2</v>
      </c>
      <c r="F112" s="422">
        <f t="shared" si="5"/>
        <v>4.4000000000000003E-3</v>
      </c>
      <c r="G112" s="423">
        <f t="shared" si="2"/>
        <v>6.23496391339214E-2</v>
      </c>
      <c r="H112" s="423">
        <f t="shared" si="3"/>
        <v>6.309672063096719E-2</v>
      </c>
      <c r="I112" s="423">
        <f t="shared" si="4"/>
        <v>3.4666666666666637E-2</v>
      </c>
      <c r="J112" s="421"/>
      <c r="K112" s="424"/>
      <c r="L112" s="31"/>
      <c r="M112" s="31"/>
      <c r="N112" s="33"/>
    </row>
    <row r="113" spans="2:14">
      <c r="B113" s="30"/>
      <c r="C113" s="729">
        <f t="shared" si="1"/>
        <v>200905</v>
      </c>
      <c r="D113" s="422">
        <f t="shared" si="5"/>
        <v>-2.8000000000000004E-3</v>
      </c>
      <c r="E113" s="422">
        <f t="shared" si="5"/>
        <v>2.64E-2</v>
      </c>
      <c r="F113" s="422">
        <f t="shared" si="5"/>
        <v>-2.4799999999999999E-2</v>
      </c>
      <c r="G113" s="423">
        <f t="shared" si="2"/>
        <v>-1.3776184185695489E-2</v>
      </c>
      <c r="H113" s="423">
        <f t="shared" si="3"/>
        <v>-7.8094494338147493E-4</v>
      </c>
      <c r="I113" s="423">
        <f t="shared" si="4"/>
        <v>1.9329896907216541E-2</v>
      </c>
      <c r="J113" s="421"/>
      <c r="K113" s="424"/>
      <c r="L113" s="31"/>
      <c r="M113" s="31"/>
      <c r="N113" s="33"/>
    </row>
    <row r="114" spans="2:14">
      <c r="B114" s="30"/>
      <c r="C114" s="729">
        <f t="shared" si="1"/>
        <v>200906</v>
      </c>
      <c r="D114" s="422">
        <f t="shared" si="5"/>
        <v>8.2400000000000001E-2</v>
      </c>
      <c r="E114" s="422">
        <f t="shared" si="5"/>
        <v>2.4799999999999999E-2</v>
      </c>
      <c r="F114" s="422">
        <f t="shared" si="5"/>
        <v>4.8300000000000003E-2</v>
      </c>
      <c r="G114" s="423">
        <f t="shared" si="2"/>
        <v>8.7538729429774309E-2</v>
      </c>
      <c r="H114" s="423">
        <f t="shared" si="3"/>
        <v>8.8606525986713536E-2</v>
      </c>
      <c r="I114" s="423">
        <f t="shared" si="4"/>
        <v>5.1733122629582823E-2</v>
      </c>
      <c r="J114" s="421"/>
      <c r="K114" s="424"/>
      <c r="L114" s="31"/>
      <c r="M114" s="31"/>
      <c r="N114" s="33"/>
    </row>
    <row r="115" spans="2:14">
      <c r="B115" s="30"/>
      <c r="C115" s="729">
        <f t="shared" si="1"/>
        <v>200907</v>
      </c>
      <c r="D115" s="422">
        <f t="shared" si="5"/>
        <v>3.1800000000000002E-2</v>
      </c>
      <c r="E115" s="422">
        <f t="shared" si="5"/>
        <v>-5.7999999999999996E-3</v>
      </c>
      <c r="F115" s="422">
        <f t="shared" si="5"/>
        <v>7.6200000000000004E-2</v>
      </c>
      <c r="G115" s="423">
        <f t="shared" si="2"/>
        <v>2.1539690358902127E-2</v>
      </c>
      <c r="H115" s="423">
        <f t="shared" si="3"/>
        <v>4.3690380473797516E-2</v>
      </c>
      <c r="I115" s="423">
        <f t="shared" si="4"/>
        <v>2.6943269230769187E-2</v>
      </c>
      <c r="J115" s="421"/>
      <c r="K115" s="424"/>
      <c r="L115" s="31"/>
      <c r="M115" s="31"/>
      <c r="N115" s="33"/>
    </row>
    <row r="116" spans="2:14">
      <c r="B116" s="30"/>
      <c r="C116" s="729">
        <f t="shared" si="1"/>
        <v>200908</v>
      </c>
      <c r="D116" s="422">
        <f t="shared" si="5"/>
        <v>4.5199999999999997E-2</v>
      </c>
      <c r="E116" s="422">
        <f t="shared" si="5"/>
        <v>2.3599999999999999E-2</v>
      </c>
      <c r="F116" s="422">
        <f t="shared" si="5"/>
        <v>1.4999999999999999E-2</v>
      </c>
      <c r="G116" s="423">
        <f t="shared" si="2"/>
        <v>5.3039435164456659E-2</v>
      </c>
      <c r="H116" s="423">
        <f t="shared" si="3"/>
        <v>3.8514442916093572E-2</v>
      </c>
      <c r="I116" s="423">
        <f t="shared" si="4"/>
        <v>5.0906963136337101E-2</v>
      </c>
      <c r="J116" s="421"/>
      <c r="K116" s="424"/>
      <c r="L116" s="31"/>
      <c r="M116" s="31"/>
      <c r="N116" s="33"/>
    </row>
    <row r="117" spans="2:14">
      <c r="B117" s="30"/>
      <c r="C117" s="729">
        <f t="shared" si="1"/>
        <v>200909</v>
      </c>
      <c r="D117" s="422">
        <f t="shared" ref="D117:F134" si="6">D50/100</f>
        <v>-2.8399999999999998E-2</v>
      </c>
      <c r="E117" s="422">
        <f t="shared" si="6"/>
        <v>-4.2699999999999995E-2</v>
      </c>
      <c r="F117" s="422">
        <f t="shared" si="6"/>
        <v>-4.3799999999999999E-2</v>
      </c>
      <c r="G117" s="423">
        <f t="shared" si="2"/>
        <v>-5.4292722812755524E-2</v>
      </c>
      <c r="H117" s="423">
        <f t="shared" si="3"/>
        <v>-2.8476821192052963E-2</v>
      </c>
      <c r="I117" s="423">
        <f t="shared" si="4"/>
        <v>-3.1737193763919834E-2</v>
      </c>
      <c r="J117" s="421"/>
      <c r="K117" s="424"/>
      <c r="L117" s="31"/>
      <c r="M117" s="31"/>
      <c r="N117" s="33"/>
    </row>
    <row r="118" spans="2:14">
      <c r="B118" s="30"/>
      <c r="C118" s="729">
        <f t="shared" si="1"/>
        <v>200910</v>
      </c>
      <c r="D118" s="422">
        <f t="shared" si="6"/>
        <v>5.74E-2</v>
      </c>
      <c r="E118" s="422">
        <f t="shared" si="6"/>
        <v>-2.8300000000000002E-2</v>
      </c>
      <c r="F118" s="422">
        <f t="shared" si="6"/>
        <v>1.1999999999999999E-3</v>
      </c>
      <c r="G118" s="423">
        <f t="shared" si="2"/>
        <v>5.4642918900224866E-2</v>
      </c>
      <c r="H118" s="423">
        <f t="shared" si="3"/>
        <v>3.8854805725971386E-2</v>
      </c>
      <c r="I118" s="423">
        <f t="shared" si="4"/>
        <v>3.3352501437607721E-2</v>
      </c>
      <c r="J118" s="421"/>
      <c r="K118" s="424"/>
      <c r="L118" s="31"/>
      <c r="M118" s="31"/>
      <c r="N118" s="33"/>
    </row>
    <row r="119" spans="2:14">
      <c r="B119" s="30"/>
      <c r="C119" s="729">
        <f t="shared" si="1"/>
        <v>200911</v>
      </c>
      <c r="D119" s="422">
        <f t="shared" si="6"/>
        <v>2.92E-2</v>
      </c>
      <c r="E119" s="422">
        <f t="shared" si="6"/>
        <v>5.8799999999999998E-2</v>
      </c>
      <c r="F119" s="422">
        <f t="shared" si="6"/>
        <v>7.4000000000000003E-3</v>
      </c>
      <c r="G119" s="423">
        <f t="shared" si="2"/>
        <v>4.3449745859977018E-2</v>
      </c>
      <c r="H119" s="423">
        <f t="shared" si="3"/>
        <v>4.2322834645669265E-2</v>
      </c>
      <c r="I119" s="423">
        <f t="shared" si="4"/>
        <v>7.1786310517529373E-2</v>
      </c>
      <c r="J119" s="421"/>
      <c r="K119" s="424"/>
      <c r="L119" s="31"/>
      <c r="M119" s="31"/>
      <c r="N119" s="33"/>
    </row>
    <row r="120" spans="2:14">
      <c r="B120" s="30"/>
      <c r="C120" s="729">
        <f t="shared" si="1"/>
        <v>200912</v>
      </c>
      <c r="D120" s="422">
        <f t="shared" si="6"/>
        <v>-3.7100000000000001E-2</v>
      </c>
      <c r="E120" s="422">
        <f t="shared" si="6"/>
        <v>4.3E-3</v>
      </c>
      <c r="F120" s="422">
        <f t="shared" si="6"/>
        <v>5.6999999999999993E-3</v>
      </c>
      <c r="G120" s="423">
        <f t="shared" si="2"/>
        <v>-4.3683218101822768E-2</v>
      </c>
      <c r="H120" s="423">
        <f t="shared" si="3"/>
        <v>-1.6367642429965364E-2</v>
      </c>
      <c r="I120" s="423">
        <f t="shared" si="4"/>
        <v>-3.1671858774662665E-2</v>
      </c>
      <c r="J120" s="421"/>
      <c r="K120" s="424"/>
      <c r="L120" s="31"/>
      <c r="M120" s="31"/>
      <c r="N120" s="33"/>
    </row>
    <row r="121" spans="2:14">
      <c r="B121" s="30"/>
      <c r="C121" s="729">
        <f t="shared" si="1"/>
        <v>201001</v>
      </c>
      <c r="D121" s="422">
        <f t="shared" si="6"/>
        <v>3.5400000000000001E-2</v>
      </c>
      <c r="E121" s="422">
        <f t="shared" si="6"/>
        <v>1.41E-2</v>
      </c>
      <c r="F121" s="422">
        <f t="shared" si="6"/>
        <v>2.75E-2</v>
      </c>
      <c r="G121" s="423">
        <f t="shared" si="2"/>
        <v>3.0069010844561261E-2</v>
      </c>
      <c r="H121" s="423">
        <f t="shared" si="3"/>
        <v>3.5200000000000044E-2</v>
      </c>
      <c r="I121" s="423">
        <f t="shared" si="4"/>
        <v>2.5201072386059113E-2</v>
      </c>
      <c r="J121" s="421"/>
      <c r="K121" s="424"/>
      <c r="L121" s="31"/>
      <c r="M121" s="31"/>
      <c r="N121" s="33"/>
    </row>
    <row r="122" spans="2:14">
      <c r="B122" s="30"/>
      <c r="C122" s="729">
        <f t="shared" si="1"/>
        <v>201002</v>
      </c>
      <c r="D122" s="422">
        <f t="shared" si="6"/>
        <v>6.4399999999999999E-2</v>
      </c>
      <c r="E122" s="422">
        <f t="shared" si="6"/>
        <v>1.5900000000000001E-2</v>
      </c>
      <c r="F122" s="422">
        <f t="shared" si="6"/>
        <v>2.0199999999999999E-2</v>
      </c>
      <c r="G122" s="423">
        <f t="shared" si="2"/>
        <v>6.6198755782421528E-2</v>
      </c>
      <c r="H122" s="423">
        <f t="shared" si="3"/>
        <v>6.3987635239567242E-2</v>
      </c>
      <c r="I122" s="423">
        <f t="shared" si="4"/>
        <v>6.1715481171548098E-2</v>
      </c>
      <c r="J122" s="421"/>
      <c r="K122" s="424"/>
      <c r="L122" s="31"/>
      <c r="M122" s="31"/>
      <c r="N122" s="33"/>
    </row>
    <row r="123" spans="2:14">
      <c r="B123" s="30"/>
      <c r="C123" s="729">
        <f t="shared" si="1"/>
        <v>201003</v>
      </c>
      <c r="D123" s="422">
        <f t="shared" si="6"/>
        <v>2.0199999999999999E-2</v>
      </c>
      <c r="E123" s="422">
        <f t="shared" si="6"/>
        <v>0.05</v>
      </c>
      <c r="F123" s="422">
        <f t="shared" si="6"/>
        <v>3.1400000000000004E-2</v>
      </c>
      <c r="G123" s="423">
        <f t="shared" si="2"/>
        <v>1.5110712148413986E-2</v>
      </c>
      <c r="H123" s="423">
        <f t="shared" si="3"/>
        <v>2.5566531086577436E-2</v>
      </c>
      <c r="I123" s="423">
        <f t="shared" si="4"/>
        <v>5.5172413793103496E-2</v>
      </c>
      <c r="J123" s="421"/>
      <c r="K123" s="424"/>
      <c r="L123" s="31"/>
      <c r="M123" s="31"/>
      <c r="N123" s="33"/>
    </row>
    <row r="124" spans="2:14">
      <c r="B124" s="30"/>
      <c r="C124" s="729">
        <f t="shared" si="1"/>
        <v>201004</v>
      </c>
      <c r="D124" s="422">
        <f t="shared" si="6"/>
        <v>-0.08</v>
      </c>
      <c r="E124" s="422">
        <f t="shared" si="6"/>
        <v>-2.9999999999999997E-4</v>
      </c>
      <c r="F124" s="422">
        <f t="shared" si="6"/>
        <v>-2.3599999999999999E-2</v>
      </c>
      <c r="G124" s="423">
        <f t="shared" si="2"/>
        <v>-8.1161164333087593E-2</v>
      </c>
      <c r="H124" s="423">
        <f t="shared" si="3"/>
        <v>-7.7437110481586316E-2</v>
      </c>
      <c r="I124" s="423">
        <f t="shared" si="4"/>
        <v>-6.405891690009341E-2</v>
      </c>
      <c r="J124" s="421"/>
      <c r="K124" s="424"/>
      <c r="L124" s="31"/>
      <c r="M124" s="31"/>
      <c r="N124" s="33"/>
    </row>
    <row r="125" spans="2:14">
      <c r="B125" s="30"/>
      <c r="C125" s="729">
        <f t="shared" si="1"/>
        <v>201005</v>
      </c>
      <c r="D125" s="422">
        <f t="shared" si="6"/>
        <v>-5.21E-2</v>
      </c>
      <c r="E125" s="422">
        <f t="shared" si="6"/>
        <v>-2.0499999999999997E-2</v>
      </c>
      <c r="F125" s="422">
        <f t="shared" si="6"/>
        <v>-4.2800000000000005E-2</v>
      </c>
      <c r="G125" s="423">
        <f t="shared" si="2"/>
        <v>-6.4735124298315974E-2</v>
      </c>
      <c r="H125" s="423">
        <f t="shared" si="3"/>
        <v>-4.7689806570463643E-2</v>
      </c>
      <c r="I125" s="423">
        <f t="shared" si="4"/>
        <v>-6.0449127182044933E-2</v>
      </c>
      <c r="J125" s="421"/>
      <c r="K125" s="424"/>
      <c r="L125" s="31"/>
      <c r="M125" s="31"/>
      <c r="N125" s="33"/>
    </row>
    <row r="126" spans="2:14">
      <c r="B126" s="30"/>
      <c r="C126" s="729">
        <f t="shared" si="1"/>
        <v>201006</v>
      </c>
      <c r="D126" s="422">
        <f t="shared" si="6"/>
        <v>7.2400000000000006E-2</v>
      </c>
      <c r="E126" s="422">
        <f t="shared" si="6"/>
        <v>-8.0000000000000004E-4</v>
      </c>
      <c r="F126" s="422">
        <f t="shared" si="6"/>
        <v>1.2999999999999999E-3</v>
      </c>
      <c r="G126" s="423">
        <f t="shared" si="2"/>
        <v>5.0482990397805259E-2</v>
      </c>
      <c r="H126" s="423">
        <f t="shared" si="3"/>
        <v>6.115080593165706E-2</v>
      </c>
      <c r="I126" s="423">
        <f t="shared" si="4"/>
        <v>5.9347983014862049E-2</v>
      </c>
      <c r="J126" s="421"/>
      <c r="K126" s="424"/>
      <c r="L126" s="31"/>
      <c r="M126" s="31"/>
      <c r="N126" s="33"/>
    </row>
    <row r="127" spans="2:14">
      <c r="B127" s="30"/>
      <c r="C127" s="729">
        <f t="shared" si="1"/>
        <v>201007</v>
      </c>
      <c r="D127" s="422">
        <f t="shared" si="6"/>
        <v>-4.4000000000000004E-2</v>
      </c>
      <c r="E127" s="422">
        <f t="shared" si="6"/>
        <v>-2.92E-2</v>
      </c>
      <c r="F127" s="422">
        <f t="shared" si="6"/>
        <v>-1.7100000000000001E-2</v>
      </c>
      <c r="G127" s="423">
        <f t="shared" si="2"/>
        <v>-5.9345960502693043E-2</v>
      </c>
      <c r="H127" s="423">
        <f t="shared" si="3"/>
        <v>-4.0804738760631939E-2</v>
      </c>
      <c r="I127" s="423">
        <f t="shared" si="4"/>
        <v>-5.4208216432865823E-2</v>
      </c>
      <c r="J127" s="421"/>
      <c r="K127" s="424"/>
      <c r="L127" s="31"/>
      <c r="M127" s="31"/>
      <c r="N127" s="33"/>
    </row>
    <row r="128" spans="2:14">
      <c r="B128" s="30"/>
      <c r="C128" s="729">
        <f t="shared" si="1"/>
        <v>201008</v>
      </c>
      <c r="D128" s="422">
        <f t="shared" si="6"/>
        <v>9.2399999999999996E-2</v>
      </c>
      <c r="E128" s="422">
        <f t="shared" si="6"/>
        <v>3.9699999999999999E-2</v>
      </c>
      <c r="F128" s="422">
        <f t="shared" si="6"/>
        <v>-3.1400000000000004E-2</v>
      </c>
      <c r="G128" s="423">
        <f t="shared" si="2"/>
        <v>0.10833164469118667</v>
      </c>
      <c r="H128" s="423">
        <f t="shared" si="3"/>
        <v>9.553014566181138E-2</v>
      </c>
      <c r="I128" s="423">
        <f t="shared" si="4"/>
        <v>0.10689152542372879</v>
      </c>
      <c r="J128" s="421"/>
      <c r="K128" s="424"/>
      <c r="L128" s="31"/>
      <c r="M128" s="31"/>
      <c r="N128" s="33"/>
    </row>
    <row r="129" spans="2:14">
      <c r="B129" s="30"/>
      <c r="C129" s="729">
        <f t="shared" si="1"/>
        <v>201009</v>
      </c>
      <c r="D129" s="422">
        <f t="shared" si="6"/>
        <v>3.8900000000000004E-2</v>
      </c>
      <c r="E129" s="422">
        <f t="shared" si="6"/>
        <v>9.1000000000000004E-3</v>
      </c>
      <c r="F129" s="422">
        <f t="shared" si="6"/>
        <v>-2.1400000000000002E-2</v>
      </c>
      <c r="G129" s="423">
        <f t="shared" si="2"/>
        <v>3.605589294099236E-2</v>
      </c>
      <c r="H129" s="423">
        <f t="shared" si="3"/>
        <v>3.8339306358381446E-2</v>
      </c>
      <c r="I129" s="423">
        <f t="shared" si="4"/>
        <v>3.0043540669856584E-2</v>
      </c>
      <c r="J129" s="421"/>
      <c r="K129" s="424"/>
      <c r="L129" s="31"/>
      <c r="M129" s="31"/>
      <c r="N129" s="33"/>
    </row>
    <row r="130" spans="2:14">
      <c r="B130" s="30"/>
      <c r="C130" s="729">
        <f t="shared" si="1"/>
        <v>201010</v>
      </c>
      <c r="D130" s="422">
        <f t="shared" si="6"/>
        <v>5.7999999999999996E-3</v>
      </c>
      <c r="E130" s="422">
        <f t="shared" si="6"/>
        <v>3.7200000000000004E-2</v>
      </c>
      <c r="F130" s="422">
        <f t="shared" si="6"/>
        <v>-6.0999999999999995E-3</v>
      </c>
      <c r="G130" s="423">
        <f t="shared" si="2"/>
        <v>1.3495166163141866E-2</v>
      </c>
      <c r="H130" s="423">
        <f t="shared" si="3"/>
        <v>1.8482326746451512E-3</v>
      </c>
      <c r="I130" s="423">
        <f t="shared" si="4"/>
        <v>4.309554110543426E-2</v>
      </c>
      <c r="J130" s="421"/>
      <c r="K130" s="424"/>
      <c r="L130" s="31"/>
      <c r="M130" s="31"/>
      <c r="N130" s="33"/>
    </row>
    <row r="131" spans="2:14">
      <c r="B131" s="30"/>
      <c r="C131" s="729">
        <f t="shared" si="1"/>
        <v>201011</v>
      </c>
      <c r="D131" s="422">
        <f t="shared" si="6"/>
        <v>6.7699999999999996E-2</v>
      </c>
      <c r="E131" s="422">
        <f t="shared" si="6"/>
        <v>8.0000000000000002E-3</v>
      </c>
      <c r="F131" s="422">
        <f t="shared" si="6"/>
        <v>3.5299999999999998E-2</v>
      </c>
      <c r="G131" s="423">
        <f t="shared" si="2"/>
        <v>6.6516989567809229E-2</v>
      </c>
      <c r="H131" s="423">
        <f t="shared" si="3"/>
        <v>6.6011111111111173E-2</v>
      </c>
      <c r="I131" s="423">
        <f t="shared" si="4"/>
        <v>5.8671148708815679E-2</v>
      </c>
      <c r="J131" s="421"/>
      <c r="K131" s="424"/>
      <c r="L131" s="31"/>
      <c r="M131" s="31"/>
      <c r="N131" s="33"/>
    </row>
    <row r="132" spans="2:14">
      <c r="B132" s="30"/>
      <c r="C132" s="729">
        <f t="shared" si="1"/>
        <v>201012</v>
      </c>
      <c r="D132" s="422">
        <f t="shared" si="6"/>
        <v>2.0199999999999999E-2</v>
      </c>
      <c r="E132" s="422">
        <f t="shared" si="6"/>
        <v>-2.4199999999999999E-2</v>
      </c>
      <c r="F132" s="422">
        <f t="shared" si="6"/>
        <v>9.3999999999999986E-3</v>
      </c>
      <c r="G132" s="423">
        <f t="shared" si="2"/>
        <v>1.6207908341484015E-2</v>
      </c>
      <c r="H132" s="423">
        <f t="shared" si="3"/>
        <v>1.328817092235534E-2</v>
      </c>
      <c r="I132" s="423">
        <f t="shared" si="4"/>
        <v>2.2708158116063883E-2</v>
      </c>
      <c r="J132" s="421"/>
      <c r="K132" s="424"/>
      <c r="L132" s="31"/>
      <c r="M132" s="31"/>
      <c r="N132" s="33"/>
    </row>
    <row r="133" spans="2:14">
      <c r="B133" s="30"/>
      <c r="C133" s="729">
        <f t="shared" si="1"/>
        <v>201101</v>
      </c>
      <c r="D133" s="422">
        <f t="shared" si="6"/>
        <v>3.85E-2</v>
      </c>
      <c r="E133" s="422">
        <f t="shared" si="6"/>
        <v>1.78E-2</v>
      </c>
      <c r="F133" s="422">
        <f t="shared" si="6"/>
        <v>1.37E-2</v>
      </c>
      <c r="G133" s="423">
        <f t="shared" si="2"/>
        <v>4.142344287089228E-2</v>
      </c>
      <c r="H133" s="423">
        <f t="shared" si="3"/>
        <v>3.5641835947544366E-2</v>
      </c>
      <c r="I133" s="423">
        <f t="shared" si="4"/>
        <v>5.417631578947369E-2</v>
      </c>
      <c r="J133" s="421"/>
      <c r="K133" s="424"/>
      <c r="L133" s="31"/>
      <c r="M133" s="31"/>
      <c r="N133" s="33"/>
    </row>
    <row r="134" spans="2:14">
      <c r="B134" s="30"/>
      <c r="C134" s="729">
        <f t="shared" si="1"/>
        <v>201102</v>
      </c>
      <c r="D134" s="422">
        <f t="shared" si="6"/>
        <v>2.8999999999999998E-3</v>
      </c>
      <c r="E134" s="422">
        <f t="shared" si="6"/>
        <v>2.7099999999999999E-2</v>
      </c>
      <c r="F134" s="422">
        <f t="shared" si="6"/>
        <v>-1.3100000000000001E-2</v>
      </c>
      <c r="G134" s="423">
        <f t="shared" si="2"/>
        <v>-3.9603960396039231E-3</v>
      </c>
      <c r="H134" s="423">
        <f t="shared" si="3"/>
        <v>1.191658391261164E-2</v>
      </c>
      <c r="I134" s="423">
        <f t="shared" si="4"/>
        <v>2.0670826833073367E-2</v>
      </c>
      <c r="J134" s="421"/>
      <c r="K134" s="424"/>
      <c r="L134" s="31"/>
      <c r="M134" s="31"/>
      <c r="N134" s="33"/>
    </row>
    <row r="135" spans="2:14">
      <c r="B135" s="30"/>
      <c r="C135" s="729">
        <f t="shared" si="1"/>
        <v>201103</v>
      </c>
      <c r="D135" s="422">
        <f t="shared" ref="D135:F136" si="7">D68/100</f>
        <v>2.8199999999999999E-2</v>
      </c>
      <c r="E135" s="422">
        <f t="shared" si="7"/>
        <v>-1.9E-3</v>
      </c>
      <c r="F135" s="422">
        <f t="shared" si="7"/>
        <v>-2.35E-2</v>
      </c>
      <c r="G135" s="423">
        <f t="shared" si="2"/>
        <v>2.5182239893969401E-2</v>
      </c>
      <c r="H135" s="423">
        <f t="shared" si="3"/>
        <v>4.4406280667320962E-2</v>
      </c>
      <c r="I135" s="423">
        <f t="shared" si="4"/>
        <v>2.904088651127237E-2</v>
      </c>
      <c r="J135" s="421"/>
      <c r="K135" s="424"/>
      <c r="L135" s="31"/>
      <c r="M135" s="31"/>
      <c r="N135" s="33"/>
    </row>
    <row r="136" spans="2:14">
      <c r="B136" s="30"/>
      <c r="C136" s="729">
        <f t="shared" si="1"/>
        <v>201104</v>
      </c>
      <c r="D136" s="422">
        <f t="shared" si="7"/>
        <v>-1.47E-2</v>
      </c>
      <c r="E136" s="422">
        <f t="shared" si="7"/>
        <v>-3.9000000000000003E-3</v>
      </c>
      <c r="F136" s="422">
        <f t="shared" si="7"/>
        <v>-2.2700000000000001E-2</v>
      </c>
      <c r="G136" s="423">
        <f t="shared" si="2"/>
        <v>-2.2236586942469282E-2</v>
      </c>
      <c r="H136" s="423">
        <f t="shared" si="3"/>
        <v>-1.1510453370918534E-2</v>
      </c>
      <c r="I136" s="423">
        <f t="shared" si="4"/>
        <v>-7.4266617155588303E-3</v>
      </c>
      <c r="J136" s="421"/>
      <c r="K136" s="424"/>
      <c r="L136" s="31"/>
      <c r="M136" s="31"/>
      <c r="N136" s="33"/>
    </row>
    <row r="137" spans="2:14" ht="15.75" thickBot="1">
      <c r="B137" s="38"/>
      <c r="C137" s="39"/>
      <c r="D137" s="39"/>
      <c r="E137" s="39"/>
      <c r="F137" s="39"/>
      <c r="G137" s="39"/>
      <c r="H137" s="39"/>
      <c r="I137" s="39"/>
      <c r="J137" s="427"/>
      <c r="K137" s="428"/>
      <c r="L137" s="39"/>
      <c r="M137" s="39"/>
      <c r="N137" s="40"/>
    </row>
    <row r="138" spans="2:14">
      <c r="K138" s="415"/>
    </row>
  </sheetData>
  <mergeCells count="4">
    <mergeCell ref="G75:I75"/>
    <mergeCell ref="C2:K2"/>
    <mergeCell ref="C1:K1"/>
    <mergeCell ref="C4:D4"/>
  </mergeCells>
  <phoneticPr fontId="2" type="noConversion"/>
  <pageMargins left="0.75" right="0.75" top="1" bottom="1" header="0.5" footer="0.5"/>
  <pageSetup orientation="portrait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>
  <dimension ref="A1:I20"/>
  <sheetViews>
    <sheetView workbookViewId="0"/>
  </sheetViews>
  <sheetFormatPr defaultRowHeight="15"/>
  <cols>
    <col min="1" max="1" width="18" style="751" bestFit="1" customWidth="1"/>
    <col min="2" max="2" width="9.140625" style="751"/>
    <col min="3" max="4" width="9.42578125" style="751" bestFit="1" customWidth="1"/>
    <col min="5" max="5" width="10.5703125" style="751" bestFit="1" customWidth="1"/>
    <col min="6" max="16384" width="9.140625" style="751"/>
  </cols>
  <sheetData>
    <row r="1" spans="1:9">
      <c r="A1" s="751" t="s">
        <v>8</v>
      </c>
    </row>
    <row r="2" spans="1:9" ht="15.75" thickBot="1"/>
    <row r="3" spans="1:9">
      <c r="A3" s="752" t="s">
        <v>9</v>
      </c>
      <c r="B3" s="752"/>
    </row>
    <row r="4" spans="1:9">
      <c r="A4" s="753" t="s">
        <v>10</v>
      </c>
      <c r="B4" s="758">
        <v>0.97508038777860317</v>
      </c>
    </row>
    <row r="5" spans="1:9">
      <c r="A5" s="753" t="s">
        <v>11</v>
      </c>
      <c r="B5" s="758">
        <v>0.95078176263047121</v>
      </c>
    </row>
    <row r="6" spans="1:9">
      <c r="A6" s="753" t="s">
        <v>12</v>
      </c>
      <c r="B6" s="758">
        <v>0.94814507134281789</v>
      </c>
    </row>
    <row r="7" spans="1:9">
      <c r="A7" s="753" t="s">
        <v>13</v>
      </c>
      <c r="B7" s="758">
        <v>1.4850815855401952E-2</v>
      </c>
    </row>
    <row r="8" spans="1:9" ht="15.75" thickBot="1">
      <c r="A8" s="754" t="s">
        <v>14</v>
      </c>
      <c r="B8" s="754">
        <v>60</v>
      </c>
    </row>
    <row r="10" spans="1:9" ht="15.75" thickBot="1">
      <c r="A10" s="751" t="s">
        <v>15</v>
      </c>
    </row>
    <row r="11" spans="1:9">
      <c r="A11" s="755"/>
      <c r="B11" s="755" t="s">
        <v>20</v>
      </c>
      <c r="C11" s="755" t="s">
        <v>21</v>
      </c>
      <c r="D11" s="755" t="s">
        <v>22</v>
      </c>
      <c r="E11" s="755" t="s">
        <v>23</v>
      </c>
      <c r="F11" s="755" t="s">
        <v>24</v>
      </c>
    </row>
    <row r="12" spans="1:9">
      <c r="A12" s="753" t="s">
        <v>16</v>
      </c>
      <c r="B12" s="753">
        <v>3</v>
      </c>
      <c r="C12" s="759">
        <v>0.23858516675891986</v>
      </c>
      <c r="D12" s="759">
        <v>7.9528388919639953E-2</v>
      </c>
      <c r="E12" s="759">
        <v>360.5965427513791</v>
      </c>
      <c r="F12" s="753">
        <v>1.4149441690738885E-36</v>
      </c>
    </row>
    <row r="13" spans="1:9">
      <c r="A13" s="753" t="s">
        <v>17</v>
      </c>
      <c r="B13" s="753">
        <v>56</v>
      </c>
      <c r="C13" s="759">
        <v>1.2350616967979249E-2</v>
      </c>
      <c r="D13" s="759">
        <v>2.20546731571058E-4</v>
      </c>
      <c r="E13" s="759"/>
      <c r="F13" s="753"/>
    </row>
    <row r="14" spans="1:9" ht="15.75" thickBot="1">
      <c r="A14" s="754" t="s">
        <v>18</v>
      </c>
      <c r="B14" s="754">
        <v>59</v>
      </c>
      <c r="C14" s="760">
        <v>0.25093578372689912</v>
      </c>
      <c r="D14" s="760"/>
      <c r="E14" s="760"/>
      <c r="F14" s="754"/>
    </row>
    <row r="15" spans="1:9" ht="15.75" thickBot="1"/>
    <row r="16" spans="1:9">
      <c r="A16" s="755"/>
      <c r="B16" s="755" t="s">
        <v>25</v>
      </c>
      <c r="C16" s="755" t="s">
        <v>13</v>
      </c>
      <c r="D16" s="755" t="s">
        <v>26</v>
      </c>
      <c r="E16" s="755" t="s">
        <v>27</v>
      </c>
      <c r="F16" s="755" t="s">
        <v>28</v>
      </c>
      <c r="G16" s="755" t="s">
        <v>29</v>
      </c>
      <c r="H16" s="755" t="s">
        <v>30</v>
      </c>
      <c r="I16" s="755" t="s">
        <v>31</v>
      </c>
    </row>
    <row r="17" spans="1:9">
      <c r="A17" s="753" t="s">
        <v>19</v>
      </c>
      <c r="B17" s="756">
        <v>-3.6977436395552342E-3</v>
      </c>
      <c r="C17" s="756">
        <v>1.9458980993325582E-3</v>
      </c>
      <c r="D17" s="756">
        <v>-1.9002760940172345</v>
      </c>
      <c r="E17" s="756">
        <v>6.2549623830847279E-2</v>
      </c>
      <c r="F17" s="756">
        <v>-7.5958459183735269E-3</v>
      </c>
      <c r="G17" s="756">
        <v>2.0035863926305859E-4</v>
      </c>
      <c r="H17" s="756">
        <v>-7.5958459183735269E-3</v>
      </c>
      <c r="I17" s="756">
        <v>2.0035863926305859E-4</v>
      </c>
    </row>
    <row r="18" spans="1:9">
      <c r="A18" s="753" t="s">
        <v>0</v>
      </c>
      <c r="B18" s="756">
        <v>1.2100174930947698</v>
      </c>
      <c r="C18" s="756">
        <v>4.1337948331597166E-2</v>
      </c>
      <c r="D18" s="756">
        <v>29.271348529164378</v>
      </c>
      <c r="E18" s="756">
        <v>1.2524386022530723E-35</v>
      </c>
      <c r="F18" s="756">
        <v>1.1272076323685876</v>
      </c>
      <c r="G18" s="756">
        <v>1.292827353820952</v>
      </c>
      <c r="H18" s="756">
        <v>1.1272076323685876</v>
      </c>
      <c r="I18" s="756">
        <v>1.292827353820952</v>
      </c>
    </row>
    <row r="19" spans="1:9">
      <c r="A19" s="753" t="s">
        <v>1</v>
      </c>
      <c r="B19" s="756">
        <v>0.15883674726978025</v>
      </c>
      <c r="C19" s="756">
        <v>9.0171240806802347E-2</v>
      </c>
      <c r="D19" s="756">
        <v>1.7615011820686615</v>
      </c>
      <c r="E19" s="756">
        <v>8.3612167798625195E-2</v>
      </c>
      <c r="F19" s="756">
        <v>-2.1797952663084874E-2</v>
      </c>
      <c r="G19" s="756">
        <v>0.33947144720264538</v>
      </c>
      <c r="H19" s="756">
        <v>-2.1797952663084874E-2</v>
      </c>
      <c r="I19" s="756">
        <v>0.33947144720264538</v>
      </c>
    </row>
    <row r="20" spans="1:9" ht="15.75" thickBot="1">
      <c r="A20" s="754" t="s">
        <v>2</v>
      </c>
      <c r="B20" s="757">
        <v>-0.30392604450154137</v>
      </c>
      <c r="C20" s="757">
        <v>7.4591557689023161E-2</v>
      </c>
      <c r="D20" s="757">
        <v>-4.0745367695447241</v>
      </c>
      <c r="E20" s="757">
        <v>1.4675905084703995E-4</v>
      </c>
      <c r="F20" s="757">
        <v>-0.45335088905425447</v>
      </c>
      <c r="G20" s="757">
        <v>-0.1545011999488283</v>
      </c>
      <c r="H20" s="757">
        <v>-0.45335088905425447</v>
      </c>
      <c r="I20" s="757">
        <v>-0.1545011999488283</v>
      </c>
    </row>
  </sheetData>
  <phoneticPr fontId="53" type="noConversion"/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>
  <dimension ref="A1:I20"/>
  <sheetViews>
    <sheetView workbookViewId="0"/>
  </sheetViews>
  <sheetFormatPr defaultRowHeight="12.75"/>
  <cols>
    <col min="1" max="1" width="18.7109375" bestFit="1" customWidth="1"/>
    <col min="3" max="4" width="9.42578125" bestFit="1" customWidth="1"/>
    <col min="5" max="5" width="10.5703125" bestFit="1" customWidth="1"/>
  </cols>
  <sheetData>
    <row r="1" spans="1:9">
      <c r="A1" t="s">
        <v>8</v>
      </c>
    </row>
    <row r="2" spans="1:9" ht="13.5" thickBot="1"/>
    <row r="3" spans="1:9">
      <c r="A3" s="4" t="s">
        <v>9</v>
      </c>
      <c r="B3" s="4"/>
    </row>
    <row r="4" spans="1:9">
      <c r="A4" s="1" t="s">
        <v>10</v>
      </c>
      <c r="B4" s="5">
        <v>0.97840348740680161</v>
      </c>
    </row>
    <row r="5" spans="1:9">
      <c r="A5" s="1" t="s">
        <v>11</v>
      </c>
      <c r="B5" s="5">
        <v>0.95727338416979146</v>
      </c>
    </row>
    <row r="6" spans="1:9">
      <c r="A6" s="1" t="s">
        <v>12</v>
      </c>
      <c r="B6" s="5">
        <v>0.95498445832174461</v>
      </c>
    </row>
    <row r="7" spans="1:9">
      <c r="A7" s="1" t="s">
        <v>13</v>
      </c>
      <c r="B7" s="5">
        <v>1.2217630974271374E-2</v>
      </c>
    </row>
    <row r="8" spans="1:9" ht="13.5" thickBot="1">
      <c r="A8" s="2" t="s">
        <v>14</v>
      </c>
      <c r="B8" s="764">
        <v>60</v>
      </c>
    </row>
    <row r="10" spans="1:9" ht="13.5" thickBot="1">
      <c r="A10" t="s">
        <v>15</v>
      </c>
    </row>
    <row r="11" spans="1:9">
      <c r="A11" s="3"/>
      <c r="B11" s="3" t="s">
        <v>20</v>
      </c>
      <c r="C11" s="3" t="s">
        <v>21</v>
      </c>
      <c r="D11" s="3" t="s">
        <v>22</v>
      </c>
      <c r="E11" s="3" t="s">
        <v>23</v>
      </c>
      <c r="F11" s="3" t="s">
        <v>24</v>
      </c>
    </row>
    <row r="12" spans="1:9">
      <c r="A12" s="1" t="s">
        <v>16</v>
      </c>
      <c r="B12" s="1">
        <v>3</v>
      </c>
      <c r="C12" s="762">
        <v>0.18728350219923742</v>
      </c>
      <c r="D12" s="762">
        <v>6.2427834066412474E-2</v>
      </c>
      <c r="E12" s="762">
        <v>418.21948272663434</v>
      </c>
      <c r="F12" s="1">
        <v>2.7051534132113774E-38</v>
      </c>
    </row>
    <row r="13" spans="1:9">
      <c r="A13" s="1" t="s">
        <v>17</v>
      </c>
      <c r="B13" s="1">
        <v>56</v>
      </c>
      <c r="C13" s="762">
        <v>8.3591483709146153E-3</v>
      </c>
      <c r="D13" s="762">
        <v>1.4927050662347528E-4</v>
      </c>
      <c r="E13" s="762"/>
      <c r="F13" s="1"/>
    </row>
    <row r="14" spans="1:9" ht="13.5" thickBot="1">
      <c r="A14" s="2" t="s">
        <v>18</v>
      </c>
      <c r="B14" s="2">
        <v>59</v>
      </c>
      <c r="C14" s="763">
        <v>0.19564265057015204</v>
      </c>
      <c r="D14" s="763"/>
      <c r="E14" s="763"/>
      <c r="F14" s="2"/>
    </row>
    <row r="15" spans="1:9" ht="13.5" thickBot="1"/>
    <row r="16" spans="1:9">
      <c r="A16" s="3"/>
      <c r="B16" s="3" t="s">
        <v>25</v>
      </c>
      <c r="C16" s="3" t="s">
        <v>13</v>
      </c>
      <c r="D16" s="3" t="s">
        <v>26</v>
      </c>
      <c r="E16" s="3" t="s">
        <v>27</v>
      </c>
      <c r="F16" s="3" t="s">
        <v>28</v>
      </c>
      <c r="G16" s="3" t="s">
        <v>29</v>
      </c>
      <c r="H16" s="3" t="s">
        <v>30</v>
      </c>
      <c r="I16" s="3" t="s">
        <v>31</v>
      </c>
    </row>
    <row r="17" spans="1:9">
      <c r="A17" s="1" t="s">
        <v>19</v>
      </c>
      <c r="B17" s="5">
        <v>6.2215148271942589E-4</v>
      </c>
      <c r="C17" s="5">
        <v>1.6008726471773884E-3</v>
      </c>
      <c r="D17" s="5">
        <v>0.38863271467370319</v>
      </c>
      <c r="E17" s="5">
        <v>0.69902155413275557</v>
      </c>
      <c r="F17" s="5">
        <v>-2.5847817663548663E-3</v>
      </c>
      <c r="G17" s="5">
        <v>3.8290847317937176E-3</v>
      </c>
      <c r="H17" s="5">
        <v>-2.5847817663548663E-3</v>
      </c>
      <c r="I17" s="5">
        <v>3.8290847317937176E-3</v>
      </c>
    </row>
    <row r="18" spans="1:9">
      <c r="A18" s="1" t="s">
        <v>0</v>
      </c>
      <c r="B18" s="5">
        <v>1.0024096779811771</v>
      </c>
      <c r="C18" s="5">
        <v>3.4008353673393617E-2</v>
      </c>
      <c r="D18" s="5">
        <v>29.475395592742579</v>
      </c>
      <c r="E18" s="5">
        <v>8.6881963896539087E-36</v>
      </c>
      <c r="F18" s="5">
        <v>0.93428275961963236</v>
      </c>
      <c r="G18" s="5">
        <v>1.0705365963427218</v>
      </c>
      <c r="H18" s="5">
        <v>0.93428275961963236</v>
      </c>
      <c r="I18" s="5">
        <v>1.0705365963427218</v>
      </c>
    </row>
    <row r="19" spans="1:9">
      <c r="A19" s="1" t="s">
        <v>1</v>
      </c>
      <c r="B19" s="5">
        <v>0.26927906742114699</v>
      </c>
      <c r="C19" s="5">
        <v>7.4183058721917813E-2</v>
      </c>
      <c r="D19" s="5">
        <v>3.6299267253263978</v>
      </c>
      <c r="E19" s="5">
        <v>6.1503654710965284E-4</v>
      </c>
      <c r="F19" s="5">
        <v>0.12067254462696508</v>
      </c>
      <c r="G19" s="5">
        <v>0.41788559021532889</v>
      </c>
      <c r="H19" s="5">
        <v>0.12067254462696508</v>
      </c>
      <c r="I19" s="5">
        <v>0.41788559021532889</v>
      </c>
    </row>
    <row r="20" spans="1:9" ht="13.5" thickBot="1">
      <c r="A20" s="2" t="s">
        <v>2</v>
      </c>
      <c r="B20" s="761">
        <v>-5.4790651121461469E-2</v>
      </c>
      <c r="C20" s="761">
        <v>6.1365795287877355E-2</v>
      </c>
      <c r="D20" s="761">
        <v>-0.89285327215966537</v>
      </c>
      <c r="E20" s="761">
        <v>0.375756635709527</v>
      </c>
      <c r="F20" s="761">
        <v>-0.17772111008805405</v>
      </c>
      <c r="G20" s="761">
        <v>6.8139807845131128E-2</v>
      </c>
      <c r="H20" s="761">
        <v>-0.17772111008805405</v>
      </c>
      <c r="I20" s="761">
        <v>6.8139807845131128E-2</v>
      </c>
    </row>
  </sheetData>
  <phoneticPr fontId="53" type="noConversion"/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>
  <dimension ref="A1:I20"/>
  <sheetViews>
    <sheetView workbookViewId="0"/>
  </sheetViews>
  <sheetFormatPr defaultRowHeight="12.75"/>
  <cols>
    <col min="1" max="1" width="18.7109375" bestFit="1" customWidth="1"/>
    <col min="3" max="4" width="9.28515625" bestFit="1" customWidth="1"/>
    <col min="5" max="5" width="9.5703125" bestFit="1" customWidth="1"/>
  </cols>
  <sheetData>
    <row r="1" spans="1:9">
      <c r="A1" t="s">
        <v>8</v>
      </c>
    </row>
    <row r="2" spans="1:9" ht="13.5" thickBot="1"/>
    <row r="3" spans="1:9">
      <c r="A3" s="4" t="s">
        <v>9</v>
      </c>
      <c r="B3" s="4"/>
    </row>
    <row r="4" spans="1:9">
      <c r="A4" s="1" t="s">
        <v>10</v>
      </c>
      <c r="B4" s="5">
        <v>0.97260113327883346</v>
      </c>
    </row>
    <row r="5" spans="1:9">
      <c r="A5" s="1" t="s">
        <v>11</v>
      </c>
      <c r="B5" s="5">
        <v>0.94595296445527111</v>
      </c>
    </row>
    <row r="6" spans="1:9">
      <c r="A6" s="1" t="s">
        <v>12</v>
      </c>
      <c r="B6" s="5">
        <v>0.94305758755108915</v>
      </c>
    </row>
    <row r="7" spans="1:9">
      <c r="A7" s="1" t="s">
        <v>13</v>
      </c>
      <c r="B7" s="5">
        <v>1.4052874032783026E-2</v>
      </c>
    </row>
    <row r="8" spans="1:9" ht="13.5" thickBot="1">
      <c r="A8" s="2" t="s">
        <v>14</v>
      </c>
      <c r="B8" s="2">
        <v>60</v>
      </c>
    </row>
    <row r="10" spans="1:9" ht="13.5" thickBot="1">
      <c r="A10" t="s">
        <v>15</v>
      </c>
    </row>
    <row r="11" spans="1:9">
      <c r="A11" s="3"/>
      <c r="B11" s="3" t="s">
        <v>20</v>
      </c>
      <c r="C11" s="3" t="s">
        <v>21</v>
      </c>
      <c r="D11" s="3" t="s">
        <v>22</v>
      </c>
      <c r="E11" s="3" t="s">
        <v>23</v>
      </c>
      <c r="F11" s="3" t="s">
        <v>24</v>
      </c>
    </row>
    <row r="12" spans="1:9">
      <c r="A12" s="1" t="s">
        <v>16</v>
      </c>
      <c r="B12" s="1">
        <v>3</v>
      </c>
      <c r="C12" s="5">
        <v>0.19356017146674387</v>
      </c>
      <c r="D12" s="5">
        <v>6.452005715558129E-2</v>
      </c>
      <c r="E12" s="5">
        <v>326.7115114059917</v>
      </c>
      <c r="F12" s="1">
        <v>1.9397990885480421E-35</v>
      </c>
    </row>
    <row r="13" spans="1:9">
      <c r="A13" s="1" t="s">
        <v>17</v>
      </c>
      <c r="B13" s="1">
        <v>56</v>
      </c>
      <c r="C13" s="5">
        <v>1.1059063040550978E-2</v>
      </c>
      <c r="D13" s="5">
        <v>1.9748326858126748E-4</v>
      </c>
      <c r="E13" s="5"/>
      <c r="F13" s="1"/>
    </row>
    <row r="14" spans="1:9" ht="13.5" thickBot="1">
      <c r="A14" s="2" t="s">
        <v>18</v>
      </c>
      <c r="B14" s="2">
        <v>59</v>
      </c>
      <c r="C14" s="761">
        <v>0.20461923450729486</v>
      </c>
      <c r="D14" s="761"/>
      <c r="E14" s="761"/>
      <c r="F14" s="2"/>
    </row>
    <row r="15" spans="1:9" ht="13.5" thickBot="1"/>
    <row r="16" spans="1:9">
      <c r="A16" s="3"/>
      <c r="B16" s="3" t="s">
        <v>25</v>
      </c>
      <c r="C16" s="3" t="s">
        <v>13</v>
      </c>
      <c r="D16" s="3" t="s">
        <v>26</v>
      </c>
      <c r="E16" s="3" t="s">
        <v>27</v>
      </c>
      <c r="F16" s="3" t="s">
        <v>28</v>
      </c>
      <c r="G16" s="3" t="s">
        <v>29</v>
      </c>
      <c r="H16" s="3" t="s">
        <v>30</v>
      </c>
      <c r="I16" s="3" t="s">
        <v>31</v>
      </c>
    </row>
    <row r="17" spans="1:9">
      <c r="A17" s="1" t="s">
        <v>19</v>
      </c>
      <c r="B17" s="5">
        <v>-5.2883194646060651E-4</v>
      </c>
      <c r="C17" s="5">
        <v>1.8413440134742159E-3</v>
      </c>
      <c r="D17" s="5">
        <v>-0.28719888439684643</v>
      </c>
      <c r="E17" s="5">
        <v>0.77502010224922735</v>
      </c>
      <c r="F17" s="5">
        <v>-4.2174872246965138E-3</v>
      </c>
      <c r="G17" s="5">
        <v>3.1598233317753012E-3</v>
      </c>
      <c r="H17" s="5">
        <v>-4.2174872246965138E-3</v>
      </c>
      <c r="I17" s="5">
        <v>3.1598233317753012E-3</v>
      </c>
    </row>
    <row r="18" spans="1:9">
      <c r="A18" s="1" t="s">
        <v>0</v>
      </c>
      <c r="B18" s="5">
        <v>0.97966856031321026</v>
      </c>
      <c r="C18" s="5">
        <v>3.9116839528134134E-2</v>
      </c>
      <c r="D18" s="5">
        <v>25.044675698009804</v>
      </c>
      <c r="E18" s="5">
        <v>4.2179269646553241E-32</v>
      </c>
      <c r="F18" s="5">
        <v>0.9013081151505935</v>
      </c>
      <c r="G18" s="5">
        <v>1.058029005475827</v>
      </c>
      <c r="H18" s="5">
        <v>0.9013081151505935</v>
      </c>
      <c r="I18" s="5">
        <v>1.058029005475827</v>
      </c>
    </row>
    <row r="19" spans="1:9">
      <c r="A19" s="1" t="s">
        <v>1</v>
      </c>
      <c r="B19" s="5">
        <v>0.62095286162572183</v>
      </c>
      <c r="C19" s="5">
        <v>8.5326294580429354E-2</v>
      </c>
      <c r="D19" s="5">
        <v>7.2773916256307825</v>
      </c>
      <c r="E19" s="5">
        <v>1.2042235324547369E-9</v>
      </c>
      <c r="F19" s="5">
        <v>0.45002375518321192</v>
      </c>
      <c r="G19" s="5">
        <v>0.79188196806823175</v>
      </c>
      <c r="H19" s="5">
        <v>0.45002375518321192</v>
      </c>
      <c r="I19" s="5">
        <v>0.79188196806823175</v>
      </c>
    </row>
    <row r="20" spans="1:9" ht="13.5" thickBot="1">
      <c r="A20" s="2" t="s">
        <v>2</v>
      </c>
      <c r="B20" s="761">
        <v>-0.22366313097197044</v>
      </c>
      <c r="C20" s="761">
        <v>7.0583715690718821E-2</v>
      </c>
      <c r="D20" s="761">
        <v>-3.1687639108149175</v>
      </c>
      <c r="E20" s="761">
        <v>2.4806046283788186E-3</v>
      </c>
      <c r="F20" s="761">
        <v>-0.36505930329765757</v>
      </c>
      <c r="G20" s="761">
        <v>-8.2266958646283278E-2</v>
      </c>
      <c r="H20" s="761">
        <v>-0.36505930329765757</v>
      </c>
      <c r="I20" s="761">
        <v>-8.2266958646283278E-2</v>
      </c>
    </row>
  </sheetData>
  <phoneticPr fontId="53" type="noConversion"/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>
  <dimension ref="B1:L73"/>
  <sheetViews>
    <sheetView workbookViewId="0"/>
  </sheetViews>
  <sheetFormatPr defaultRowHeight="15"/>
  <cols>
    <col min="1" max="1" width="9.140625" style="439"/>
    <col min="2" max="2" width="3.140625" style="439" customWidth="1"/>
    <col min="3" max="3" width="31.85546875" style="439" customWidth="1"/>
    <col min="4" max="4" width="23.42578125" style="440" bestFit="1" customWidth="1"/>
    <col min="5" max="6" width="11.7109375" style="439" customWidth="1"/>
    <col min="7" max="7" width="14.85546875" style="439" customWidth="1"/>
    <col min="8" max="9" width="10.140625" style="439" customWidth="1"/>
    <col min="10" max="11" width="9.140625" style="439"/>
    <col min="12" max="12" width="3.140625" style="439" customWidth="1"/>
    <col min="13" max="16384" width="9.140625" style="439"/>
  </cols>
  <sheetData>
    <row r="1" spans="2:8" ht="18">
      <c r="C1" s="777" t="s">
        <v>831</v>
      </c>
      <c r="D1" s="777"/>
      <c r="E1" s="777"/>
      <c r="F1" s="596"/>
      <c r="G1" s="596"/>
      <c r="H1" s="596"/>
    </row>
    <row r="2" spans="2:8" ht="18">
      <c r="C2" s="777" t="s">
        <v>789</v>
      </c>
      <c r="D2" s="777"/>
      <c r="E2" s="777"/>
      <c r="F2" s="596"/>
      <c r="G2" s="596"/>
      <c r="H2" s="528"/>
    </row>
    <row r="4" spans="2:8">
      <c r="C4" s="441" t="s">
        <v>34</v>
      </c>
      <c r="E4" s="440"/>
      <c r="F4" s="440"/>
    </row>
    <row r="5" spans="2:8" ht="15.75" thickBot="1">
      <c r="C5" s="443"/>
      <c r="D5" s="530"/>
      <c r="E5" s="440"/>
      <c r="F5" s="440"/>
    </row>
    <row r="6" spans="2:8">
      <c r="B6" s="445"/>
      <c r="C6" s="446"/>
      <c r="D6" s="532"/>
      <c r="E6" s="448"/>
      <c r="F6" s="533"/>
    </row>
    <row r="7" spans="2:8">
      <c r="B7" s="449"/>
      <c r="C7" s="450" t="s">
        <v>833</v>
      </c>
      <c r="D7" s="597">
        <v>600</v>
      </c>
      <c r="E7" s="452"/>
      <c r="F7" s="533"/>
    </row>
    <row r="8" spans="2:8">
      <c r="B8" s="449"/>
      <c r="C8" s="450" t="s">
        <v>835</v>
      </c>
      <c r="D8" s="601">
        <v>94.367000000000004</v>
      </c>
      <c r="E8" s="452"/>
      <c r="F8" s="533"/>
    </row>
    <row r="9" spans="2:8">
      <c r="B9" s="449"/>
      <c r="C9" s="450" t="s">
        <v>834</v>
      </c>
      <c r="D9" s="632">
        <v>6.2210000000000001E-2</v>
      </c>
      <c r="E9" s="452"/>
      <c r="F9" s="533"/>
    </row>
    <row r="10" spans="2:8">
      <c r="B10" s="449"/>
      <c r="C10" s="450" t="s">
        <v>836</v>
      </c>
      <c r="D10" s="597">
        <v>500</v>
      </c>
      <c r="E10" s="452"/>
      <c r="F10" s="533"/>
    </row>
    <row r="11" spans="2:8">
      <c r="B11" s="449"/>
      <c r="C11" s="450" t="s">
        <v>837</v>
      </c>
      <c r="D11" s="601">
        <v>92.105999999999995</v>
      </c>
      <c r="E11" s="452"/>
      <c r="F11" s="533"/>
    </row>
    <row r="12" spans="2:8">
      <c r="B12" s="449"/>
      <c r="C12" s="450" t="s">
        <v>838</v>
      </c>
      <c r="D12" s="632">
        <v>6.8110000000000004E-2</v>
      </c>
      <c r="E12" s="452"/>
      <c r="F12" s="533"/>
    </row>
    <row r="13" spans="2:8">
      <c r="B13" s="449"/>
      <c r="C13" s="450" t="s">
        <v>839</v>
      </c>
      <c r="D13" s="597">
        <v>300</v>
      </c>
      <c r="E13" s="452"/>
      <c r="F13" s="533"/>
    </row>
    <row r="14" spans="2:8">
      <c r="B14" s="449"/>
      <c r="C14" s="450" t="s">
        <v>840</v>
      </c>
      <c r="D14" s="601">
        <v>91.671999999999997</v>
      </c>
      <c r="E14" s="452"/>
      <c r="F14" s="533"/>
    </row>
    <row r="15" spans="2:8">
      <c r="B15" s="449"/>
      <c r="C15" s="450" t="s">
        <v>841</v>
      </c>
      <c r="D15" s="632">
        <v>7.9490000000000005E-2</v>
      </c>
      <c r="E15" s="452"/>
      <c r="F15" s="533"/>
    </row>
    <row r="16" spans="2:8">
      <c r="B16" s="449"/>
      <c r="C16" s="450" t="s">
        <v>842</v>
      </c>
      <c r="D16" s="597">
        <v>400</v>
      </c>
      <c r="E16" s="452"/>
      <c r="F16" s="533"/>
    </row>
    <row r="17" spans="2:6">
      <c r="B17" s="449"/>
      <c r="C17" s="450" t="s">
        <v>843</v>
      </c>
      <c r="D17" s="601">
        <v>80.724999999999994</v>
      </c>
      <c r="E17" s="452"/>
      <c r="F17" s="533"/>
    </row>
    <row r="18" spans="2:6">
      <c r="B18" s="449"/>
      <c r="C18" s="450" t="s">
        <v>844</v>
      </c>
      <c r="D18" s="632">
        <v>8.2540000000000002E-2</v>
      </c>
      <c r="E18" s="452"/>
      <c r="F18" s="533"/>
    </row>
    <row r="19" spans="2:6">
      <c r="B19" s="449"/>
      <c r="C19" s="450" t="s">
        <v>790</v>
      </c>
      <c r="D19" s="597">
        <v>1851</v>
      </c>
      <c r="E19" s="452"/>
      <c r="F19" s="533"/>
    </row>
    <row r="20" spans="2:6">
      <c r="B20" s="449"/>
      <c r="C20" s="450" t="s">
        <v>847</v>
      </c>
      <c r="D20" s="598">
        <v>2.1389999999999998</v>
      </c>
      <c r="E20" s="452"/>
      <c r="F20" s="533"/>
    </row>
    <row r="21" spans="2:6">
      <c r="B21" s="449"/>
      <c r="C21" s="450" t="s">
        <v>121</v>
      </c>
      <c r="D21" s="599">
        <v>11.2</v>
      </c>
      <c r="E21" s="452"/>
      <c r="F21" s="533"/>
    </row>
    <row r="22" spans="2:6">
      <c r="B22" s="449"/>
      <c r="C22" s="450" t="s">
        <v>791</v>
      </c>
      <c r="D22" s="600">
        <v>1.94</v>
      </c>
      <c r="E22" s="452"/>
      <c r="F22" s="533"/>
    </row>
    <row r="23" spans="2:6">
      <c r="B23" s="449"/>
      <c r="C23" s="450" t="s">
        <v>792</v>
      </c>
      <c r="D23" s="601">
        <v>1.41</v>
      </c>
      <c r="E23" s="452"/>
      <c r="F23" s="533"/>
    </row>
    <row r="24" spans="2:6">
      <c r="B24" s="449"/>
      <c r="C24" s="450" t="s">
        <v>793</v>
      </c>
      <c r="D24" s="602">
        <v>1E-3</v>
      </c>
      <c r="E24" s="452"/>
      <c r="F24" s="533"/>
    </row>
    <row r="25" spans="2:6" ht="15" customHeight="1">
      <c r="B25" s="449"/>
      <c r="C25" s="450" t="s">
        <v>794</v>
      </c>
      <c r="D25" s="602">
        <v>7.0000000000000007E-2</v>
      </c>
      <c r="E25" s="452"/>
      <c r="F25" s="533"/>
    </row>
    <row r="26" spans="2:6" ht="15" customHeight="1">
      <c r="B26" s="449"/>
      <c r="C26" s="450" t="s">
        <v>795</v>
      </c>
      <c r="D26" s="603">
        <v>100.43300000000001</v>
      </c>
      <c r="E26" s="452"/>
      <c r="F26" s="533"/>
    </row>
    <row r="27" spans="2:6" ht="15" customHeight="1">
      <c r="B27" s="449"/>
      <c r="C27" s="450" t="s">
        <v>796</v>
      </c>
      <c r="D27" s="604">
        <v>5.1240000000000001E-2</v>
      </c>
      <c r="E27" s="452"/>
      <c r="F27" s="533"/>
    </row>
    <row r="28" spans="2:6" ht="15" customHeight="1">
      <c r="B28" s="449"/>
      <c r="C28" s="450" t="s">
        <v>49</v>
      </c>
      <c r="D28" s="605">
        <v>0.35</v>
      </c>
      <c r="E28" s="452"/>
      <c r="F28" s="533"/>
    </row>
    <row r="29" spans="2:6" ht="15.75" thickBot="1">
      <c r="B29" s="462"/>
      <c r="C29" s="463"/>
      <c r="D29" s="463"/>
      <c r="E29" s="465"/>
      <c r="F29" s="533"/>
    </row>
    <row r="30" spans="2:6">
      <c r="C30" s="440"/>
      <c r="E30" s="440"/>
      <c r="F30" s="440"/>
    </row>
    <row r="31" spans="2:6">
      <c r="C31" s="441" t="s">
        <v>51</v>
      </c>
      <c r="E31" s="440"/>
      <c r="F31" s="440"/>
    </row>
    <row r="32" spans="2:6" ht="15.75" thickBot="1">
      <c r="C32" s="443"/>
      <c r="E32" s="440"/>
      <c r="F32" s="440"/>
    </row>
    <row r="33" spans="2:12">
      <c r="B33" s="466"/>
      <c r="C33" s="467"/>
      <c r="D33" s="467"/>
      <c r="E33" s="467"/>
      <c r="F33" s="467"/>
      <c r="G33" s="606"/>
      <c r="H33" s="606"/>
      <c r="I33" s="606"/>
      <c r="J33" s="606"/>
      <c r="K33" s="606"/>
      <c r="L33" s="469"/>
    </row>
    <row r="34" spans="2:12" s="440" customFormat="1" ht="19.5">
      <c r="B34" s="607" t="s">
        <v>111</v>
      </c>
      <c r="C34" s="475" t="s">
        <v>797</v>
      </c>
      <c r="D34" s="608">
        <f>D24+(D23*D25)</f>
        <v>9.9700000000000011E-2</v>
      </c>
      <c r="E34" s="482"/>
      <c r="F34" s="482"/>
      <c r="G34" s="482"/>
      <c r="H34" s="482"/>
      <c r="I34" s="482"/>
      <c r="J34" s="482"/>
      <c r="K34" s="482"/>
      <c r="L34" s="546"/>
    </row>
    <row r="35" spans="2:12" s="440" customFormat="1" ht="15.75">
      <c r="B35" s="607"/>
      <c r="C35" s="475"/>
      <c r="D35" s="609"/>
      <c r="E35" s="482"/>
      <c r="F35" s="482"/>
      <c r="G35" s="482"/>
      <c r="H35" s="482"/>
      <c r="I35" s="482"/>
      <c r="J35" s="482"/>
      <c r="K35" s="482"/>
      <c r="L35" s="546"/>
    </row>
    <row r="36" spans="2:12" s="440" customFormat="1">
      <c r="B36" s="607" t="s">
        <v>140</v>
      </c>
      <c r="C36" s="610" t="s">
        <v>798</v>
      </c>
      <c r="D36" s="611" t="s">
        <v>792</v>
      </c>
      <c r="E36" s="482"/>
      <c r="F36" s="482"/>
      <c r="G36" s="482"/>
      <c r="H36" s="482"/>
      <c r="I36" s="482"/>
      <c r="J36" s="482"/>
      <c r="K36" s="482"/>
      <c r="L36" s="546"/>
    </row>
    <row r="37" spans="2:12" s="440" customFormat="1">
      <c r="B37" s="607"/>
      <c r="C37" s="475" t="s">
        <v>799</v>
      </c>
      <c r="D37" s="612">
        <v>1.87</v>
      </c>
      <c r="E37" s="482"/>
      <c r="F37" s="482"/>
      <c r="G37" s="482"/>
      <c r="H37" s="482"/>
      <c r="I37" s="482"/>
      <c r="J37" s="482"/>
      <c r="K37" s="482"/>
      <c r="L37" s="546"/>
    </row>
    <row r="38" spans="2:12" s="440" customFormat="1">
      <c r="B38" s="607"/>
      <c r="C38" s="475" t="s">
        <v>800</v>
      </c>
      <c r="D38" s="612">
        <v>1.41</v>
      </c>
      <c r="E38" s="482"/>
      <c r="F38" s="482"/>
      <c r="G38" s="482"/>
      <c r="H38" s="482"/>
      <c r="I38" s="482"/>
      <c r="J38" s="482"/>
      <c r="K38" s="482"/>
      <c r="L38" s="546"/>
    </row>
    <row r="39" spans="2:12" s="440" customFormat="1">
      <c r="B39" s="607"/>
      <c r="C39" s="475" t="s">
        <v>832</v>
      </c>
      <c r="D39" s="612">
        <v>1.19</v>
      </c>
      <c r="E39" s="482"/>
      <c r="F39" s="482"/>
      <c r="G39" s="482"/>
      <c r="H39" s="482"/>
      <c r="I39" s="482"/>
      <c r="J39" s="482"/>
      <c r="K39" s="482"/>
      <c r="L39" s="546"/>
    </row>
    <row r="40" spans="2:12" s="440" customFormat="1">
      <c r="B40" s="607"/>
      <c r="C40" s="475" t="s">
        <v>801</v>
      </c>
      <c r="D40" s="612">
        <v>1.92</v>
      </c>
      <c r="E40" s="482"/>
      <c r="F40" s="482"/>
      <c r="G40" s="482"/>
      <c r="H40" s="482"/>
      <c r="I40" s="482"/>
      <c r="J40" s="482"/>
      <c r="K40" s="482"/>
      <c r="L40" s="546"/>
    </row>
    <row r="41" spans="2:12" s="440" customFormat="1">
      <c r="B41" s="607"/>
      <c r="C41" s="475" t="s">
        <v>802</v>
      </c>
      <c r="D41" s="612">
        <v>1.18</v>
      </c>
      <c r="E41" s="482"/>
      <c r="F41" s="482"/>
      <c r="G41" s="482"/>
      <c r="H41" s="482"/>
      <c r="I41" s="482"/>
      <c r="J41" s="482"/>
      <c r="K41" s="482"/>
      <c r="L41" s="546"/>
    </row>
    <row r="42" spans="2:12" s="440" customFormat="1">
      <c r="B42" s="607"/>
      <c r="C42" s="475" t="s">
        <v>803</v>
      </c>
      <c r="D42" s="612">
        <v>1.28</v>
      </c>
      <c r="E42" s="482"/>
      <c r="F42" s="482"/>
      <c r="G42" s="482"/>
      <c r="H42" s="482"/>
      <c r="I42" s="482"/>
      <c r="J42" s="482"/>
      <c r="K42" s="482"/>
      <c r="L42" s="546"/>
    </row>
    <row r="43" spans="2:12" s="440" customFormat="1">
      <c r="B43" s="607"/>
      <c r="C43" s="475" t="s">
        <v>804</v>
      </c>
      <c r="D43" s="612">
        <v>1.4</v>
      </c>
      <c r="E43" s="482"/>
      <c r="F43" s="482"/>
      <c r="G43" s="482"/>
      <c r="H43" s="482"/>
      <c r="I43" s="482"/>
      <c r="J43" s="482"/>
      <c r="K43" s="482"/>
      <c r="L43" s="546"/>
    </row>
    <row r="44" spans="2:12" s="440" customFormat="1">
      <c r="B44" s="607"/>
      <c r="C44" s="475" t="s">
        <v>805</v>
      </c>
      <c r="D44" s="612">
        <v>2.16</v>
      </c>
      <c r="E44" s="482"/>
      <c r="F44" s="482"/>
      <c r="G44" s="482"/>
      <c r="H44" s="482"/>
      <c r="I44" s="482"/>
      <c r="J44" s="482"/>
      <c r="K44" s="482"/>
      <c r="L44" s="546"/>
    </row>
    <row r="45" spans="2:12" s="440" customFormat="1">
      <c r="B45" s="607"/>
      <c r="C45" s="475" t="s">
        <v>806</v>
      </c>
      <c r="D45" s="612">
        <v>0.62</v>
      </c>
      <c r="E45" s="482"/>
      <c r="F45" s="482"/>
      <c r="G45" s="482"/>
      <c r="H45" s="482"/>
      <c r="I45" s="482"/>
      <c r="J45" s="482"/>
      <c r="K45" s="482"/>
      <c r="L45" s="546"/>
    </row>
    <row r="46" spans="2:12" s="440" customFormat="1">
      <c r="B46" s="607"/>
      <c r="C46" s="475" t="s">
        <v>807</v>
      </c>
      <c r="D46" s="612">
        <v>1.84</v>
      </c>
      <c r="E46" s="482"/>
      <c r="F46" s="482"/>
      <c r="G46" s="482"/>
      <c r="H46" s="482"/>
      <c r="I46" s="482"/>
      <c r="J46" s="482"/>
      <c r="K46" s="482"/>
      <c r="L46" s="546"/>
    </row>
    <row r="47" spans="2:12" s="440" customFormat="1">
      <c r="B47" s="607"/>
      <c r="C47" s="475" t="s">
        <v>808</v>
      </c>
      <c r="D47" s="612">
        <v>1.62</v>
      </c>
      <c r="E47" s="482"/>
      <c r="F47" s="482"/>
      <c r="G47" s="482"/>
      <c r="H47" s="482"/>
      <c r="I47" s="482"/>
      <c r="J47" s="482"/>
      <c r="K47" s="482"/>
      <c r="L47" s="546"/>
    </row>
    <row r="48" spans="2:12" s="440" customFormat="1">
      <c r="B48" s="607"/>
      <c r="C48" s="475" t="s">
        <v>809</v>
      </c>
      <c r="D48" s="612">
        <v>0.62</v>
      </c>
      <c r="E48" s="482"/>
      <c r="F48" s="482"/>
      <c r="G48" s="482"/>
      <c r="H48" s="482"/>
      <c r="I48" s="482"/>
      <c r="J48" s="482"/>
      <c r="K48" s="482"/>
      <c r="L48" s="546"/>
    </row>
    <row r="49" spans="2:12" s="440" customFormat="1">
      <c r="B49" s="547"/>
      <c r="C49" s="475" t="s">
        <v>810</v>
      </c>
      <c r="D49" s="612">
        <v>1.89</v>
      </c>
      <c r="E49" s="482"/>
      <c r="F49" s="482"/>
      <c r="G49" s="482"/>
      <c r="H49" s="482"/>
      <c r="I49" s="482"/>
      <c r="J49" s="482"/>
      <c r="K49" s="482"/>
      <c r="L49" s="546"/>
    </row>
    <row r="50" spans="2:12" s="440" customFormat="1">
      <c r="B50" s="547"/>
      <c r="C50" s="475" t="s">
        <v>811</v>
      </c>
      <c r="D50" s="612">
        <v>1.28</v>
      </c>
      <c r="E50" s="482"/>
      <c r="F50" s="482"/>
      <c r="G50" s="482"/>
      <c r="H50" s="482"/>
      <c r="I50" s="482"/>
      <c r="J50" s="482"/>
      <c r="K50" s="482"/>
      <c r="L50" s="546"/>
    </row>
    <row r="51" spans="2:12" s="440" customFormat="1">
      <c r="B51" s="547"/>
      <c r="C51" s="475" t="s">
        <v>812</v>
      </c>
      <c r="D51" s="612">
        <v>1.87</v>
      </c>
      <c r="E51" s="482"/>
      <c r="F51" s="482"/>
      <c r="G51" s="482"/>
      <c r="H51" s="482"/>
      <c r="I51" s="482"/>
      <c r="J51" s="482"/>
      <c r="K51" s="482"/>
      <c r="L51" s="546"/>
    </row>
    <row r="52" spans="2:12" s="440" customFormat="1" ht="15.75">
      <c r="B52" s="547"/>
      <c r="C52" s="487" t="s">
        <v>813</v>
      </c>
      <c r="D52" s="613">
        <f>AVERAGE(D37:D51)</f>
        <v>1.4766666666666668</v>
      </c>
      <c r="E52" s="482"/>
      <c r="F52" s="482"/>
      <c r="G52" s="482"/>
      <c r="H52" s="482"/>
      <c r="I52" s="482"/>
      <c r="J52" s="482"/>
      <c r="K52" s="482"/>
      <c r="L52" s="546"/>
    </row>
    <row r="53" spans="2:12" s="440" customFormat="1" ht="15.75">
      <c r="B53" s="547"/>
      <c r="C53" s="475"/>
      <c r="D53" s="609"/>
      <c r="E53" s="482"/>
      <c r="F53" s="482"/>
      <c r="G53" s="482"/>
      <c r="H53" s="482"/>
      <c r="I53" s="482"/>
      <c r="J53" s="482"/>
      <c r="K53" s="482"/>
      <c r="L53" s="546"/>
    </row>
    <row r="54" spans="2:12" s="440" customFormat="1" ht="19.5">
      <c r="B54" s="547"/>
      <c r="C54" s="475" t="s">
        <v>814</v>
      </c>
      <c r="D54" s="608">
        <f>D24+D52*D25</f>
        <v>0.10436666666666669</v>
      </c>
      <c r="E54" s="482"/>
      <c r="F54" s="482"/>
      <c r="G54" s="482"/>
      <c r="H54" s="482"/>
      <c r="I54" s="482"/>
      <c r="J54" s="482"/>
      <c r="K54" s="482"/>
      <c r="L54" s="546"/>
    </row>
    <row r="55" spans="2:12" s="440" customFormat="1" ht="15.75">
      <c r="B55" s="547"/>
      <c r="C55" s="475"/>
      <c r="D55" s="614"/>
      <c r="E55" s="482"/>
      <c r="F55" s="482"/>
      <c r="G55" s="482"/>
      <c r="H55" s="482"/>
      <c r="I55" s="482"/>
      <c r="J55" s="482"/>
      <c r="K55" s="482"/>
      <c r="L55" s="546"/>
    </row>
    <row r="56" spans="2:12" s="440" customFormat="1" ht="38.25" customHeight="1">
      <c r="B56" s="607" t="s">
        <v>250</v>
      </c>
      <c r="C56" s="475"/>
      <c r="D56" s="615" t="s">
        <v>815</v>
      </c>
      <c r="E56" s="616" t="s">
        <v>816</v>
      </c>
      <c r="F56" s="616" t="s">
        <v>817</v>
      </c>
      <c r="G56" s="616" t="s">
        <v>818</v>
      </c>
      <c r="H56" s="616" t="s">
        <v>816</v>
      </c>
      <c r="I56" s="616" t="s">
        <v>819</v>
      </c>
      <c r="J56" s="616" t="s">
        <v>820</v>
      </c>
      <c r="K56" s="616" t="s">
        <v>821</v>
      </c>
      <c r="L56" s="617"/>
    </row>
    <row r="57" spans="2:12" s="440" customFormat="1" ht="15.75" customHeight="1">
      <c r="B57" s="607"/>
      <c r="C57" s="475" t="s">
        <v>822</v>
      </c>
      <c r="D57" s="633">
        <f>D7</f>
        <v>600</v>
      </c>
      <c r="E57" s="619">
        <f>D57/$D$61</f>
        <v>0.33333333333333331</v>
      </c>
      <c r="F57" s="637">
        <f>D8</f>
        <v>94.367000000000004</v>
      </c>
      <c r="G57" s="638">
        <f>D57*F57/100</f>
        <v>566.202</v>
      </c>
      <c r="H57" s="619">
        <f>G57/$G$61</f>
        <v>0.34850749208443921</v>
      </c>
      <c r="I57" s="641">
        <f>D9</f>
        <v>6.2210000000000001E-2</v>
      </c>
      <c r="J57" s="644">
        <f>E57*I57</f>
        <v>2.0736666666666667E-2</v>
      </c>
      <c r="K57" s="644">
        <f>H57*I57</f>
        <v>2.1680651082572965E-2</v>
      </c>
      <c r="L57" s="617"/>
    </row>
    <row r="58" spans="2:12" s="440" customFormat="1" ht="15.75" customHeight="1">
      <c r="B58" s="607"/>
      <c r="C58" s="475" t="s">
        <v>823</v>
      </c>
      <c r="D58" s="634">
        <f>D10</f>
        <v>500</v>
      </c>
      <c r="E58" s="619">
        <f>D58/$D$61</f>
        <v>0.27777777777777779</v>
      </c>
      <c r="F58" s="637">
        <f>D11</f>
        <v>92.105999999999995</v>
      </c>
      <c r="G58" s="639">
        <f>D58*F58/100</f>
        <v>460.53</v>
      </c>
      <c r="H58" s="619">
        <f>G58/$G$61</f>
        <v>0.28346447969036981</v>
      </c>
      <c r="I58" s="641">
        <f>D12</f>
        <v>6.8110000000000004E-2</v>
      </c>
      <c r="J58" s="644">
        <f>E58*I58</f>
        <v>1.8919444444444447E-2</v>
      </c>
      <c r="K58" s="644">
        <f>H58*I58</f>
        <v>1.9306765711711089E-2</v>
      </c>
      <c r="L58" s="617"/>
    </row>
    <row r="59" spans="2:12" s="440" customFormat="1" ht="15.75" customHeight="1">
      <c r="B59" s="607"/>
      <c r="C59" s="475" t="s">
        <v>845</v>
      </c>
      <c r="D59" s="634">
        <f>D13</f>
        <v>300</v>
      </c>
      <c r="E59" s="619">
        <f>D59/$D$61</f>
        <v>0.16666666666666666</v>
      </c>
      <c r="F59" s="637">
        <f>D14</f>
        <v>91.671999999999997</v>
      </c>
      <c r="G59" s="639">
        <f>D59*F59/100</f>
        <v>275.01599999999996</v>
      </c>
      <c r="H59" s="619">
        <f>G59/$G$61</f>
        <v>0.16927728344847617</v>
      </c>
      <c r="I59" s="641">
        <f>D15</f>
        <v>7.9490000000000005E-2</v>
      </c>
      <c r="J59" s="644">
        <f>E59*I59</f>
        <v>1.3248333333333334E-2</v>
      </c>
      <c r="K59" s="644">
        <f>H59*I59</f>
        <v>1.3455851261319372E-2</v>
      </c>
      <c r="L59" s="617"/>
    </row>
    <row r="60" spans="2:12" s="440" customFormat="1">
      <c r="B60" s="547"/>
      <c r="C60" s="475" t="s">
        <v>846</v>
      </c>
      <c r="D60" s="635">
        <f>D16</f>
        <v>400</v>
      </c>
      <c r="E60" s="621">
        <f>D60/$D$61</f>
        <v>0.22222222222222221</v>
      </c>
      <c r="F60" s="622">
        <f>D17</f>
        <v>80.724999999999994</v>
      </c>
      <c r="G60" s="640">
        <f>D60*F60/100</f>
        <v>322.89999999999998</v>
      </c>
      <c r="H60" s="619">
        <f>G60/$G$61</f>
        <v>0.19875074477671467</v>
      </c>
      <c r="I60" s="642">
        <f>D18</f>
        <v>8.2540000000000002E-2</v>
      </c>
      <c r="J60" s="643">
        <f>I60*E60</f>
        <v>1.8342222222222222E-2</v>
      </c>
      <c r="K60" s="645">
        <f>I60*H60</f>
        <v>1.640488647387003E-2</v>
      </c>
      <c r="L60" s="546"/>
    </row>
    <row r="61" spans="2:12" s="440" customFormat="1">
      <c r="B61" s="547"/>
      <c r="C61" s="475" t="s">
        <v>18</v>
      </c>
      <c r="D61" s="618">
        <f>SUM(D57:D60)</f>
        <v>1800</v>
      </c>
      <c r="E61" s="636">
        <f>SUM(E57:E60)</f>
        <v>1</v>
      </c>
      <c r="F61" s="619"/>
      <c r="G61" s="636">
        <f>SUM(G57:G60)</f>
        <v>1624.6480000000001</v>
      </c>
      <c r="H61" s="623">
        <f>SUM(H57:H60)</f>
        <v>0.99999999999999978</v>
      </c>
      <c r="I61" s="624"/>
      <c r="J61" s="625">
        <f>SUM(J57:J60)</f>
        <v>7.1246666666666666E-2</v>
      </c>
      <c r="K61" s="620">
        <f>SUM(K57:K60)</f>
        <v>7.0848154529473462E-2</v>
      </c>
      <c r="L61" s="546"/>
    </row>
    <row r="62" spans="2:12" s="440" customFormat="1" ht="15.75">
      <c r="B62" s="547"/>
      <c r="C62" s="475"/>
      <c r="D62" s="609"/>
      <c r="E62" s="482"/>
      <c r="F62" s="482"/>
      <c r="G62" s="482"/>
      <c r="H62" s="482"/>
      <c r="I62" s="482"/>
      <c r="J62" s="482"/>
      <c r="K62" s="482"/>
      <c r="L62" s="546"/>
    </row>
    <row r="63" spans="2:12" s="440" customFormat="1">
      <c r="B63" s="607" t="s">
        <v>276</v>
      </c>
      <c r="C63" s="475" t="s">
        <v>824</v>
      </c>
      <c r="D63" s="626">
        <f>D22*D20</f>
        <v>4.1496599999999999</v>
      </c>
      <c r="E63" s="482" t="s">
        <v>825</v>
      </c>
      <c r="F63" s="482"/>
      <c r="G63" s="482"/>
      <c r="H63" s="482"/>
      <c r="I63" s="482"/>
      <c r="J63" s="482"/>
      <c r="K63" s="482"/>
      <c r="L63" s="546"/>
    </row>
    <row r="64" spans="2:12" s="440" customFormat="1">
      <c r="B64" s="547"/>
      <c r="C64" s="475" t="s">
        <v>826</v>
      </c>
      <c r="D64" s="626">
        <f>D21*D22</f>
        <v>21.727999999999998</v>
      </c>
      <c r="E64" s="482" t="s">
        <v>825</v>
      </c>
      <c r="F64" s="482"/>
      <c r="G64" s="482"/>
      <c r="H64" s="482"/>
      <c r="I64" s="482"/>
      <c r="J64" s="482"/>
      <c r="K64" s="482"/>
      <c r="L64" s="546"/>
    </row>
    <row r="65" spans="2:12" s="440" customFormat="1">
      <c r="B65" s="547"/>
      <c r="C65" s="475" t="s">
        <v>827</v>
      </c>
      <c r="D65" s="627">
        <f>D63+D61/1000</f>
        <v>5.9496599999999997</v>
      </c>
      <c r="E65" s="482" t="s">
        <v>828</v>
      </c>
      <c r="F65" s="482"/>
      <c r="G65" s="482"/>
      <c r="H65" s="482"/>
      <c r="I65" s="482"/>
      <c r="J65" s="482"/>
      <c r="K65" s="482"/>
      <c r="L65" s="546"/>
    </row>
    <row r="66" spans="2:12" s="440" customFormat="1">
      <c r="B66" s="547"/>
      <c r="C66" s="475" t="s">
        <v>710</v>
      </c>
      <c r="D66" s="628">
        <f>D64+G61/1000</f>
        <v>23.352647999999999</v>
      </c>
      <c r="E66" s="482" t="s">
        <v>828</v>
      </c>
      <c r="F66" s="482"/>
      <c r="G66" s="482"/>
      <c r="H66" s="482"/>
      <c r="I66" s="482"/>
      <c r="J66" s="482"/>
      <c r="K66" s="482"/>
      <c r="L66" s="546"/>
    </row>
    <row r="67" spans="2:12" s="440" customFormat="1" ht="15.75">
      <c r="B67" s="547"/>
      <c r="C67" s="475"/>
      <c r="D67" s="609"/>
      <c r="E67" s="482"/>
      <c r="F67" s="482"/>
      <c r="G67" s="482"/>
      <c r="H67" s="482"/>
      <c r="I67" s="482"/>
      <c r="J67" s="482"/>
      <c r="K67" s="482"/>
      <c r="L67" s="546"/>
    </row>
    <row r="68" spans="2:12" s="440" customFormat="1" ht="15.75">
      <c r="B68" s="547"/>
      <c r="C68" s="475" t="s">
        <v>829</v>
      </c>
      <c r="D68" s="608">
        <f>(D34*(D63/D65))+((J61*(D65/D63)/D65)*(1-D28))</f>
        <v>8.0696962639929412E-2</v>
      </c>
      <c r="E68" s="482"/>
      <c r="F68" s="482"/>
      <c r="G68" s="482"/>
      <c r="H68" s="482"/>
      <c r="I68" s="482"/>
      <c r="J68" s="482"/>
      <c r="K68" s="482"/>
      <c r="L68" s="546"/>
    </row>
    <row r="69" spans="2:12" s="440" customFormat="1" ht="15.75">
      <c r="B69" s="547"/>
      <c r="C69" s="475"/>
      <c r="D69" s="609"/>
      <c r="E69" s="482"/>
      <c r="F69" s="482"/>
      <c r="G69" s="482"/>
      <c r="H69" s="482"/>
      <c r="I69" s="482"/>
      <c r="J69" s="482"/>
      <c r="K69" s="482"/>
      <c r="L69" s="546"/>
    </row>
    <row r="70" spans="2:12" s="440" customFormat="1" ht="15.75">
      <c r="B70" s="547"/>
      <c r="C70" s="482" t="s">
        <v>830</v>
      </c>
      <c r="D70" s="608">
        <f>(D34*(D64/D66))+((K61*((D66-D64)/D66))*(1-D28))</f>
        <v>9.5967650142459227E-2</v>
      </c>
      <c r="E70" s="629"/>
      <c r="F70" s="629"/>
      <c r="G70" s="482"/>
      <c r="H70" s="482"/>
      <c r="I70" s="482"/>
      <c r="J70" s="482"/>
      <c r="K70" s="482"/>
      <c r="L70" s="546"/>
    </row>
    <row r="71" spans="2:12" ht="15.75" thickBot="1">
      <c r="B71" s="491"/>
      <c r="C71" s="630"/>
      <c r="D71" s="492"/>
      <c r="E71" s="630"/>
      <c r="F71" s="630"/>
      <c r="G71" s="630"/>
      <c r="H71" s="630"/>
      <c r="I71" s="630"/>
      <c r="J71" s="630"/>
      <c r="K71" s="630"/>
      <c r="L71" s="494"/>
    </row>
    <row r="72" spans="2:12">
      <c r="B72" s="631"/>
      <c r="C72" s="631"/>
      <c r="D72" s="533"/>
      <c r="E72" s="631"/>
      <c r="F72" s="631"/>
    </row>
    <row r="73" spans="2:12">
      <c r="B73" s="631"/>
      <c r="C73" s="631"/>
      <c r="D73" s="533"/>
      <c r="E73" s="631"/>
      <c r="F73" s="631"/>
    </row>
  </sheetData>
  <mergeCells count="2">
    <mergeCell ref="C1:E1"/>
    <mergeCell ref="C2:E2"/>
  </mergeCells>
  <phoneticPr fontId="53" type="noConversion"/>
  <pageMargins left="0.75" right="0.75" top="1" bottom="1" header="0.5" footer="0.5"/>
  <pageSetup orientation="portrait" horizontalDpi="300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>
  <dimension ref="B1:J67"/>
  <sheetViews>
    <sheetView zoomScaleNormal="100" workbookViewId="0"/>
  </sheetViews>
  <sheetFormatPr defaultRowHeight="12.75"/>
  <cols>
    <col min="2" max="3" width="3.140625" customWidth="1"/>
    <col min="4" max="4" width="37.7109375" customWidth="1"/>
    <col min="5" max="5" width="19.42578125" bestFit="1" customWidth="1"/>
    <col min="6" max="6" width="5.5703125" customWidth="1"/>
    <col min="7" max="7" width="21.7109375" customWidth="1"/>
    <col min="8" max="8" width="20.140625" bestFit="1" customWidth="1"/>
    <col min="9" max="9" width="3.140625" customWidth="1"/>
  </cols>
  <sheetData>
    <row r="1" spans="2:9" ht="18">
      <c r="D1" s="8" t="s">
        <v>849</v>
      </c>
    </row>
    <row r="2" spans="2:9" ht="18">
      <c r="D2" s="772" t="s">
        <v>689</v>
      </c>
      <c r="E2" s="772"/>
      <c r="F2" s="772"/>
      <c r="G2" s="772"/>
    </row>
    <row r="3" spans="2:9" ht="15.75" customHeight="1"/>
    <row r="4" spans="2:9" ht="15.75" customHeight="1">
      <c r="D4" s="9" t="s">
        <v>34</v>
      </c>
    </row>
    <row r="5" spans="2:9" ht="15.75" customHeight="1" thickBot="1"/>
    <row r="6" spans="2:9" ht="15.75" customHeight="1">
      <c r="B6" s="337"/>
      <c r="C6" s="338"/>
      <c r="D6" s="338"/>
      <c r="E6" s="338"/>
      <c r="F6" s="338"/>
      <c r="G6" s="316"/>
      <c r="H6" s="316"/>
      <c r="I6" s="119"/>
    </row>
    <row r="7" spans="2:9" ht="15.75" customHeight="1">
      <c r="B7" s="339"/>
      <c r="C7" s="340"/>
      <c r="D7" s="63" t="s">
        <v>694</v>
      </c>
      <c r="E7" s="166">
        <v>12000000</v>
      </c>
      <c r="F7" s="340"/>
      <c r="G7" s="341"/>
      <c r="H7" s="341"/>
      <c r="I7" s="123"/>
    </row>
    <row r="8" spans="2:9" ht="15.75" customHeight="1">
      <c r="B8" s="339"/>
      <c r="C8" s="340"/>
      <c r="D8" s="63" t="s">
        <v>695</v>
      </c>
      <c r="E8" s="405">
        <v>48.5</v>
      </c>
      <c r="F8" s="340"/>
      <c r="G8" s="341"/>
      <c r="H8" s="341"/>
      <c r="I8" s="123"/>
    </row>
    <row r="9" spans="2:9" ht="15.75" customHeight="1">
      <c r="B9" s="339"/>
      <c r="C9" s="340"/>
      <c r="D9" s="63" t="s">
        <v>690</v>
      </c>
      <c r="E9" s="71">
        <v>45000000</v>
      </c>
      <c r="F9" s="340"/>
      <c r="G9" s="341"/>
      <c r="H9" s="341"/>
      <c r="I9" s="123"/>
    </row>
    <row r="10" spans="2:9" ht="15.75" customHeight="1">
      <c r="B10" s="339"/>
      <c r="C10" s="340"/>
      <c r="D10" s="14" t="s">
        <v>851</v>
      </c>
      <c r="E10" s="71">
        <v>11000000</v>
      </c>
      <c r="F10" s="340"/>
      <c r="G10" s="341"/>
      <c r="H10" s="341"/>
      <c r="I10" s="123"/>
    </row>
    <row r="11" spans="2:9" ht="15.75" customHeight="1">
      <c r="B11" s="339"/>
      <c r="C11" s="340"/>
      <c r="D11" s="63" t="s">
        <v>691</v>
      </c>
      <c r="E11" s="107">
        <v>0.115</v>
      </c>
      <c r="F11" s="340"/>
      <c r="G11" s="341"/>
      <c r="H11" s="341"/>
      <c r="I11" s="123"/>
    </row>
    <row r="12" spans="2:9" ht="15.75" customHeight="1">
      <c r="B12" s="339"/>
      <c r="C12" s="340"/>
      <c r="D12" s="121" t="s">
        <v>692</v>
      </c>
      <c r="E12" s="107">
        <v>7.0000000000000007E-2</v>
      </c>
      <c r="F12" s="340"/>
      <c r="G12" s="341"/>
      <c r="H12" s="341"/>
      <c r="I12" s="123"/>
    </row>
    <row r="13" spans="2:9" ht="15.75" customHeight="1">
      <c r="B13" s="339"/>
      <c r="C13" s="340"/>
      <c r="D13" s="121" t="s">
        <v>693</v>
      </c>
      <c r="E13" s="404">
        <v>0.7</v>
      </c>
      <c r="F13" s="340"/>
      <c r="G13" s="341"/>
      <c r="H13" s="341"/>
      <c r="I13" s="123"/>
    </row>
    <row r="14" spans="2:9" ht="15.75" customHeight="1">
      <c r="B14" s="339"/>
      <c r="C14" s="340"/>
      <c r="D14" s="121" t="s">
        <v>49</v>
      </c>
      <c r="E14" s="404">
        <v>0.4</v>
      </c>
      <c r="F14" s="340"/>
      <c r="G14" s="341"/>
      <c r="H14" s="341"/>
      <c r="I14" s="123"/>
    </row>
    <row r="15" spans="2:9" ht="15.75" customHeight="1" thickBot="1">
      <c r="B15" s="346"/>
      <c r="C15" s="348"/>
      <c r="D15" s="133"/>
      <c r="E15" s="347"/>
      <c r="F15" s="348"/>
      <c r="G15" s="349"/>
      <c r="H15" s="349"/>
      <c r="I15" s="134"/>
    </row>
    <row r="16" spans="2:9" ht="15.75" customHeight="1"/>
    <row r="17" spans="2:10" ht="15.75" customHeight="1">
      <c r="D17" s="9" t="s">
        <v>51</v>
      </c>
    </row>
    <row r="18" spans="2:10" ht="15.75" customHeight="1" thickBot="1"/>
    <row r="19" spans="2:10" ht="15.75" customHeight="1">
      <c r="B19" s="350"/>
      <c r="C19" s="351"/>
      <c r="D19" s="351"/>
      <c r="E19" s="351"/>
      <c r="F19" s="351"/>
      <c r="G19" s="351"/>
      <c r="H19" s="351"/>
      <c r="I19" s="352"/>
      <c r="J19" s="353"/>
    </row>
    <row r="20" spans="2:10" ht="15.75" customHeight="1">
      <c r="B20" s="406" t="s">
        <v>197</v>
      </c>
      <c r="C20" s="409"/>
      <c r="D20" s="140" t="s">
        <v>445</v>
      </c>
      <c r="E20" s="407">
        <f>H20</f>
        <v>582000000</v>
      </c>
      <c r="F20" s="84"/>
      <c r="G20" s="85" t="s">
        <v>696</v>
      </c>
      <c r="H20" s="407">
        <f>E7*E8</f>
        <v>582000000</v>
      </c>
      <c r="I20" s="356"/>
      <c r="J20" s="353"/>
    </row>
    <row r="21" spans="2:10" ht="15.75" customHeight="1" thickBot="1">
      <c r="B21" s="138"/>
      <c r="C21" s="140"/>
      <c r="D21" s="140" t="s">
        <v>376</v>
      </c>
      <c r="E21" s="408">
        <f>H21</f>
        <v>582000000</v>
      </c>
      <c r="F21" s="84"/>
      <c r="G21" s="85" t="s">
        <v>697</v>
      </c>
      <c r="H21" s="408">
        <f>H20</f>
        <v>582000000</v>
      </c>
      <c r="I21" s="356"/>
      <c r="J21" s="353"/>
    </row>
    <row r="22" spans="2:10" ht="15.75" customHeight="1" thickTop="1">
      <c r="B22" s="138"/>
      <c r="C22" s="140"/>
      <c r="D22" s="357"/>
      <c r="E22" s="357"/>
      <c r="F22" s="357"/>
      <c r="G22" s="357"/>
      <c r="H22" s="357"/>
      <c r="I22" s="356"/>
      <c r="J22" s="353"/>
    </row>
    <row r="23" spans="2:10" ht="15.75" customHeight="1">
      <c r="B23" s="406" t="s">
        <v>198</v>
      </c>
      <c r="C23" s="411" t="s">
        <v>699</v>
      </c>
      <c r="D23" s="243" t="s">
        <v>698</v>
      </c>
      <c r="E23" s="111">
        <f>E10*(1-E14)</f>
        <v>6600000</v>
      </c>
      <c r="F23" s="195"/>
      <c r="G23" s="195"/>
      <c r="H23" s="195"/>
      <c r="I23" s="356"/>
      <c r="J23" s="353"/>
    </row>
    <row r="24" spans="2:10" ht="15.75" customHeight="1">
      <c r="B24" s="138"/>
      <c r="C24" s="140"/>
      <c r="D24" s="243" t="s">
        <v>244</v>
      </c>
      <c r="E24" s="403">
        <f>-E9+(E23/E11)</f>
        <v>12391304.347826086</v>
      </c>
      <c r="F24" s="361"/>
      <c r="G24" s="361"/>
      <c r="H24" s="361"/>
      <c r="I24" s="356"/>
      <c r="J24" s="353"/>
    </row>
    <row r="25" spans="2:10" ht="15.75" customHeight="1">
      <c r="B25" s="138"/>
      <c r="C25" s="140"/>
      <c r="D25" s="243"/>
      <c r="E25" s="155"/>
      <c r="F25" s="361"/>
      <c r="G25" s="361"/>
      <c r="H25" s="361"/>
      <c r="I25" s="356"/>
      <c r="J25" s="353"/>
    </row>
    <row r="26" spans="2:10" ht="15.75" customHeight="1">
      <c r="B26" s="138"/>
      <c r="C26" s="411" t="s">
        <v>700</v>
      </c>
      <c r="D26" s="140" t="s">
        <v>445</v>
      </c>
      <c r="E26" s="407">
        <f>E21</f>
        <v>582000000</v>
      </c>
      <c r="F26" s="84"/>
      <c r="G26" s="85"/>
      <c r="H26" s="407"/>
      <c r="I26" s="356"/>
      <c r="J26" s="353"/>
    </row>
    <row r="27" spans="2:10" ht="15.75" customHeight="1">
      <c r="B27" s="138"/>
      <c r="C27" s="411"/>
      <c r="D27" s="140" t="s">
        <v>850</v>
      </c>
      <c r="E27" s="257">
        <f>E24</f>
        <v>12391304.347826086</v>
      </c>
      <c r="F27" s="84"/>
      <c r="G27" s="85" t="s">
        <v>696</v>
      </c>
      <c r="H27" s="407">
        <f>E28</f>
        <v>594391304.34782612</v>
      </c>
      <c r="I27" s="356"/>
      <c r="J27" s="353"/>
    </row>
    <row r="28" spans="2:10" ht="15.75" customHeight="1" thickBot="1">
      <c r="B28" s="138"/>
      <c r="C28" s="140"/>
      <c r="D28" s="140" t="s">
        <v>376</v>
      </c>
      <c r="E28" s="408">
        <f>SUM(E26:E27)</f>
        <v>594391304.34782612</v>
      </c>
      <c r="F28" s="84"/>
      <c r="G28" s="85" t="s">
        <v>697</v>
      </c>
      <c r="H28" s="408">
        <f>E28</f>
        <v>594391304.34782612</v>
      </c>
      <c r="I28" s="356"/>
      <c r="J28" s="353"/>
    </row>
    <row r="29" spans="2:10" ht="15.75" customHeight="1" thickTop="1">
      <c r="B29" s="138"/>
      <c r="C29" s="140"/>
      <c r="D29" s="243"/>
      <c r="E29" s="155"/>
      <c r="F29" s="195"/>
      <c r="G29" s="195"/>
      <c r="H29" s="195"/>
      <c r="I29" s="356"/>
      <c r="J29" s="353"/>
    </row>
    <row r="30" spans="2:10" ht="15.75" customHeight="1">
      <c r="B30" s="138"/>
      <c r="C30" s="140"/>
      <c r="D30" s="243" t="s">
        <v>248</v>
      </c>
      <c r="E30" s="37">
        <f>H27/E7</f>
        <v>49.532608695652179</v>
      </c>
      <c r="F30" s="257"/>
      <c r="G30" s="257"/>
      <c r="H30" s="257"/>
      <c r="I30" s="356"/>
      <c r="J30" s="353"/>
    </row>
    <row r="31" spans="2:10" ht="15.75" customHeight="1">
      <c r="B31" s="138"/>
      <c r="C31" s="140"/>
      <c r="D31" s="243" t="s">
        <v>701</v>
      </c>
      <c r="E31" s="412">
        <f>E9/E30</f>
        <v>908492.42922975635</v>
      </c>
      <c r="F31" s="257"/>
      <c r="G31" s="257"/>
      <c r="H31" s="257"/>
      <c r="I31" s="356"/>
      <c r="J31" s="353"/>
    </row>
    <row r="32" spans="2:10" ht="15.75" customHeight="1">
      <c r="B32" s="354"/>
      <c r="C32" s="357"/>
      <c r="D32" s="243" t="s">
        <v>558</v>
      </c>
      <c r="E32" s="155"/>
      <c r="F32" s="84"/>
      <c r="G32" s="84"/>
      <c r="H32" s="84"/>
      <c r="I32" s="356"/>
      <c r="J32" s="353"/>
    </row>
    <row r="33" spans="2:10" ht="15.75" customHeight="1">
      <c r="B33" s="354"/>
      <c r="C33" s="357"/>
      <c r="D33" s="243"/>
      <c r="E33" s="155"/>
      <c r="F33" s="257"/>
      <c r="G33" s="257"/>
      <c r="H33" s="257"/>
      <c r="I33" s="356"/>
      <c r="J33" s="353"/>
    </row>
    <row r="34" spans="2:10" ht="15.75" customHeight="1">
      <c r="B34" s="354"/>
      <c r="C34" s="411" t="s">
        <v>702</v>
      </c>
      <c r="D34" s="140" t="s">
        <v>703</v>
      </c>
      <c r="E34" s="407">
        <f>E9</f>
        <v>45000000</v>
      </c>
      <c r="F34" s="84"/>
      <c r="G34" s="85"/>
      <c r="H34" s="407"/>
      <c r="I34" s="356"/>
      <c r="J34" s="353"/>
    </row>
    <row r="35" spans="2:10" ht="15.75" customHeight="1">
      <c r="B35" s="354"/>
      <c r="C35" s="411"/>
      <c r="D35" s="140" t="s">
        <v>704</v>
      </c>
      <c r="E35" s="257">
        <f>E26</f>
        <v>582000000</v>
      </c>
      <c r="F35" s="84"/>
      <c r="G35" s="85"/>
      <c r="H35" s="407"/>
      <c r="I35" s="356"/>
      <c r="J35" s="353"/>
    </row>
    <row r="36" spans="2:10" ht="15.75" customHeight="1">
      <c r="B36" s="354"/>
      <c r="C36" s="411"/>
      <c r="D36" s="140" t="s">
        <v>850</v>
      </c>
      <c r="E36" s="257">
        <f>E27</f>
        <v>12391304.347826086</v>
      </c>
      <c r="F36" s="84"/>
      <c r="G36" s="85" t="s">
        <v>696</v>
      </c>
      <c r="H36" s="407">
        <f>E37</f>
        <v>639391304.34782612</v>
      </c>
      <c r="I36" s="356"/>
      <c r="J36" s="353"/>
    </row>
    <row r="37" spans="2:10" ht="15.75" customHeight="1" thickBot="1">
      <c r="B37" s="354"/>
      <c r="C37" s="140"/>
      <c r="D37" s="140" t="s">
        <v>376</v>
      </c>
      <c r="E37" s="408">
        <f>SUM(E34:E36)</f>
        <v>639391304.34782612</v>
      </c>
      <c r="F37" s="84"/>
      <c r="G37" s="85" t="s">
        <v>697</v>
      </c>
      <c r="H37" s="408">
        <f>E37</f>
        <v>639391304.34782612</v>
      </c>
      <c r="I37" s="356"/>
      <c r="J37" s="353"/>
    </row>
    <row r="38" spans="2:10" ht="15.75" customHeight="1" thickTop="1">
      <c r="B38" s="354"/>
      <c r="C38" s="357"/>
      <c r="D38" s="243" t="s">
        <v>18</v>
      </c>
      <c r="E38" s="155"/>
      <c r="F38" s="111"/>
      <c r="G38" s="111"/>
      <c r="H38" s="111"/>
      <c r="I38" s="356"/>
      <c r="J38" s="353"/>
    </row>
    <row r="39" spans="2:10" ht="15.75" customHeight="1">
      <c r="B39" s="354"/>
      <c r="C39" s="357"/>
      <c r="D39" s="243"/>
      <c r="E39" s="155"/>
      <c r="F39" s="257"/>
      <c r="G39" s="257"/>
      <c r="H39" s="257"/>
      <c r="I39" s="356"/>
      <c r="J39" s="353"/>
    </row>
    <row r="40" spans="2:10" ht="15.75" customHeight="1">
      <c r="B40" s="354"/>
      <c r="C40" s="357"/>
      <c r="D40" s="243" t="s">
        <v>705</v>
      </c>
      <c r="E40" s="412">
        <f>E31+E7</f>
        <v>12908492.429229757</v>
      </c>
      <c r="F40" s="257"/>
      <c r="G40" s="257"/>
      <c r="H40" s="257"/>
      <c r="I40" s="356"/>
      <c r="J40" s="353"/>
    </row>
    <row r="41" spans="2:10" ht="15.75" customHeight="1">
      <c r="B41" s="354"/>
      <c r="C41" s="357"/>
      <c r="D41" s="243" t="s">
        <v>248</v>
      </c>
      <c r="E41" s="37">
        <f>H36/E40</f>
        <v>49.532608695652172</v>
      </c>
      <c r="F41" s="111"/>
      <c r="G41" s="111"/>
      <c r="H41" s="111"/>
      <c r="I41" s="356"/>
      <c r="J41" s="353"/>
    </row>
    <row r="42" spans="2:10" ht="15.75" customHeight="1">
      <c r="B42" s="354"/>
      <c r="C42" s="357"/>
      <c r="D42" s="243"/>
      <c r="E42" s="155"/>
      <c r="F42" s="257"/>
      <c r="G42" s="257"/>
      <c r="H42" s="257"/>
      <c r="I42" s="356"/>
      <c r="J42" s="353"/>
    </row>
    <row r="43" spans="2:10" ht="15.75" customHeight="1">
      <c r="B43" s="354"/>
      <c r="C43" s="411" t="s">
        <v>706</v>
      </c>
      <c r="D43" s="243" t="s">
        <v>707</v>
      </c>
      <c r="E43" s="111">
        <f>E23/E11</f>
        <v>57391304.347826086</v>
      </c>
      <c r="F43" s="111"/>
      <c r="G43" s="111"/>
      <c r="H43" s="111"/>
      <c r="I43" s="356"/>
      <c r="J43" s="353"/>
    </row>
    <row r="44" spans="2:10" ht="15.75" customHeight="1">
      <c r="B44" s="354"/>
      <c r="C44" s="357"/>
      <c r="D44" s="243"/>
      <c r="E44" s="155"/>
      <c r="F44" s="257"/>
      <c r="G44" s="257"/>
      <c r="H44" s="257"/>
      <c r="I44" s="356"/>
      <c r="J44" s="353"/>
    </row>
    <row r="45" spans="2:10" ht="15.75" customHeight="1">
      <c r="B45" s="354"/>
      <c r="C45" s="357"/>
      <c r="D45" s="243" t="s">
        <v>704</v>
      </c>
      <c r="E45" s="407">
        <f>E20</f>
        <v>582000000</v>
      </c>
      <c r="F45" s="111"/>
      <c r="G45" s="111"/>
      <c r="H45" s="111"/>
      <c r="I45" s="356"/>
      <c r="J45" s="353"/>
    </row>
    <row r="46" spans="2:10" ht="15.75" customHeight="1">
      <c r="B46" s="354"/>
      <c r="C46" s="357"/>
      <c r="D46" s="243" t="s">
        <v>708</v>
      </c>
      <c r="E46" s="257">
        <f>E43</f>
        <v>57391304.347826086</v>
      </c>
      <c r="F46" s="257"/>
      <c r="G46" s="85" t="s">
        <v>696</v>
      </c>
      <c r="H46" s="407">
        <f>E47</f>
        <v>639391304.34782612</v>
      </c>
      <c r="I46" s="356"/>
      <c r="J46" s="353"/>
    </row>
    <row r="47" spans="2:10" ht="15.75" customHeight="1" thickBot="1">
      <c r="B47" s="354"/>
      <c r="C47" s="357"/>
      <c r="D47" s="243" t="s">
        <v>376</v>
      </c>
      <c r="E47" s="408">
        <f>SUM(E45:E46)</f>
        <v>639391304.34782612</v>
      </c>
      <c r="F47" s="257"/>
      <c r="G47" s="85" t="s">
        <v>697</v>
      </c>
      <c r="H47" s="408">
        <f>E47</f>
        <v>639391304.34782612</v>
      </c>
      <c r="I47" s="356"/>
      <c r="J47" s="353"/>
    </row>
    <row r="48" spans="2:10" ht="15.75" customHeight="1" thickTop="1">
      <c r="B48" s="354"/>
      <c r="C48" s="357"/>
      <c r="D48" s="243"/>
      <c r="E48" s="155"/>
      <c r="F48" s="257"/>
      <c r="G48" s="257"/>
      <c r="H48" s="257"/>
      <c r="I48" s="356"/>
      <c r="J48" s="353"/>
    </row>
    <row r="49" spans="2:10" ht="15.75" customHeight="1">
      <c r="B49" s="406" t="s">
        <v>709</v>
      </c>
      <c r="C49" s="411" t="s">
        <v>699</v>
      </c>
      <c r="D49" s="243" t="s">
        <v>710</v>
      </c>
      <c r="E49" s="111">
        <f>E47+(E14*E9)</f>
        <v>657391304.34782612</v>
      </c>
      <c r="F49" s="111"/>
      <c r="G49" s="111"/>
      <c r="H49" s="111"/>
      <c r="I49" s="356"/>
      <c r="J49" s="353"/>
    </row>
    <row r="50" spans="2:10" ht="15.75" customHeight="1">
      <c r="B50" s="354"/>
      <c r="C50" s="357"/>
      <c r="D50" s="243"/>
      <c r="E50" s="155"/>
      <c r="F50" s="257"/>
      <c r="G50" s="257"/>
      <c r="H50" s="257"/>
      <c r="I50" s="356"/>
      <c r="J50" s="353"/>
    </row>
    <row r="51" spans="2:10" ht="15.75" customHeight="1">
      <c r="B51" s="354"/>
      <c r="C51" s="411" t="s">
        <v>700</v>
      </c>
      <c r="D51" s="243" t="s">
        <v>711</v>
      </c>
      <c r="E51" s="407">
        <f>E47</f>
        <v>639391304.34782612</v>
      </c>
      <c r="F51" s="111"/>
      <c r="G51" s="413" t="s">
        <v>714</v>
      </c>
      <c r="H51" s="111">
        <f>E9</f>
        <v>45000000</v>
      </c>
      <c r="I51" s="356"/>
      <c r="J51" s="353"/>
    </row>
    <row r="52" spans="2:10" ht="15.75" customHeight="1">
      <c r="B52" s="354"/>
      <c r="C52" s="357"/>
      <c r="D52" s="243" t="s">
        <v>712</v>
      </c>
      <c r="E52" s="257">
        <f>E14*E9</f>
        <v>18000000</v>
      </c>
      <c r="F52" s="257"/>
      <c r="G52" s="85" t="s">
        <v>696</v>
      </c>
      <c r="H52" s="257">
        <f>H53-H51</f>
        <v>612391304.34782612</v>
      </c>
      <c r="I52" s="356"/>
      <c r="J52" s="353"/>
    </row>
    <row r="53" spans="2:10" ht="15.75" customHeight="1" thickBot="1">
      <c r="B53" s="354"/>
      <c r="C53" s="357"/>
      <c r="D53" s="243" t="s">
        <v>376</v>
      </c>
      <c r="E53" s="408">
        <f>SUM(E51:E52)</f>
        <v>657391304.34782612</v>
      </c>
      <c r="F53" s="257"/>
      <c r="G53" s="85" t="s">
        <v>697</v>
      </c>
      <c r="H53" s="408">
        <f>E53</f>
        <v>657391304.34782612</v>
      </c>
      <c r="I53" s="356"/>
      <c r="J53" s="353"/>
    </row>
    <row r="54" spans="2:10" ht="15.75" customHeight="1" thickTop="1">
      <c r="B54" s="354"/>
      <c r="C54" s="357"/>
      <c r="D54" s="360"/>
      <c r="E54" s="155"/>
      <c r="F54" s="111"/>
      <c r="G54" s="111"/>
      <c r="H54" s="111"/>
      <c r="I54" s="356"/>
      <c r="J54" s="353"/>
    </row>
    <row r="55" spans="2:10" ht="15.75" customHeight="1">
      <c r="B55" s="354"/>
      <c r="C55" s="357"/>
      <c r="D55" s="243" t="s">
        <v>713</v>
      </c>
      <c r="E55" s="37">
        <f>H52/E7</f>
        <v>51.032608695652179</v>
      </c>
      <c r="F55" s="111"/>
      <c r="G55" s="111"/>
      <c r="H55" s="111"/>
      <c r="I55" s="356"/>
      <c r="J55" s="353"/>
    </row>
    <row r="56" spans="2:10" ht="15.75" customHeight="1" thickBot="1">
      <c r="B56" s="366"/>
      <c r="C56" s="410"/>
      <c r="D56" s="163"/>
      <c r="E56" s="163"/>
      <c r="F56" s="163"/>
      <c r="G56" s="163"/>
      <c r="H56" s="163"/>
      <c r="I56" s="367"/>
      <c r="J56" s="353"/>
    </row>
    <row r="57" spans="2:10" ht="15.75" customHeight="1">
      <c r="B57" s="75"/>
      <c r="C57" s="75"/>
      <c r="D57" s="75"/>
      <c r="E57" s="75"/>
      <c r="F57" s="75"/>
      <c r="G57" s="75"/>
      <c r="H57" s="75"/>
    </row>
    <row r="58" spans="2:10" ht="15.75" customHeight="1">
      <c r="G58" s="368"/>
    </row>
    <row r="59" spans="2:10" ht="15.75" customHeight="1">
      <c r="E59" s="369"/>
    </row>
    <row r="60" spans="2:10" ht="15.75" customHeight="1"/>
    <row r="61" spans="2:10" ht="15.75" customHeight="1"/>
    <row r="62" spans="2:10" ht="15.75" customHeight="1"/>
    <row r="63" spans="2:10" ht="15.75" customHeight="1"/>
    <row r="64" spans="2:10" ht="15.75" customHeight="1"/>
    <row r="65" ht="15.75" customHeight="1"/>
    <row r="66" ht="15.75" customHeight="1"/>
    <row r="67" ht="15.75" customHeight="1"/>
  </sheetData>
  <mergeCells count="1">
    <mergeCell ref="D2:G2"/>
  </mergeCells>
  <phoneticPr fontId="0" type="noConversion"/>
  <pageMargins left="0.75" right="0.75" top="1" bottom="1" header="0.5" footer="0.5"/>
  <pageSetup scale="64" orientation="portrait" horizontalDpi="360" verticalDpi="36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1313"/>
  <dimension ref="A1:Y490"/>
  <sheetViews>
    <sheetView zoomScaleNormal="100" workbookViewId="0"/>
  </sheetViews>
  <sheetFormatPr defaultRowHeight="12.75"/>
  <cols>
    <col min="1" max="1" width="12" customWidth="1"/>
    <col min="2" max="2" width="3.140625" customWidth="1"/>
    <col min="3" max="3" width="46" customWidth="1"/>
    <col min="4" max="5" width="14.85546875" customWidth="1"/>
    <col min="6" max="6" width="3.140625" customWidth="1"/>
    <col min="7" max="7" width="33.85546875" bestFit="1" customWidth="1"/>
    <col min="8" max="9" width="14.85546875" customWidth="1"/>
    <col min="10" max="10" width="3.140625" customWidth="1"/>
    <col min="11" max="11" width="19.28515625" customWidth="1"/>
  </cols>
  <sheetData>
    <row r="1" spans="2:12" ht="18">
      <c r="C1" s="8" t="s">
        <v>688</v>
      </c>
      <c r="D1" s="8"/>
    </row>
    <row r="2" spans="2:12" ht="18">
      <c r="C2" s="8" t="s">
        <v>346</v>
      </c>
      <c r="D2" s="59"/>
    </row>
    <row r="4" spans="2:12" ht="15">
      <c r="C4" s="9" t="s">
        <v>34</v>
      </c>
      <c r="D4" s="9"/>
      <c r="E4" s="59"/>
      <c r="F4" s="59"/>
      <c r="G4" s="59"/>
      <c r="H4" s="59"/>
      <c r="I4" s="59"/>
      <c r="J4" s="59"/>
    </row>
    <row r="5" spans="2:12" ht="15.75" thickBot="1">
      <c r="C5" s="17"/>
      <c r="D5" s="17"/>
      <c r="E5" s="248"/>
      <c r="F5" s="59"/>
      <c r="G5" s="59"/>
      <c r="H5" s="59"/>
      <c r="I5" s="59"/>
      <c r="J5" s="59"/>
    </row>
    <row r="6" spans="2:12" ht="15">
      <c r="B6" s="62"/>
      <c r="C6" s="205"/>
      <c r="D6" s="205"/>
      <c r="E6" s="104"/>
      <c r="F6" s="104"/>
      <c r="G6" s="104"/>
      <c r="H6" s="104"/>
      <c r="I6" s="104"/>
      <c r="J6" s="64"/>
    </row>
    <row r="7" spans="2:12" ht="15.75">
      <c r="B7" s="65"/>
      <c r="C7" s="768" t="s">
        <v>347</v>
      </c>
      <c r="D7" s="768"/>
      <c r="E7" s="768"/>
      <c r="F7" s="768"/>
      <c r="G7" s="768"/>
      <c r="H7" s="768"/>
      <c r="I7" s="768"/>
      <c r="J7" s="769"/>
    </row>
    <row r="8" spans="2:12" ht="15.75">
      <c r="B8" s="65"/>
      <c r="C8" s="500"/>
      <c r="D8" s="501">
        <v>2012</v>
      </c>
      <c r="E8" s="501">
        <v>2011</v>
      </c>
      <c r="F8" s="502"/>
      <c r="G8" s="502"/>
      <c r="H8" s="501">
        <v>2012</v>
      </c>
      <c r="I8" s="501">
        <v>2011</v>
      </c>
      <c r="J8" s="105"/>
    </row>
    <row r="9" spans="2:12" ht="15">
      <c r="B9" s="65"/>
      <c r="C9" s="503" t="s">
        <v>348</v>
      </c>
      <c r="D9" s="503"/>
      <c r="E9" s="504"/>
      <c r="F9" s="505"/>
      <c r="G9" s="499" t="s">
        <v>349</v>
      </c>
      <c r="H9" s="499"/>
      <c r="I9" s="504"/>
      <c r="J9" s="105"/>
    </row>
    <row r="10" spans="2:12" ht="15">
      <c r="B10" s="65"/>
      <c r="C10" s="503" t="s">
        <v>350</v>
      </c>
      <c r="D10" s="504">
        <v>348</v>
      </c>
      <c r="E10" s="504">
        <v>301</v>
      </c>
      <c r="F10" s="505"/>
      <c r="G10" s="499" t="s">
        <v>351</v>
      </c>
      <c r="H10" s="504">
        <v>314</v>
      </c>
      <c r="I10" s="504">
        <v>294</v>
      </c>
      <c r="J10" s="105"/>
      <c r="K10" s="151"/>
      <c r="L10" s="733"/>
    </row>
    <row r="11" spans="2:12" ht="15">
      <c r="B11" s="65"/>
      <c r="C11" s="503" t="s">
        <v>352</v>
      </c>
      <c r="D11" s="506">
        <v>551</v>
      </c>
      <c r="E11" s="506">
        <v>514</v>
      </c>
      <c r="F11" s="505"/>
      <c r="G11" s="499" t="s">
        <v>353</v>
      </c>
      <c r="H11" s="506">
        <v>85</v>
      </c>
      <c r="I11" s="506">
        <v>79</v>
      </c>
      <c r="J11" s="105"/>
      <c r="K11" s="151"/>
      <c r="L11" s="733"/>
    </row>
    <row r="12" spans="2:12" ht="15">
      <c r="B12" s="65"/>
      <c r="C12" s="503" t="s">
        <v>354</v>
      </c>
      <c r="D12" s="506">
        <v>493</v>
      </c>
      <c r="E12" s="506">
        <v>510</v>
      </c>
      <c r="F12" s="505"/>
      <c r="G12" s="499" t="s">
        <v>355</v>
      </c>
      <c r="H12" s="507">
        <v>190</v>
      </c>
      <c r="I12" s="507">
        <v>308</v>
      </c>
      <c r="J12" s="105"/>
      <c r="K12" s="151"/>
      <c r="L12" s="733"/>
    </row>
    <row r="13" spans="2:12" ht="15">
      <c r="B13" s="65"/>
      <c r="C13" s="503" t="s">
        <v>356</v>
      </c>
      <c r="D13" s="507">
        <v>71</v>
      </c>
      <c r="E13" s="507">
        <v>60</v>
      </c>
      <c r="F13" s="505"/>
      <c r="G13" s="499" t="s">
        <v>357</v>
      </c>
      <c r="H13" s="508">
        <f>SUM(H10:H12)</f>
        <v>589</v>
      </c>
      <c r="I13" s="508">
        <f>SUM(I10:I12)</f>
        <v>681</v>
      </c>
      <c r="J13" s="105"/>
      <c r="K13" s="151"/>
      <c r="L13" s="733"/>
    </row>
    <row r="14" spans="2:12" ht="15">
      <c r="B14" s="65"/>
      <c r="C14" s="503" t="s">
        <v>358</v>
      </c>
      <c r="D14" s="508">
        <f>SUM(D10:D13)</f>
        <v>1463</v>
      </c>
      <c r="E14" s="508">
        <f>SUM(E10:E13)</f>
        <v>1385</v>
      </c>
      <c r="F14" s="505"/>
      <c r="G14" s="499"/>
      <c r="H14" s="509"/>
      <c r="I14" s="509"/>
      <c r="J14" s="105"/>
      <c r="L14" s="733"/>
    </row>
    <row r="15" spans="2:12" ht="15">
      <c r="B15" s="65"/>
      <c r="C15" s="503"/>
      <c r="D15" s="503"/>
      <c r="E15" s="510"/>
      <c r="F15" s="505"/>
      <c r="G15" s="499" t="s">
        <v>359</v>
      </c>
      <c r="H15" s="509"/>
      <c r="I15" s="509"/>
      <c r="J15" s="105"/>
      <c r="L15" s="733"/>
    </row>
    <row r="16" spans="2:12" ht="15">
      <c r="B16" s="65"/>
      <c r="C16" s="503" t="s">
        <v>208</v>
      </c>
      <c r="D16" s="503"/>
      <c r="E16" s="511"/>
      <c r="F16" s="505"/>
      <c r="G16" s="499" t="s">
        <v>360</v>
      </c>
      <c r="H16" s="504">
        <v>254</v>
      </c>
      <c r="I16" s="504">
        <v>124</v>
      </c>
      <c r="J16" s="105"/>
      <c r="K16" s="151"/>
      <c r="L16" s="733"/>
    </row>
    <row r="17" spans="2:12" ht="15">
      <c r="B17" s="65"/>
      <c r="C17" s="503" t="s">
        <v>361</v>
      </c>
      <c r="D17" s="504">
        <v>3191</v>
      </c>
      <c r="E17" s="504">
        <v>2446</v>
      </c>
      <c r="F17" s="505"/>
      <c r="G17" s="499" t="s">
        <v>362</v>
      </c>
      <c r="H17" s="507">
        <v>907</v>
      </c>
      <c r="I17" s="507">
        <v>883</v>
      </c>
      <c r="J17" s="105"/>
      <c r="K17" s="151"/>
      <c r="L17" s="733"/>
    </row>
    <row r="18" spans="2:12" ht="15">
      <c r="B18" s="65"/>
      <c r="C18" s="503" t="s">
        <v>363</v>
      </c>
      <c r="D18" s="507">
        <v>1031</v>
      </c>
      <c r="E18" s="507">
        <v>840</v>
      </c>
      <c r="F18" s="505"/>
      <c r="G18" s="499" t="s">
        <v>364</v>
      </c>
      <c r="H18" s="508">
        <f>SUM(H16:H17)</f>
        <v>1161</v>
      </c>
      <c r="I18" s="508">
        <f>SUM(I16:I17)</f>
        <v>1007</v>
      </c>
      <c r="J18" s="105"/>
      <c r="K18" s="151"/>
      <c r="L18" s="733"/>
    </row>
    <row r="19" spans="2:12" ht="15">
      <c r="B19" s="65"/>
      <c r="C19" s="503" t="s">
        <v>365</v>
      </c>
      <c r="D19" s="508">
        <f>D17-D18</f>
        <v>2160</v>
      </c>
      <c r="E19" s="508">
        <f>E17-E18</f>
        <v>1606</v>
      </c>
      <c r="F19" s="505"/>
      <c r="G19" s="499"/>
      <c r="H19" s="509"/>
      <c r="I19" s="509"/>
      <c r="J19" s="105"/>
      <c r="K19" s="151"/>
      <c r="L19" s="733"/>
    </row>
    <row r="20" spans="2:12" ht="15">
      <c r="B20" s="65"/>
      <c r="C20" s="503" t="s">
        <v>366</v>
      </c>
      <c r="D20" s="507">
        <v>610</v>
      </c>
      <c r="E20" s="507">
        <v>545</v>
      </c>
      <c r="F20" s="505"/>
      <c r="G20" s="499" t="s">
        <v>367</v>
      </c>
      <c r="H20" s="509"/>
      <c r="I20" s="509"/>
      <c r="J20" s="105"/>
      <c r="K20" s="151"/>
      <c r="L20" s="733"/>
    </row>
    <row r="21" spans="2:12" ht="15">
      <c r="B21" s="65"/>
      <c r="C21" s="503" t="s">
        <v>368</v>
      </c>
      <c r="D21" s="512">
        <f>SUM(D19:D20)</f>
        <v>2770</v>
      </c>
      <c r="E21" s="512">
        <f>SUM(E19:E20)</f>
        <v>2151</v>
      </c>
      <c r="F21" s="505"/>
      <c r="G21" s="499" t="s">
        <v>369</v>
      </c>
      <c r="H21" s="504">
        <v>16</v>
      </c>
      <c r="I21" s="504">
        <v>16</v>
      </c>
      <c r="J21" s="105"/>
      <c r="K21" s="151"/>
      <c r="L21" s="733"/>
    </row>
    <row r="22" spans="2:12" ht="15">
      <c r="B22" s="65"/>
      <c r="C22" s="503"/>
      <c r="D22" s="503"/>
      <c r="E22" s="503"/>
      <c r="F22" s="505"/>
      <c r="G22" s="499" t="s">
        <v>370</v>
      </c>
      <c r="H22" s="506">
        <v>97</v>
      </c>
      <c r="I22" s="506">
        <v>97</v>
      </c>
      <c r="J22" s="105"/>
      <c r="K22" s="151"/>
      <c r="L22" s="733"/>
    </row>
    <row r="23" spans="2:12" ht="15">
      <c r="B23" s="65"/>
      <c r="C23" s="503"/>
      <c r="D23" s="503"/>
      <c r="E23" s="503"/>
      <c r="F23" s="505"/>
      <c r="G23" s="499" t="s">
        <v>371</v>
      </c>
      <c r="H23" s="506">
        <v>611</v>
      </c>
      <c r="I23" s="506">
        <v>599</v>
      </c>
      <c r="J23" s="105"/>
      <c r="K23" s="151"/>
      <c r="L23" s="733"/>
    </row>
    <row r="24" spans="2:12" ht="15">
      <c r="B24" s="65"/>
      <c r="C24" s="503"/>
      <c r="D24" s="503"/>
      <c r="E24" s="503"/>
      <c r="F24" s="505"/>
      <c r="G24" s="499" t="s">
        <v>372</v>
      </c>
      <c r="H24" s="731">
        <f>I24+D54</f>
        <v>1904</v>
      </c>
      <c r="I24" s="506">
        <v>1233</v>
      </c>
      <c r="J24" s="105"/>
      <c r="K24" s="151"/>
      <c r="L24" s="733"/>
    </row>
    <row r="25" spans="2:12" ht="15">
      <c r="B25" s="65"/>
      <c r="C25" s="503"/>
      <c r="D25" s="503"/>
      <c r="E25" s="503"/>
      <c r="F25" s="505"/>
      <c r="G25" s="499" t="s">
        <v>373</v>
      </c>
      <c r="H25" s="507">
        <v>145</v>
      </c>
      <c r="I25" s="507">
        <v>97</v>
      </c>
      <c r="J25" s="105"/>
      <c r="K25" s="151"/>
      <c r="L25" s="733"/>
    </row>
    <row r="26" spans="2:12" ht="15">
      <c r="B26" s="65"/>
      <c r="C26" s="503"/>
      <c r="D26" s="503"/>
      <c r="E26" s="503"/>
      <c r="F26" s="505"/>
      <c r="G26" s="499" t="s">
        <v>374</v>
      </c>
      <c r="H26" s="513">
        <f>H21+H22+H23+H24-H25</f>
        <v>2483</v>
      </c>
      <c r="I26" s="513">
        <f>I21+I22+I23+I24-I25</f>
        <v>1848</v>
      </c>
      <c r="J26" s="105"/>
    </row>
    <row r="27" spans="2:12" ht="15">
      <c r="B27" s="65"/>
      <c r="C27" s="503"/>
      <c r="D27" s="503"/>
      <c r="E27" s="503"/>
      <c r="F27" s="505"/>
      <c r="G27" s="499"/>
      <c r="H27" s="509"/>
      <c r="I27" s="509"/>
      <c r="J27" s="105"/>
    </row>
    <row r="28" spans="2:12" ht="15">
      <c r="B28" s="65"/>
      <c r="C28" s="503"/>
      <c r="D28" s="503"/>
      <c r="E28" s="503"/>
      <c r="F28" s="505"/>
      <c r="G28" s="499" t="s">
        <v>375</v>
      </c>
      <c r="H28" s="509"/>
      <c r="I28" s="509"/>
      <c r="J28" s="105"/>
    </row>
    <row r="29" spans="2:12" ht="15.75" thickBot="1">
      <c r="B29" s="65"/>
      <c r="C29" s="503" t="s">
        <v>376</v>
      </c>
      <c r="D29" s="514">
        <f>D14+D21</f>
        <v>4233</v>
      </c>
      <c r="E29" s="514">
        <f>E14+E21</f>
        <v>3536</v>
      </c>
      <c r="F29" s="505"/>
      <c r="G29" s="499" t="s">
        <v>377</v>
      </c>
      <c r="H29" s="514">
        <f>H13+H18+H26</f>
        <v>4233</v>
      </c>
      <c r="I29" s="514">
        <f>I13+I18+I26</f>
        <v>3536</v>
      </c>
      <c r="J29" s="105"/>
    </row>
    <row r="30" spans="2:12" ht="15.75" thickTop="1">
      <c r="B30" s="65"/>
      <c r="C30" s="63"/>
      <c r="D30" s="250"/>
      <c r="E30" s="250"/>
      <c r="F30" s="209"/>
      <c r="G30" s="121"/>
      <c r="H30" s="250"/>
      <c r="I30" s="250"/>
      <c r="J30" s="105"/>
    </row>
    <row r="31" spans="2:12" ht="15">
      <c r="B31" s="65"/>
      <c r="C31" s="63" t="s">
        <v>378</v>
      </c>
      <c r="D31" s="71">
        <v>1140</v>
      </c>
      <c r="E31" s="250"/>
      <c r="F31" s="209"/>
      <c r="G31" s="121"/>
      <c r="H31" s="250"/>
      <c r="I31" s="250"/>
      <c r="J31" s="105"/>
    </row>
    <row r="32" spans="2:12" ht="15">
      <c r="B32" s="65"/>
      <c r="C32" s="63" t="s">
        <v>379</v>
      </c>
      <c r="D32" s="732">
        <v>330</v>
      </c>
      <c r="E32" s="250"/>
      <c r="F32" s="209"/>
      <c r="G32" s="121"/>
      <c r="H32" s="250"/>
      <c r="I32" s="250"/>
      <c r="J32" s="105"/>
    </row>
    <row r="33" spans="2:10" ht="15">
      <c r="B33" s="65"/>
      <c r="C33" s="63" t="s">
        <v>380</v>
      </c>
      <c r="D33" s="71">
        <v>175</v>
      </c>
      <c r="E33" s="250"/>
      <c r="F33" s="209"/>
      <c r="G33" s="499"/>
      <c r="H33" s="250"/>
      <c r="I33" s="250"/>
      <c r="J33" s="105"/>
    </row>
    <row r="34" spans="2:10" ht="15">
      <c r="B34" s="65"/>
      <c r="C34" s="63" t="s">
        <v>381</v>
      </c>
      <c r="D34" s="497">
        <f>I17-H17+D33</f>
        <v>151</v>
      </c>
      <c r="E34" s="250"/>
      <c r="F34" s="209"/>
      <c r="G34" s="121"/>
      <c r="H34" s="250"/>
      <c r="I34" s="250"/>
      <c r="J34" s="105"/>
    </row>
    <row r="35" spans="2:10" ht="15">
      <c r="B35" s="65"/>
      <c r="C35" s="63" t="s">
        <v>382</v>
      </c>
      <c r="D35" s="497">
        <f>(H22+H23)-(I22+I23)</f>
        <v>12</v>
      </c>
      <c r="E35" s="250"/>
      <c r="F35" s="209"/>
      <c r="G35" s="121"/>
      <c r="H35" s="250"/>
      <c r="I35" s="250"/>
      <c r="J35" s="105"/>
    </row>
    <row r="36" spans="2:10" ht="15">
      <c r="B36" s="65"/>
      <c r="C36" s="63" t="s">
        <v>383</v>
      </c>
      <c r="D36" s="497">
        <f>H25-I25</f>
        <v>48</v>
      </c>
      <c r="E36" s="250"/>
      <c r="F36" s="209"/>
      <c r="G36" s="121"/>
      <c r="H36" s="250"/>
      <c r="I36" s="250"/>
      <c r="J36" s="105"/>
    </row>
    <row r="37" spans="2:10" ht="15">
      <c r="B37" s="65"/>
      <c r="C37" s="63"/>
      <c r="D37" s="250"/>
      <c r="E37" s="250"/>
      <c r="F37" s="209"/>
      <c r="G37" s="121"/>
      <c r="H37" s="250"/>
      <c r="I37" s="250"/>
      <c r="J37" s="105"/>
    </row>
    <row r="38" spans="2:10" ht="15.75">
      <c r="B38" s="65"/>
      <c r="C38" s="768" t="s">
        <v>384</v>
      </c>
      <c r="D38" s="768"/>
      <c r="E38" s="250"/>
      <c r="F38" s="209"/>
      <c r="G38" s="121"/>
      <c r="H38" s="250"/>
      <c r="I38" s="250"/>
      <c r="J38" s="105"/>
    </row>
    <row r="39" spans="2:10" ht="15">
      <c r="B39" s="65"/>
      <c r="C39" s="63" t="s">
        <v>35</v>
      </c>
      <c r="D39" s="71">
        <v>5813</v>
      </c>
      <c r="E39" s="250"/>
      <c r="F39" s="209"/>
      <c r="G39" s="121"/>
      <c r="H39" s="250"/>
      <c r="I39" s="250"/>
      <c r="J39" s="105"/>
    </row>
    <row r="40" spans="2:10" ht="15">
      <c r="B40" s="65"/>
      <c r="C40" s="63" t="s">
        <v>385</v>
      </c>
      <c r="D40" s="166">
        <v>3430</v>
      </c>
      <c r="E40" s="250"/>
      <c r="F40" s="209"/>
      <c r="G40" s="121"/>
      <c r="H40" s="250"/>
      <c r="I40" s="250"/>
      <c r="J40" s="105"/>
    </row>
    <row r="41" spans="2:10" ht="15">
      <c r="B41" s="65"/>
      <c r="C41" s="63" t="s">
        <v>386</v>
      </c>
      <c r="D41" s="166">
        <v>652</v>
      </c>
      <c r="E41" s="250"/>
      <c r="F41" s="209"/>
      <c r="G41" s="121"/>
      <c r="H41" s="250"/>
      <c r="I41" s="250"/>
      <c r="J41" s="105"/>
    </row>
    <row r="42" spans="2:10" ht="15">
      <c r="B42" s="65"/>
      <c r="C42" s="63" t="s">
        <v>201</v>
      </c>
      <c r="D42" s="650">
        <f>D18-E18</f>
        <v>191</v>
      </c>
      <c r="E42" s="250"/>
      <c r="F42" s="209"/>
      <c r="G42" s="121"/>
      <c r="H42" s="250"/>
      <c r="I42" s="250"/>
      <c r="J42" s="105"/>
    </row>
    <row r="43" spans="2:10" ht="15">
      <c r="B43" s="65"/>
      <c r="C43" s="63" t="s">
        <v>387</v>
      </c>
      <c r="D43" s="250">
        <f>D39-D40-D41-D42</f>
        <v>1540</v>
      </c>
      <c r="E43" s="250"/>
      <c r="F43" s="209"/>
      <c r="G43" s="121"/>
      <c r="H43" s="250"/>
      <c r="I43" s="250"/>
      <c r="J43" s="105"/>
    </row>
    <row r="44" spans="2:10" ht="15">
      <c r="B44" s="65"/>
      <c r="C44" s="63" t="s">
        <v>388</v>
      </c>
      <c r="D44" s="249">
        <v>58</v>
      </c>
      <c r="E44" s="250"/>
      <c r="F44" s="209"/>
      <c r="G44" s="121"/>
      <c r="H44" s="250"/>
      <c r="I44" s="250"/>
      <c r="J44" s="105"/>
    </row>
    <row r="45" spans="2:10" ht="15">
      <c r="B45" s="65"/>
      <c r="C45" s="63" t="s">
        <v>202</v>
      </c>
      <c r="D45" s="250">
        <f>SUM(D43:D44)</f>
        <v>1598</v>
      </c>
      <c r="E45" s="250"/>
      <c r="F45" s="209"/>
      <c r="G45" s="121"/>
      <c r="H45" s="250"/>
      <c r="I45" s="250"/>
      <c r="J45" s="105"/>
    </row>
    <row r="46" spans="2:10" ht="15">
      <c r="B46" s="65"/>
      <c r="C46" s="63" t="s">
        <v>389</v>
      </c>
      <c r="D46" s="249">
        <v>105</v>
      </c>
      <c r="E46" s="250"/>
      <c r="F46" s="209"/>
      <c r="G46" s="121"/>
      <c r="H46" s="250"/>
      <c r="I46" s="250"/>
      <c r="J46" s="105"/>
    </row>
    <row r="47" spans="2:10" ht="15">
      <c r="B47" s="65"/>
      <c r="C47" s="63" t="s">
        <v>390</v>
      </c>
      <c r="D47" s="250">
        <f>D45-D46</f>
        <v>1493</v>
      </c>
      <c r="E47" s="250"/>
      <c r="F47" s="209"/>
      <c r="G47" s="121"/>
      <c r="H47" s="250"/>
      <c r="I47" s="250"/>
      <c r="J47" s="105"/>
    </row>
    <row r="48" spans="2:10" ht="15">
      <c r="B48" s="65"/>
      <c r="C48" s="63" t="s">
        <v>391</v>
      </c>
      <c r="D48" s="166">
        <v>597</v>
      </c>
      <c r="E48" s="250"/>
      <c r="F48" s="209"/>
      <c r="G48" s="121"/>
      <c r="H48" s="250"/>
      <c r="I48" s="250"/>
      <c r="J48" s="105"/>
    </row>
    <row r="49" spans="1:17" ht="15">
      <c r="B49" s="65"/>
      <c r="C49" s="63" t="s">
        <v>392</v>
      </c>
      <c r="D49" s="71"/>
      <c r="E49" s="71">
        <v>467</v>
      </c>
      <c r="F49" s="209"/>
      <c r="G49" s="121"/>
      <c r="H49" s="250"/>
      <c r="I49" s="250"/>
      <c r="J49" s="105"/>
    </row>
    <row r="50" spans="1:17" ht="15">
      <c r="B50" s="65"/>
      <c r="C50" s="63" t="s">
        <v>393</v>
      </c>
      <c r="D50" s="251"/>
      <c r="E50" s="250">
        <f>D48-E49</f>
        <v>130</v>
      </c>
      <c r="F50" s="209"/>
      <c r="G50" s="121"/>
      <c r="H50" s="250"/>
      <c r="I50" s="250"/>
      <c r="J50" s="105"/>
    </row>
    <row r="51" spans="1:17" ht="15.75" thickBot="1">
      <c r="B51" s="65"/>
      <c r="C51" s="63" t="s">
        <v>40</v>
      </c>
      <c r="D51" s="496">
        <f>D47-D48</f>
        <v>896</v>
      </c>
      <c r="E51" s="250"/>
      <c r="F51" s="209"/>
      <c r="G51" s="121"/>
      <c r="H51" s="250"/>
      <c r="I51" s="250"/>
      <c r="J51" s="105"/>
    </row>
    <row r="52" spans="1:17" ht="15.75" thickTop="1">
      <c r="B52" s="65"/>
      <c r="C52" s="63"/>
      <c r="D52" s="71"/>
      <c r="E52" s="250"/>
      <c r="F52" s="209"/>
      <c r="G52" s="121"/>
      <c r="H52" s="250"/>
      <c r="I52" s="250"/>
      <c r="J52" s="105"/>
    </row>
    <row r="53" spans="1:17" ht="15">
      <c r="B53" s="65"/>
      <c r="C53" s="63" t="s">
        <v>395</v>
      </c>
      <c r="D53" s="732">
        <v>225</v>
      </c>
      <c r="E53" s="250"/>
      <c r="F53" s="209"/>
      <c r="G53" s="121"/>
      <c r="H53" s="250"/>
      <c r="I53" s="250"/>
      <c r="J53" s="105"/>
    </row>
    <row r="54" spans="1:17" ht="15">
      <c r="B54" s="65"/>
      <c r="C54" s="63" t="s">
        <v>394</v>
      </c>
      <c r="D54" s="497">
        <f>D51-D53</f>
        <v>671</v>
      </c>
      <c r="E54" s="250"/>
      <c r="F54" s="209"/>
      <c r="G54" s="121"/>
      <c r="H54" s="250"/>
      <c r="I54" s="250"/>
      <c r="J54" s="105"/>
    </row>
    <row r="55" spans="1:17" ht="15.75" thickBot="1">
      <c r="B55" s="72"/>
      <c r="C55" s="73"/>
      <c r="D55" s="73"/>
      <c r="E55" s="73"/>
      <c r="F55" s="73"/>
      <c r="G55" s="73"/>
      <c r="H55" s="73"/>
      <c r="I55" s="73"/>
      <c r="J55" s="74"/>
    </row>
    <row r="56" spans="1:17" ht="15">
      <c r="C56" s="59"/>
      <c r="D56" s="59"/>
      <c r="E56" s="59"/>
      <c r="F56" s="59"/>
      <c r="G56" s="59"/>
      <c r="H56" s="59"/>
      <c r="I56" s="59"/>
      <c r="J56" s="59"/>
    </row>
    <row r="57" spans="1:17" ht="15">
      <c r="C57" s="9" t="s">
        <v>51</v>
      </c>
      <c r="D57" s="9"/>
      <c r="E57" s="59"/>
      <c r="F57" s="59"/>
      <c r="G57" s="59"/>
      <c r="H57" s="59"/>
      <c r="I57" s="59"/>
      <c r="J57" s="59"/>
    </row>
    <row r="58" spans="1:17" ht="15.75" thickBot="1">
      <c r="B58" s="252"/>
      <c r="C58" s="252"/>
      <c r="D58" s="252"/>
      <c r="E58" s="252"/>
      <c r="F58" s="252"/>
      <c r="G58" s="252"/>
      <c r="H58" s="252"/>
      <c r="I58" s="75"/>
      <c r="J58" s="253"/>
      <c r="K58" s="254"/>
    </row>
    <row r="59" spans="1:17" ht="15">
      <c r="B59" s="169"/>
      <c r="C59" s="109"/>
      <c r="D59" s="109"/>
      <c r="E59" s="137"/>
      <c r="F59" s="75"/>
    </row>
    <row r="60" spans="1:17" ht="15.75">
      <c r="A60" s="59"/>
      <c r="B60" s="80"/>
      <c r="C60" s="255" t="s">
        <v>396</v>
      </c>
      <c r="D60" s="221"/>
      <c r="E60" s="82"/>
      <c r="F60" s="254"/>
      <c r="G60" s="256"/>
      <c r="H60" s="254"/>
      <c r="I60" s="59"/>
      <c r="J60" s="59"/>
      <c r="K60" s="59"/>
      <c r="L60" s="59"/>
      <c r="M60" s="59"/>
      <c r="N60" s="59"/>
      <c r="O60" s="59"/>
      <c r="P60" s="59"/>
      <c r="Q60" s="59"/>
    </row>
    <row r="61" spans="1:17" ht="15.75" customHeight="1">
      <c r="A61" s="59"/>
      <c r="B61" s="80"/>
      <c r="C61" s="81" t="s">
        <v>397</v>
      </c>
      <c r="D61" s="111">
        <f>D45</f>
        <v>1598</v>
      </c>
      <c r="E61" s="82"/>
      <c r="F61" s="254"/>
      <c r="G61" s="254"/>
      <c r="H61" s="254"/>
      <c r="I61" s="59"/>
      <c r="J61" s="59"/>
      <c r="K61" s="59"/>
      <c r="L61" s="59"/>
      <c r="M61" s="59"/>
      <c r="N61" s="59"/>
      <c r="O61" s="59"/>
      <c r="P61" s="59"/>
      <c r="Q61" s="59"/>
    </row>
    <row r="62" spans="1:17" ht="15.75">
      <c r="A62" s="59"/>
      <c r="B62" s="80"/>
      <c r="C62" s="81" t="s">
        <v>201</v>
      </c>
      <c r="D62" s="257">
        <f>D42</f>
        <v>191</v>
      </c>
      <c r="E62" s="82"/>
      <c r="F62" s="254"/>
      <c r="G62" s="256"/>
      <c r="H62" s="254"/>
      <c r="I62" s="59"/>
      <c r="J62" s="59"/>
      <c r="K62" s="59"/>
      <c r="L62" s="59"/>
      <c r="M62" s="59"/>
      <c r="N62" s="59"/>
      <c r="O62" s="59"/>
      <c r="P62" s="59"/>
      <c r="Q62" s="59"/>
    </row>
    <row r="63" spans="1:17" ht="15.75" customHeight="1">
      <c r="A63" s="258"/>
      <c r="B63" s="80"/>
      <c r="C63" s="259" t="s">
        <v>398</v>
      </c>
      <c r="D63" s="260">
        <f>E49</f>
        <v>467</v>
      </c>
      <c r="E63" s="82"/>
      <c r="F63" s="254"/>
      <c r="G63" s="254"/>
      <c r="H63" s="254"/>
      <c r="I63" s="59"/>
      <c r="J63" s="59"/>
      <c r="K63" s="59"/>
      <c r="L63" s="59"/>
      <c r="M63" s="59"/>
      <c r="N63" s="59"/>
      <c r="O63" s="59"/>
      <c r="P63" s="59"/>
      <c r="Q63" s="59"/>
    </row>
    <row r="64" spans="1:17" ht="15.75">
      <c r="A64" s="59"/>
      <c r="B64" s="80"/>
      <c r="C64" s="81" t="s">
        <v>399</v>
      </c>
      <c r="D64" s="111">
        <f>D61+D62-D63</f>
        <v>1322</v>
      </c>
      <c r="E64" s="82"/>
      <c r="F64" s="254"/>
      <c r="G64" s="256"/>
      <c r="H64" s="254"/>
      <c r="I64" s="59"/>
      <c r="J64" s="59"/>
      <c r="K64" s="59"/>
      <c r="L64" s="59"/>
      <c r="M64" s="59"/>
      <c r="N64" s="59"/>
      <c r="O64" s="59"/>
      <c r="P64" s="59"/>
      <c r="Q64" s="59"/>
    </row>
    <row r="65" spans="1:25" ht="15.75" thickBot="1">
      <c r="A65" s="59"/>
      <c r="B65" s="89"/>
      <c r="C65" s="90"/>
      <c r="D65" s="90"/>
      <c r="E65" s="91"/>
      <c r="F65" s="254"/>
      <c r="G65" s="261"/>
      <c r="H65" s="254"/>
      <c r="I65" s="59"/>
      <c r="J65" s="59"/>
      <c r="K65" s="59"/>
      <c r="L65" s="59"/>
      <c r="M65" s="59"/>
      <c r="N65" s="59"/>
      <c r="O65" s="59"/>
      <c r="P65" s="59"/>
      <c r="Q65" s="59"/>
    </row>
    <row r="66" spans="1:25" ht="15.75" thickBot="1">
      <c r="A66" s="59"/>
      <c r="B66" s="254"/>
      <c r="C66" s="254"/>
      <c r="D66" s="254"/>
      <c r="E66" s="254"/>
      <c r="F66" s="254"/>
      <c r="G66" s="254"/>
      <c r="H66" s="254"/>
      <c r="I66" s="254"/>
      <c r="J66" s="254"/>
      <c r="K66" s="254"/>
      <c r="L66" s="59"/>
      <c r="M66" s="59"/>
      <c r="N66" s="59"/>
      <c r="O66" s="59"/>
      <c r="P66" s="59"/>
      <c r="Q66" s="59"/>
      <c r="R66" s="59"/>
      <c r="S66" s="59"/>
      <c r="T66" s="59"/>
      <c r="U66" s="59"/>
      <c r="V66" s="59"/>
      <c r="W66" s="59"/>
      <c r="X66" s="59"/>
      <c r="Y66" s="59"/>
    </row>
    <row r="67" spans="1:25" ht="15.75">
      <c r="A67" s="59"/>
      <c r="B67" s="169"/>
      <c r="C67" s="109"/>
      <c r="D67" s="109"/>
      <c r="E67" s="79"/>
      <c r="F67" s="254"/>
      <c r="G67" s="256"/>
      <c r="H67" s="254"/>
      <c r="I67" s="59"/>
      <c r="J67" s="59"/>
      <c r="K67" s="59"/>
      <c r="L67" s="59"/>
      <c r="M67" s="59"/>
      <c r="N67" s="59"/>
      <c r="O67" s="59"/>
      <c r="P67" s="59"/>
      <c r="Q67" s="59"/>
    </row>
    <row r="68" spans="1:25" ht="15">
      <c r="A68" s="59"/>
      <c r="B68" s="80"/>
      <c r="C68" s="255" t="s">
        <v>744</v>
      </c>
      <c r="D68" s="221"/>
      <c r="E68" s="82"/>
      <c r="F68" s="59"/>
      <c r="G68" s="59"/>
      <c r="H68" s="59"/>
      <c r="I68" s="59"/>
      <c r="J68" s="59"/>
      <c r="K68" s="59"/>
      <c r="L68" s="59"/>
      <c r="M68" s="59"/>
      <c r="N68" s="59"/>
      <c r="O68" s="59"/>
      <c r="P68" s="59"/>
      <c r="Q68" s="59"/>
    </row>
    <row r="69" spans="1:25" ht="15">
      <c r="A69" s="59"/>
      <c r="B69" s="80"/>
      <c r="C69" s="221" t="s">
        <v>378</v>
      </c>
      <c r="D69" s="262">
        <f>D31</f>
        <v>1140</v>
      </c>
      <c r="E69" s="82"/>
      <c r="F69" s="59"/>
      <c r="G69" s="59"/>
      <c r="H69" s="59"/>
      <c r="I69" s="59"/>
      <c r="J69" s="59"/>
      <c r="K69" s="59"/>
      <c r="L69" s="59"/>
      <c r="M69" s="59"/>
      <c r="N69" s="59"/>
      <c r="O69" s="59"/>
      <c r="P69" s="59"/>
      <c r="Q69" s="59"/>
    </row>
    <row r="70" spans="1:25" ht="15">
      <c r="A70" s="59"/>
      <c r="B70" s="80"/>
      <c r="C70" s="221" t="s">
        <v>379</v>
      </c>
      <c r="D70" s="263">
        <f>-D32</f>
        <v>-330</v>
      </c>
      <c r="E70" s="82"/>
      <c r="F70" s="59"/>
      <c r="G70" s="59"/>
      <c r="H70" s="59"/>
      <c r="I70" s="59"/>
      <c r="J70" s="59"/>
      <c r="K70" s="59"/>
      <c r="L70" s="59"/>
      <c r="M70" s="59"/>
      <c r="N70" s="59"/>
      <c r="O70" s="59"/>
      <c r="P70" s="59"/>
      <c r="Q70" s="59"/>
    </row>
    <row r="71" spans="1:25" ht="15">
      <c r="A71" s="59"/>
      <c r="B71" s="80"/>
      <c r="C71" s="221" t="s">
        <v>401</v>
      </c>
      <c r="D71" s="262">
        <f>SUM(D69:D70)</f>
        <v>810</v>
      </c>
      <c r="E71" s="82"/>
      <c r="F71" s="59"/>
      <c r="G71" s="59"/>
      <c r="H71" s="59"/>
      <c r="I71" s="59"/>
      <c r="J71" s="59"/>
      <c r="K71" s="59"/>
      <c r="L71" s="59"/>
      <c r="M71" s="59"/>
      <c r="N71" s="59"/>
      <c r="O71" s="59"/>
      <c r="P71" s="59"/>
      <c r="Q71" s="59"/>
    </row>
    <row r="72" spans="1:25" ht="15">
      <c r="A72" s="59"/>
      <c r="B72" s="80"/>
      <c r="C72" s="221"/>
      <c r="D72" s="221"/>
      <c r="E72" s="82"/>
      <c r="F72" s="59"/>
      <c r="G72" s="59"/>
      <c r="H72" s="59"/>
      <c r="I72" s="59"/>
      <c r="J72" s="59"/>
      <c r="K72" s="59"/>
      <c r="L72" s="59"/>
      <c r="M72" s="59"/>
      <c r="N72" s="59"/>
      <c r="O72" s="59"/>
      <c r="P72" s="59"/>
      <c r="Q72" s="59"/>
    </row>
    <row r="73" spans="1:25" ht="15">
      <c r="A73" s="59"/>
      <c r="B73" s="80"/>
      <c r="C73" s="255" t="s">
        <v>402</v>
      </c>
      <c r="D73" s="221"/>
      <c r="E73" s="82"/>
      <c r="F73" s="59"/>
      <c r="G73" s="59"/>
      <c r="H73" s="59"/>
      <c r="I73" s="59"/>
      <c r="J73" s="59"/>
      <c r="K73" s="59"/>
      <c r="L73" s="59"/>
      <c r="M73" s="59"/>
      <c r="N73" s="59"/>
      <c r="O73" s="59"/>
      <c r="P73" s="59"/>
      <c r="Q73" s="59"/>
    </row>
    <row r="74" spans="1:25" ht="15">
      <c r="A74" s="59"/>
      <c r="B74" s="80"/>
      <c r="C74" s="81" t="s">
        <v>403</v>
      </c>
      <c r="D74" s="111">
        <f>D21</f>
        <v>2770</v>
      </c>
      <c r="E74" s="82"/>
      <c r="F74" s="59"/>
      <c r="G74" s="59"/>
      <c r="H74" s="59"/>
      <c r="I74" s="59"/>
      <c r="J74" s="59"/>
      <c r="K74" s="59"/>
      <c r="L74" s="59"/>
      <c r="M74" s="59"/>
      <c r="N74" s="59"/>
      <c r="O74" s="59"/>
      <c r="P74" s="59"/>
      <c r="Q74" s="59"/>
    </row>
    <row r="75" spans="1:25" ht="15">
      <c r="A75" s="59"/>
      <c r="B75" s="80"/>
      <c r="C75" s="259" t="s">
        <v>404</v>
      </c>
      <c r="D75" s="257">
        <f>E21</f>
        <v>2151</v>
      </c>
      <c r="E75" s="82"/>
      <c r="F75" s="59"/>
      <c r="G75" s="59"/>
      <c r="H75" s="59"/>
      <c r="I75" s="59"/>
      <c r="J75" s="59"/>
      <c r="K75" s="59"/>
      <c r="L75" s="59"/>
      <c r="M75" s="59"/>
      <c r="N75" s="59"/>
      <c r="O75" s="59"/>
      <c r="P75" s="59"/>
      <c r="Q75" s="59"/>
    </row>
    <row r="76" spans="1:25" ht="15">
      <c r="A76" s="59"/>
      <c r="B76" s="80"/>
      <c r="C76" s="81" t="s">
        <v>201</v>
      </c>
      <c r="D76" s="260">
        <f>D42</f>
        <v>191</v>
      </c>
      <c r="E76" s="82"/>
      <c r="F76" s="59"/>
      <c r="G76" s="59"/>
      <c r="H76" s="59"/>
      <c r="I76" s="59"/>
      <c r="J76" s="59"/>
      <c r="K76" s="59"/>
      <c r="L76" s="59"/>
      <c r="M76" s="59"/>
      <c r="N76" s="59"/>
      <c r="O76" s="59"/>
      <c r="P76" s="59"/>
      <c r="Q76" s="59"/>
    </row>
    <row r="77" spans="1:25" ht="15">
      <c r="A77" s="59"/>
      <c r="B77" s="80"/>
      <c r="C77" s="81" t="s">
        <v>401</v>
      </c>
      <c r="D77" s="111">
        <f>D74-D75+D76</f>
        <v>810</v>
      </c>
      <c r="E77" s="82"/>
      <c r="F77" s="59"/>
      <c r="G77" s="59"/>
      <c r="H77" s="59"/>
      <c r="I77" s="59"/>
      <c r="J77" s="59"/>
      <c r="K77" s="59"/>
      <c r="L77" s="59"/>
      <c r="M77" s="59"/>
      <c r="N77" s="59"/>
      <c r="O77" s="59"/>
      <c r="P77" s="59"/>
      <c r="Q77" s="59"/>
    </row>
    <row r="78" spans="1:25" ht="15.75" thickBot="1">
      <c r="A78" s="59"/>
      <c r="B78" s="89"/>
      <c r="C78" s="90"/>
      <c r="D78" s="90"/>
      <c r="E78" s="91"/>
      <c r="F78" s="59"/>
      <c r="G78" s="59"/>
      <c r="H78" s="59"/>
      <c r="I78" s="59"/>
      <c r="J78" s="59"/>
      <c r="K78" s="59"/>
      <c r="L78" s="59"/>
      <c r="M78" s="59"/>
      <c r="N78" s="59"/>
      <c r="O78" s="59"/>
      <c r="P78" s="59"/>
      <c r="Q78" s="59"/>
    </row>
    <row r="79" spans="1:25" ht="15.75" thickBot="1">
      <c r="A79" s="59"/>
      <c r="I79" s="59"/>
      <c r="J79" s="59"/>
      <c r="K79" s="59"/>
      <c r="L79" s="59"/>
      <c r="M79" s="59"/>
      <c r="N79" s="59"/>
      <c r="O79" s="59"/>
      <c r="P79" s="59"/>
      <c r="Q79" s="59"/>
      <c r="R79" s="59"/>
      <c r="S79" s="59"/>
      <c r="T79" s="59"/>
      <c r="U79" s="59"/>
      <c r="V79" s="59"/>
      <c r="W79" s="59"/>
      <c r="X79" s="59"/>
      <c r="Y79" s="59"/>
    </row>
    <row r="80" spans="1:25" ht="15">
      <c r="A80" s="59"/>
      <c r="B80" s="264"/>
      <c r="C80" s="109"/>
      <c r="D80" s="109"/>
      <c r="E80" s="79"/>
      <c r="F80" s="254"/>
      <c r="G80" s="254"/>
      <c r="H80" s="59"/>
      <c r="I80" s="59"/>
      <c r="J80" s="59"/>
      <c r="K80" s="59"/>
      <c r="L80" s="59"/>
      <c r="M80" s="59"/>
      <c r="N80" s="59"/>
      <c r="O80" s="59"/>
      <c r="P80" s="59"/>
      <c r="Q80" s="59"/>
      <c r="R80" s="59"/>
      <c r="S80" s="59"/>
      <c r="T80" s="59"/>
      <c r="U80" s="59"/>
      <c r="V80" s="59"/>
      <c r="W80" s="59"/>
      <c r="X80" s="59"/>
    </row>
    <row r="81" spans="1:25" ht="15">
      <c r="A81" s="59"/>
      <c r="B81" s="265"/>
      <c r="C81" s="113" t="s">
        <v>405</v>
      </c>
      <c r="D81" s="81"/>
      <c r="E81" s="266"/>
      <c r="F81" s="267"/>
      <c r="G81" s="267"/>
      <c r="H81" s="59"/>
      <c r="I81" s="59"/>
      <c r="J81" s="59"/>
      <c r="K81" s="59"/>
      <c r="L81" s="59"/>
      <c r="M81" s="59"/>
      <c r="N81" s="59"/>
      <c r="O81" s="59"/>
      <c r="P81" s="59"/>
      <c r="Q81" s="59"/>
      <c r="R81" s="59"/>
      <c r="S81" s="59"/>
      <c r="T81" s="59"/>
      <c r="U81" s="59"/>
      <c r="V81" s="59"/>
      <c r="W81" s="59"/>
      <c r="X81" s="59"/>
    </row>
    <row r="82" spans="1:25" ht="15">
      <c r="A82" s="59"/>
      <c r="B82" s="265"/>
      <c r="C82" s="81" t="s">
        <v>406</v>
      </c>
      <c r="D82" s="111">
        <f>D14-H13</f>
        <v>874</v>
      </c>
      <c r="E82" s="268"/>
      <c r="F82" s="269"/>
      <c r="G82" s="269"/>
      <c r="H82" s="59"/>
      <c r="I82" s="59"/>
      <c r="J82" s="59"/>
      <c r="K82" s="59"/>
      <c r="L82" s="59"/>
      <c r="M82" s="59"/>
      <c r="N82" s="59"/>
      <c r="O82" s="59"/>
      <c r="P82" s="59"/>
      <c r="Q82" s="59"/>
      <c r="R82" s="59"/>
      <c r="S82" s="59"/>
      <c r="T82" s="59"/>
      <c r="U82" s="59"/>
      <c r="V82" s="59"/>
      <c r="W82" s="59"/>
      <c r="X82" s="59"/>
    </row>
    <row r="83" spans="1:25" ht="15">
      <c r="A83" s="59"/>
      <c r="B83" s="265"/>
      <c r="C83" s="81" t="s">
        <v>407</v>
      </c>
      <c r="D83" s="260">
        <f>E14-I13</f>
        <v>704</v>
      </c>
      <c r="E83" s="268"/>
      <c r="F83" s="269"/>
      <c r="G83" s="269"/>
      <c r="H83" s="59"/>
      <c r="I83" s="59"/>
      <c r="J83" s="59"/>
      <c r="K83" s="59"/>
      <c r="L83" s="59"/>
      <c r="M83" s="59"/>
      <c r="N83" s="59"/>
      <c r="O83" s="59"/>
      <c r="P83" s="59"/>
      <c r="Q83" s="59"/>
      <c r="R83" s="59"/>
      <c r="S83" s="59"/>
      <c r="T83" s="59"/>
      <c r="U83" s="59"/>
      <c r="V83" s="59"/>
      <c r="W83" s="59"/>
      <c r="X83" s="59"/>
    </row>
    <row r="84" spans="1:25" ht="15">
      <c r="A84" s="59"/>
      <c r="B84" s="265"/>
      <c r="C84" s="81" t="s">
        <v>408</v>
      </c>
      <c r="D84" s="111">
        <f>D82-D83</f>
        <v>170</v>
      </c>
      <c r="E84" s="141"/>
      <c r="F84" s="75"/>
      <c r="G84" s="75"/>
      <c r="H84" s="498"/>
      <c r="I84" s="59"/>
      <c r="J84" s="59"/>
      <c r="K84" s="59"/>
      <c r="L84" s="59"/>
      <c r="M84" s="59"/>
      <c r="N84" s="59"/>
      <c r="O84" s="59"/>
      <c r="P84" s="59"/>
      <c r="Q84" s="59"/>
      <c r="R84" s="59"/>
      <c r="S84" s="59"/>
      <c r="T84" s="59"/>
      <c r="U84" s="59"/>
      <c r="V84" s="59"/>
      <c r="W84" s="59"/>
      <c r="X84" s="59"/>
    </row>
    <row r="85" spans="1:25" ht="15.75" thickBot="1">
      <c r="A85" s="59"/>
      <c r="B85" s="270"/>
      <c r="C85" s="231"/>
      <c r="D85" s="231"/>
      <c r="E85" s="271"/>
      <c r="F85" s="253"/>
      <c r="G85" s="253"/>
      <c r="H85" s="59"/>
      <c r="I85" s="59"/>
      <c r="J85" s="59"/>
      <c r="K85" s="59"/>
      <c r="L85" s="59"/>
      <c r="M85" s="59"/>
      <c r="N85" s="59"/>
      <c r="O85" s="59"/>
      <c r="P85" s="59"/>
      <c r="Q85" s="59"/>
      <c r="R85" s="59"/>
      <c r="S85" s="59"/>
      <c r="T85" s="59"/>
      <c r="U85" s="59"/>
      <c r="V85" s="59"/>
      <c r="W85" s="59"/>
      <c r="X85" s="59"/>
    </row>
    <row r="86" spans="1:25" ht="15.75" thickBot="1">
      <c r="A86" s="59"/>
      <c r="B86" s="515"/>
      <c r="C86" s="516"/>
      <c r="D86" s="516"/>
      <c r="E86" s="253"/>
      <c r="F86" s="253"/>
      <c r="G86" s="253"/>
      <c r="H86" s="59"/>
      <c r="I86" s="59"/>
      <c r="J86" s="59"/>
      <c r="K86" s="59"/>
      <c r="L86" s="59"/>
      <c r="M86" s="59"/>
      <c r="N86" s="59"/>
      <c r="O86" s="59"/>
      <c r="P86" s="59"/>
      <c r="Q86" s="59"/>
      <c r="R86" s="59"/>
      <c r="S86" s="59"/>
      <c r="T86" s="59"/>
      <c r="U86" s="59"/>
      <c r="V86" s="59"/>
      <c r="W86" s="59"/>
      <c r="X86" s="59"/>
    </row>
    <row r="87" spans="1:25" ht="15">
      <c r="A87" s="59"/>
      <c r="B87" s="264"/>
      <c r="C87" s="109"/>
      <c r="D87" s="109"/>
      <c r="E87" s="79"/>
      <c r="I87" s="59"/>
      <c r="J87" s="59"/>
      <c r="K87" s="59"/>
      <c r="L87" s="59"/>
      <c r="M87" s="59"/>
      <c r="N87" s="59"/>
      <c r="O87" s="59"/>
      <c r="P87" s="59"/>
      <c r="Q87" s="59"/>
      <c r="R87" s="59"/>
      <c r="S87" s="59"/>
      <c r="T87" s="59"/>
      <c r="U87" s="59"/>
      <c r="V87" s="59"/>
      <c r="W87" s="59"/>
      <c r="X87" s="59"/>
      <c r="Y87" s="59"/>
    </row>
    <row r="88" spans="1:25" ht="15">
      <c r="A88" s="59"/>
      <c r="B88" s="265"/>
      <c r="C88" s="113" t="s">
        <v>400</v>
      </c>
      <c r="D88" s="81"/>
      <c r="E88" s="266"/>
      <c r="I88" s="59"/>
      <c r="J88" s="59"/>
      <c r="K88" s="59"/>
      <c r="L88" s="59"/>
      <c r="M88" s="59"/>
      <c r="N88" s="59"/>
      <c r="O88" s="59"/>
      <c r="P88" s="59"/>
      <c r="Q88" s="59"/>
      <c r="R88" s="59"/>
      <c r="S88" s="59"/>
      <c r="T88" s="59"/>
      <c r="U88" s="59"/>
      <c r="V88" s="59"/>
      <c r="W88" s="59"/>
      <c r="X88" s="59"/>
      <c r="Y88" s="59"/>
    </row>
    <row r="89" spans="1:25" ht="15">
      <c r="A89" s="59"/>
      <c r="B89" s="265"/>
      <c r="C89" s="31" t="s">
        <v>542</v>
      </c>
      <c r="D89" s="111">
        <f>D64</f>
        <v>1322</v>
      </c>
      <c r="E89" s="268"/>
      <c r="I89" s="59"/>
      <c r="J89" s="59"/>
      <c r="K89" s="59"/>
      <c r="L89" s="59"/>
      <c r="M89" s="59"/>
      <c r="N89" s="59"/>
      <c r="O89" s="59"/>
      <c r="P89" s="59"/>
      <c r="Q89" s="59"/>
      <c r="R89" s="59"/>
      <c r="S89" s="59"/>
      <c r="T89" s="59"/>
      <c r="U89" s="59"/>
      <c r="V89" s="59"/>
      <c r="W89" s="59"/>
      <c r="X89" s="59"/>
      <c r="Y89" s="59"/>
    </row>
    <row r="90" spans="1:25" ht="15">
      <c r="A90" s="59"/>
      <c r="B90" s="265"/>
      <c r="C90" s="332" t="s">
        <v>745</v>
      </c>
      <c r="D90" s="257">
        <f>D77</f>
        <v>810</v>
      </c>
      <c r="E90" s="268"/>
      <c r="I90" s="59"/>
      <c r="J90" s="59"/>
      <c r="K90" s="59"/>
      <c r="L90" s="59"/>
      <c r="M90" s="59"/>
      <c r="N90" s="59"/>
      <c r="O90" s="59"/>
      <c r="P90" s="59"/>
      <c r="Q90" s="59"/>
      <c r="R90" s="59"/>
      <c r="S90" s="59"/>
      <c r="T90" s="59"/>
      <c r="U90" s="59"/>
      <c r="V90" s="59"/>
      <c r="W90" s="59"/>
      <c r="X90" s="59"/>
      <c r="Y90" s="59"/>
    </row>
    <row r="91" spans="1:25" ht="15">
      <c r="A91" s="59"/>
      <c r="B91" s="265"/>
      <c r="C91" s="332" t="s">
        <v>746</v>
      </c>
      <c r="D91" s="260">
        <f>D84</f>
        <v>170</v>
      </c>
      <c r="E91" s="268"/>
      <c r="I91" s="59"/>
      <c r="J91" s="59"/>
      <c r="K91" s="59"/>
      <c r="L91" s="59"/>
      <c r="M91" s="59"/>
      <c r="N91" s="59"/>
      <c r="O91" s="59"/>
      <c r="P91" s="59"/>
      <c r="Q91" s="59"/>
      <c r="R91" s="59"/>
      <c r="S91" s="59"/>
      <c r="T91" s="59"/>
      <c r="U91" s="59"/>
      <c r="V91" s="59"/>
      <c r="W91" s="59"/>
      <c r="X91" s="59"/>
      <c r="Y91" s="59"/>
    </row>
    <row r="92" spans="1:25" ht="15">
      <c r="A92" s="59"/>
      <c r="B92" s="265"/>
      <c r="C92" s="31" t="s">
        <v>747</v>
      </c>
      <c r="D92" s="111">
        <f>D89-D90-D91</f>
        <v>342</v>
      </c>
      <c r="E92" s="141"/>
      <c r="I92" s="59"/>
      <c r="J92" s="59"/>
      <c r="K92" s="59"/>
      <c r="L92" s="59"/>
      <c r="M92" s="59"/>
      <c r="N92" s="59"/>
      <c r="O92" s="59"/>
      <c r="P92" s="59"/>
      <c r="Q92" s="59"/>
      <c r="R92" s="59"/>
      <c r="S92" s="59"/>
      <c r="T92" s="59"/>
      <c r="U92" s="59"/>
      <c r="V92" s="59"/>
      <c r="W92" s="59"/>
      <c r="X92" s="59"/>
      <c r="Y92" s="59"/>
    </row>
    <row r="93" spans="1:25" ht="15.75" thickBot="1">
      <c r="A93" s="59"/>
      <c r="B93" s="270"/>
      <c r="C93" s="231"/>
      <c r="D93" s="231"/>
      <c r="E93" s="271"/>
      <c r="I93" s="59"/>
      <c r="J93" s="59"/>
      <c r="K93" s="59"/>
      <c r="L93" s="59"/>
      <c r="M93" s="59"/>
      <c r="N93" s="59"/>
      <c r="O93" s="59"/>
      <c r="P93" s="59"/>
      <c r="Q93" s="59"/>
      <c r="R93" s="59"/>
      <c r="S93" s="59"/>
      <c r="T93" s="59"/>
      <c r="U93" s="59"/>
      <c r="V93" s="59"/>
      <c r="W93" s="59"/>
      <c r="X93" s="59"/>
      <c r="Y93" s="59"/>
    </row>
    <row r="94" spans="1:25" ht="15.75" thickBot="1">
      <c r="A94" s="59"/>
      <c r="I94" s="59"/>
      <c r="J94" s="59"/>
      <c r="K94" s="59"/>
      <c r="L94" s="59"/>
      <c r="M94" s="59"/>
      <c r="N94" s="59"/>
      <c r="O94" s="59"/>
      <c r="P94" s="59"/>
      <c r="Q94" s="59"/>
      <c r="R94" s="59"/>
      <c r="S94" s="59"/>
      <c r="T94" s="59"/>
      <c r="U94" s="59"/>
      <c r="V94" s="59"/>
      <c r="W94" s="59"/>
      <c r="X94" s="59"/>
      <c r="Y94" s="59"/>
    </row>
    <row r="95" spans="1:25" ht="15">
      <c r="A95" s="59"/>
      <c r="B95" s="264"/>
      <c r="C95" s="109"/>
      <c r="D95" s="109"/>
      <c r="E95" s="79"/>
      <c r="F95" s="254"/>
      <c r="G95" s="254"/>
      <c r="H95" s="59"/>
      <c r="I95" s="59"/>
      <c r="J95" s="59"/>
      <c r="K95" s="59"/>
      <c r="L95" s="59"/>
      <c r="M95" s="59"/>
      <c r="N95" s="59"/>
      <c r="O95" s="59"/>
      <c r="P95" s="59"/>
      <c r="Q95" s="59"/>
      <c r="R95" s="59"/>
      <c r="S95" s="59"/>
      <c r="T95" s="59"/>
      <c r="U95" s="59"/>
      <c r="V95" s="59"/>
      <c r="W95" s="59"/>
      <c r="X95" s="59"/>
    </row>
    <row r="96" spans="1:25" ht="15">
      <c r="A96" s="59"/>
      <c r="B96" s="265"/>
      <c r="C96" s="113" t="s">
        <v>409</v>
      </c>
      <c r="D96" s="81"/>
      <c r="E96" s="266"/>
      <c r="F96" s="267"/>
      <c r="G96" s="267"/>
      <c r="H96" s="59"/>
      <c r="I96" s="59"/>
      <c r="J96" s="59"/>
      <c r="K96" s="59"/>
      <c r="L96" s="59"/>
      <c r="M96" s="59"/>
      <c r="N96" s="59"/>
      <c r="O96" s="59"/>
      <c r="P96" s="59"/>
      <c r="Q96" s="59"/>
      <c r="R96" s="59"/>
      <c r="S96" s="59"/>
      <c r="T96" s="59"/>
      <c r="U96" s="59"/>
      <c r="V96" s="59"/>
      <c r="W96" s="59"/>
      <c r="X96" s="59"/>
    </row>
    <row r="97" spans="1:24" ht="15">
      <c r="A97" s="59"/>
      <c r="B97" s="265"/>
      <c r="C97" s="81" t="s">
        <v>203</v>
      </c>
      <c r="D97" s="111">
        <f>D46</f>
        <v>105</v>
      </c>
      <c r="E97" s="268"/>
      <c r="F97" s="269"/>
      <c r="G97" s="269"/>
      <c r="H97" s="59"/>
      <c r="I97" s="59"/>
      <c r="J97" s="59"/>
      <c r="K97" s="59"/>
      <c r="L97" s="59"/>
      <c r="M97" s="59"/>
      <c r="N97" s="59"/>
      <c r="O97" s="59"/>
      <c r="P97" s="59"/>
      <c r="Q97" s="59"/>
      <c r="R97" s="59"/>
      <c r="S97" s="59"/>
      <c r="T97" s="59"/>
      <c r="U97" s="59"/>
      <c r="V97" s="59"/>
      <c r="W97" s="59"/>
      <c r="X97" s="59"/>
    </row>
    <row r="98" spans="1:24" ht="15">
      <c r="A98" s="59"/>
      <c r="B98" s="265"/>
      <c r="C98" s="81" t="s">
        <v>410</v>
      </c>
      <c r="D98" s="260">
        <f>D34</f>
        <v>151</v>
      </c>
      <c r="E98" s="268"/>
      <c r="F98" s="269"/>
      <c r="G98" s="269"/>
      <c r="H98" s="59"/>
      <c r="I98" s="59"/>
      <c r="J98" s="59"/>
      <c r="K98" s="59"/>
      <c r="L98" s="59"/>
      <c r="M98" s="59"/>
      <c r="N98" s="59"/>
      <c r="O98" s="59"/>
      <c r="P98" s="59"/>
      <c r="Q98" s="59"/>
      <c r="R98" s="59"/>
      <c r="S98" s="59"/>
      <c r="T98" s="59"/>
      <c r="U98" s="59"/>
      <c r="V98" s="59"/>
      <c r="W98" s="59"/>
      <c r="X98" s="59"/>
    </row>
    <row r="99" spans="1:24" ht="15">
      <c r="A99" s="59"/>
      <c r="B99" s="265"/>
      <c r="C99" s="81" t="s">
        <v>411</v>
      </c>
      <c r="D99" s="111">
        <f>SUM(D97:D98)</f>
        <v>256</v>
      </c>
      <c r="E99" s="141"/>
      <c r="F99" s="75"/>
      <c r="G99" s="75"/>
      <c r="H99" s="59"/>
      <c r="I99" s="59"/>
      <c r="J99" s="59"/>
      <c r="K99" s="59"/>
      <c r="L99" s="59"/>
      <c r="M99" s="59"/>
      <c r="N99" s="59"/>
      <c r="O99" s="59"/>
      <c r="P99" s="59"/>
      <c r="Q99" s="59"/>
      <c r="R99" s="59"/>
      <c r="S99" s="59"/>
      <c r="T99" s="59"/>
      <c r="U99" s="59"/>
      <c r="V99" s="59"/>
      <c r="W99" s="59"/>
      <c r="X99" s="59"/>
    </row>
    <row r="100" spans="1:24" ht="15">
      <c r="A100" s="59"/>
      <c r="B100" s="265"/>
      <c r="C100" s="81" t="s">
        <v>412</v>
      </c>
      <c r="D100" s="260">
        <f>-D33</f>
        <v>-175</v>
      </c>
      <c r="E100" s="82"/>
      <c r="F100" s="254"/>
      <c r="G100" s="254"/>
      <c r="H100" s="59"/>
      <c r="I100" s="59"/>
      <c r="J100" s="59"/>
      <c r="K100" s="59"/>
      <c r="L100" s="59"/>
      <c r="M100" s="59"/>
      <c r="N100" s="59"/>
      <c r="O100" s="59"/>
      <c r="P100" s="59"/>
      <c r="Q100" s="59"/>
      <c r="R100" s="59"/>
      <c r="S100" s="59"/>
      <c r="T100" s="59"/>
      <c r="U100" s="59"/>
      <c r="V100" s="59"/>
      <c r="W100" s="59"/>
      <c r="X100" s="59"/>
    </row>
    <row r="101" spans="1:24" ht="15">
      <c r="A101" s="59"/>
      <c r="B101" s="265"/>
      <c r="C101" s="81" t="s">
        <v>413</v>
      </c>
      <c r="D101" s="111">
        <f>SUM(D99:D100)</f>
        <v>81</v>
      </c>
      <c r="E101" s="272"/>
      <c r="F101" s="273"/>
      <c r="G101" s="273"/>
      <c r="H101" s="59"/>
      <c r="I101" s="59"/>
      <c r="J101" s="59"/>
      <c r="K101" s="59"/>
      <c r="L101" s="59"/>
      <c r="M101" s="59"/>
      <c r="N101" s="59"/>
      <c r="O101" s="59"/>
      <c r="P101" s="59"/>
      <c r="Q101" s="59"/>
      <c r="R101" s="59"/>
      <c r="S101" s="59"/>
      <c r="T101" s="59"/>
      <c r="U101" s="59"/>
      <c r="V101" s="59"/>
      <c r="W101" s="59"/>
      <c r="X101" s="59"/>
    </row>
    <row r="102" spans="1:24" ht="15">
      <c r="A102" s="59"/>
      <c r="B102" s="265"/>
      <c r="C102" s="81"/>
      <c r="D102" s="111"/>
      <c r="E102" s="272"/>
      <c r="F102" s="273"/>
      <c r="G102" s="273"/>
      <c r="H102" s="59"/>
      <c r="I102" s="59"/>
      <c r="J102" s="59"/>
      <c r="K102" s="59"/>
      <c r="L102" s="59"/>
      <c r="M102" s="59"/>
      <c r="N102" s="59"/>
      <c r="O102" s="59"/>
      <c r="P102" s="59"/>
      <c r="Q102" s="59"/>
      <c r="R102" s="59"/>
      <c r="S102" s="59"/>
      <c r="T102" s="59"/>
      <c r="U102" s="59"/>
      <c r="V102" s="59"/>
      <c r="W102" s="59"/>
      <c r="X102" s="59"/>
    </row>
    <row r="103" spans="1:24" ht="15">
      <c r="A103" s="59"/>
      <c r="B103" s="265"/>
      <c r="C103" s="113" t="s">
        <v>414</v>
      </c>
      <c r="D103" s="111"/>
      <c r="E103" s="272"/>
      <c r="F103" s="273"/>
      <c r="G103" s="273"/>
      <c r="H103" s="59"/>
      <c r="I103" s="59"/>
      <c r="J103" s="59"/>
      <c r="K103" s="59"/>
      <c r="L103" s="59"/>
      <c r="M103" s="59"/>
      <c r="N103" s="59"/>
      <c r="O103" s="59"/>
      <c r="P103" s="59"/>
      <c r="Q103" s="59"/>
      <c r="R103" s="59"/>
      <c r="S103" s="59"/>
      <c r="T103" s="59"/>
      <c r="U103" s="59"/>
      <c r="V103" s="59"/>
      <c r="W103" s="59"/>
      <c r="X103" s="59"/>
    </row>
    <row r="104" spans="1:24" ht="15">
      <c r="A104" s="59"/>
      <c r="B104" s="265"/>
      <c r="C104" s="81" t="s">
        <v>415</v>
      </c>
      <c r="D104" s="111">
        <f>I17</f>
        <v>883</v>
      </c>
      <c r="E104" s="272"/>
      <c r="F104" s="273"/>
      <c r="G104" s="273"/>
      <c r="H104" s="59"/>
      <c r="I104" s="59"/>
      <c r="J104" s="59"/>
      <c r="K104" s="59"/>
      <c r="L104" s="59"/>
      <c r="M104" s="59"/>
      <c r="N104" s="59"/>
      <c r="O104" s="59"/>
      <c r="P104" s="59"/>
      <c r="Q104" s="59"/>
      <c r="R104" s="59"/>
      <c r="S104" s="59"/>
      <c r="T104" s="59"/>
      <c r="U104" s="59"/>
      <c r="V104" s="59"/>
      <c r="W104" s="59"/>
      <c r="X104" s="59"/>
    </row>
    <row r="105" spans="1:24" ht="15">
      <c r="A105" s="59"/>
      <c r="B105" s="265"/>
      <c r="C105" s="81" t="s">
        <v>416</v>
      </c>
      <c r="D105" s="257">
        <f>-H17</f>
        <v>-907</v>
      </c>
      <c r="E105" s="274"/>
      <c r="F105" s="275"/>
      <c r="G105" s="275"/>
      <c r="H105" s="59"/>
      <c r="I105" s="59"/>
      <c r="J105" s="59"/>
      <c r="K105" s="59"/>
      <c r="L105" s="59"/>
      <c r="M105" s="59"/>
      <c r="N105" s="59"/>
      <c r="O105" s="59"/>
      <c r="P105" s="59"/>
      <c r="Q105" s="59"/>
      <c r="R105" s="59"/>
      <c r="S105" s="59"/>
      <c r="T105" s="59"/>
      <c r="U105" s="59"/>
      <c r="V105" s="59"/>
      <c r="W105" s="59"/>
      <c r="X105" s="59"/>
    </row>
    <row r="106" spans="1:24" ht="15">
      <c r="A106" s="59"/>
      <c r="B106" s="265"/>
      <c r="C106" s="243" t="s">
        <v>203</v>
      </c>
      <c r="D106" s="276">
        <f>D46</f>
        <v>105</v>
      </c>
      <c r="E106" s="277"/>
      <c r="F106" s="278"/>
      <c r="G106" s="278"/>
      <c r="H106" s="59"/>
      <c r="I106" s="59"/>
      <c r="J106" s="59"/>
      <c r="K106" s="59"/>
      <c r="L106" s="59"/>
      <c r="M106" s="59"/>
      <c r="N106" s="59"/>
      <c r="O106" s="59"/>
      <c r="P106" s="59"/>
      <c r="Q106" s="59"/>
      <c r="R106" s="59"/>
      <c r="S106" s="59"/>
      <c r="T106" s="59"/>
      <c r="U106" s="59"/>
      <c r="V106" s="59"/>
      <c r="W106" s="59"/>
      <c r="X106" s="59"/>
    </row>
    <row r="107" spans="1:24" ht="15">
      <c r="A107" s="59"/>
      <c r="B107" s="265"/>
      <c r="C107" s="81" t="s">
        <v>413</v>
      </c>
      <c r="D107" s="111">
        <f>D104+D105+D106</f>
        <v>81</v>
      </c>
      <c r="E107" s="82"/>
      <c r="F107" s="254"/>
      <c r="G107" s="254"/>
      <c r="H107" s="59"/>
      <c r="I107" s="59"/>
      <c r="J107" s="59"/>
      <c r="K107" s="59"/>
      <c r="L107" s="59"/>
      <c r="M107" s="59"/>
      <c r="N107" s="59"/>
      <c r="O107" s="59"/>
      <c r="P107" s="59"/>
      <c r="Q107" s="59"/>
      <c r="R107" s="59"/>
      <c r="S107" s="59"/>
      <c r="T107" s="59"/>
      <c r="U107" s="59"/>
      <c r="V107" s="59"/>
      <c r="W107" s="59"/>
      <c r="X107" s="59"/>
    </row>
    <row r="108" spans="1:24" ht="15.75" thickBot="1">
      <c r="A108" s="59"/>
      <c r="B108" s="265"/>
      <c r="C108" s="81"/>
      <c r="D108" s="111"/>
      <c r="E108" s="82"/>
      <c r="F108" s="254"/>
      <c r="G108" s="254"/>
      <c r="H108" s="59"/>
      <c r="I108" s="59"/>
      <c r="J108" s="59"/>
      <c r="K108" s="59"/>
      <c r="L108" s="59"/>
      <c r="M108" s="59"/>
      <c r="N108" s="59"/>
      <c r="O108" s="59"/>
      <c r="P108" s="59"/>
      <c r="Q108" s="59"/>
      <c r="R108" s="59"/>
      <c r="S108" s="59"/>
      <c r="T108" s="59"/>
      <c r="U108" s="59"/>
      <c r="V108" s="59"/>
      <c r="W108" s="59"/>
      <c r="X108" s="59"/>
    </row>
    <row r="109" spans="1:24" ht="15.75" thickBot="1">
      <c r="A109" s="59"/>
      <c r="B109" s="279"/>
      <c r="C109" s="280"/>
      <c r="D109" s="281"/>
      <c r="E109" s="280"/>
      <c r="F109" s="254"/>
      <c r="G109" s="254"/>
      <c r="H109" s="498"/>
      <c r="I109" s="59"/>
      <c r="J109" s="59"/>
      <c r="K109" s="59"/>
      <c r="L109" s="59"/>
      <c r="M109" s="59"/>
      <c r="N109" s="59"/>
      <c r="O109" s="59"/>
      <c r="P109" s="59"/>
      <c r="Q109" s="59"/>
      <c r="R109" s="59"/>
      <c r="S109" s="59"/>
      <c r="T109" s="59"/>
      <c r="U109" s="59"/>
      <c r="V109" s="59"/>
      <c r="W109" s="59"/>
      <c r="X109" s="59"/>
    </row>
    <row r="110" spans="1:24" ht="15">
      <c r="A110" s="59"/>
      <c r="B110" s="265"/>
      <c r="C110" s="81"/>
      <c r="D110" s="111"/>
      <c r="E110" s="82"/>
      <c r="F110" s="254"/>
      <c r="G110" s="254"/>
      <c r="H110" s="59"/>
      <c r="I110" s="59"/>
      <c r="J110" s="59"/>
      <c r="K110" s="59"/>
      <c r="L110" s="59"/>
      <c r="M110" s="59"/>
      <c r="N110" s="59"/>
      <c r="O110" s="59"/>
      <c r="P110" s="59"/>
      <c r="Q110" s="59"/>
      <c r="R110" s="59"/>
      <c r="S110" s="59"/>
      <c r="T110" s="59"/>
      <c r="U110" s="59"/>
      <c r="V110" s="59"/>
      <c r="W110" s="59"/>
      <c r="X110" s="59"/>
    </row>
    <row r="111" spans="1:24" ht="15">
      <c r="A111" s="59"/>
      <c r="B111" s="265"/>
      <c r="C111" s="113" t="s">
        <v>417</v>
      </c>
      <c r="D111" s="111"/>
      <c r="E111" s="82"/>
      <c r="F111" s="254"/>
      <c r="G111" s="254"/>
      <c r="H111" s="59"/>
      <c r="I111" s="59"/>
      <c r="J111" s="59"/>
      <c r="K111" s="59"/>
      <c r="L111" s="59"/>
      <c r="M111" s="59"/>
      <c r="N111" s="59"/>
      <c r="O111" s="59"/>
      <c r="P111" s="59"/>
      <c r="Q111" s="59"/>
      <c r="R111" s="59"/>
      <c r="S111" s="59"/>
      <c r="T111" s="59"/>
      <c r="U111" s="59"/>
      <c r="V111" s="59"/>
      <c r="W111" s="59"/>
      <c r="X111" s="59"/>
    </row>
    <row r="112" spans="1:24" ht="15">
      <c r="A112" s="59"/>
      <c r="B112" s="265"/>
      <c r="C112" s="81" t="s">
        <v>395</v>
      </c>
      <c r="D112" s="111">
        <f>D53</f>
        <v>225</v>
      </c>
      <c r="E112" s="82"/>
      <c r="F112" s="254"/>
      <c r="G112" s="254"/>
      <c r="H112" s="59"/>
      <c r="I112" s="59"/>
      <c r="J112" s="59"/>
      <c r="K112" s="59"/>
      <c r="L112" s="59"/>
      <c r="M112" s="59"/>
      <c r="N112" s="59"/>
      <c r="O112" s="59"/>
      <c r="P112" s="59"/>
      <c r="Q112" s="59"/>
      <c r="R112" s="59"/>
      <c r="S112" s="59"/>
      <c r="T112" s="59"/>
      <c r="U112" s="59"/>
      <c r="V112" s="59"/>
      <c r="W112" s="59"/>
      <c r="X112" s="59"/>
    </row>
    <row r="113" spans="1:25" ht="15">
      <c r="A113" s="59"/>
      <c r="B113" s="265"/>
      <c r="C113" s="81" t="s">
        <v>418</v>
      </c>
      <c r="D113" s="260">
        <f>D36</f>
        <v>48</v>
      </c>
      <c r="E113" s="82"/>
      <c r="F113" s="254"/>
      <c r="G113" s="254"/>
      <c r="H113" s="59"/>
      <c r="I113" s="59"/>
      <c r="J113" s="59"/>
      <c r="K113" s="59"/>
      <c r="L113" s="59"/>
      <c r="M113" s="59"/>
      <c r="N113" s="59"/>
      <c r="O113" s="59"/>
      <c r="P113" s="59"/>
      <c r="Q113" s="59"/>
      <c r="R113" s="59"/>
      <c r="S113" s="59"/>
      <c r="T113" s="59"/>
      <c r="U113" s="59"/>
      <c r="V113" s="59"/>
      <c r="W113" s="59"/>
      <c r="X113" s="59"/>
    </row>
    <row r="114" spans="1:25" ht="15">
      <c r="A114" s="59"/>
      <c r="B114" s="265"/>
      <c r="C114" s="81" t="s">
        <v>419</v>
      </c>
      <c r="D114" s="111">
        <f>SUM(D112:D113)</f>
        <v>273</v>
      </c>
      <c r="E114" s="82"/>
      <c r="F114" s="254"/>
      <c r="G114" s="254"/>
      <c r="H114" s="59"/>
      <c r="I114" s="59"/>
      <c r="J114" s="59"/>
      <c r="K114" s="59"/>
      <c r="L114" s="59"/>
      <c r="M114" s="59"/>
      <c r="N114" s="59"/>
      <c r="O114" s="59"/>
      <c r="P114" s="59"/>
      <c r="Q114" s="59"/>
      <c r="R114" s="59"/>
      <c r="S114" s="59"/>
      <c r="T114" s="59"/>
      <c r="U114" s="59"/>
      <c r="V114" s="59"/>
      <c r="W114" s="59"/>
      <c r="X114" s="59"/>
    </row>
    <row r="115" spans="1:25" ht="15">
      <c r="A115" s="59"/>
      <c r="B115" s="265"/>
      <c r="C115" s="81" t="s">
        <v>420</v>
      </c>
      <c r="D115" s="260">
        <f>-D35</f>
        <v>-12</v>
      </c>
      <c r="E115" s="82"/>
      <c r="F115" s="254"/>
      <c r="G115" s="254"/>
      <c r="H115" s="59"/>
      <c r="I115" s="59"/>
      <c r="J115" s="59"/>
      <c r="K115" s="59"/>
      <c r="L115" s="59"/>
      <c r="M115" s="59"/>
      <c r="N115" s="59"/>
      <c r="O115" s="59"/>
      <c r="P115" s="59"/>
      <c r="Q115" s="59"/>
      <c r="R115" s="59"/>
      <c r="S115" s="59"/>
      <c r="T115" s="59"/>
      <c r="U115" s="59"/>
      <c r="V115" s="59"/>
      <c r="W115" s="59"/>
      <c r="X115" s="59"/>
    </row>
    <row r="116" spans="1:25" ht="15">
      <c r="A116" s="59"/>
      <c r="B116" s="265"/>
      <c r="C116" s="81" t="s">
        <v>421</v>
      </c>
      <c r="D116" s="111">
        <f>SUM(D114:D115)</f>
        <v>261</v>
      </c>
      <c r="E116" s="82"/>
      <c r="F116" s="254"/>
      <c r="G116" s="254"/>
      <c r="H116" s="59"/>
      <c r="I116" s="59"/>
      <c r="J116" s="59"/>
      <c r="K116" s="59"/>
      <c r="L116" s="59"/>
      <c r="M116" s="59"/>
      <c r="N116" s="59"/>
      <c r="O116" s="59"/>
      <c r="P116" s="59"/>
      <c r="Q116" s="59"/>
      <c r="R116" s="59"/>
      <c r="S116" s="59"/>
      <c r="T116" s="59"/>
      <c r="U116" s="59"/>
      <c r="V116" s="59"/>
      <c r="W116" s="59"/>
      <c r="X116" s="59"/>
    </row>
    <row r="117" spans="1:25" ht="15">
      <c r="A117" s="59"/>
      <c r="B117" s="265"/>
      <c r="C117" s="81"/>
      <c r="D117" s="111"/>
      <c r="E117" s="82"/>
      <c r="F117" s="254"/>
      <c r="G117" s="254"/>
      <c r="H117" s="59"/>
      <c r="I117" s="59"/>
      <c r="J117" s="59"/>
      <c r="K117" s="59"/>
      <c r="L117" s="59"/>
      <c r="M117" s="59"/>
      <c r="N117" s="59"/>
      <c r="O117" s="59"/>
      <c r="P117" s="59"/>
      <c r="Q117" s="59"/>
      <c r="R117" s="59"/>
      <c r="S117" s="59"/>
      <c r="T117" s="59"/>
      <c r="U117" s="59"/>
      <c r="V117" s="59"/>
      <c r="W117" s="59"/>
      <c r="X117" s="59"/>
    </row>
    <row r="118" spans="1:25" ht="15">
      <c r="A118" s="59"/>
      <c r="B118" s="265"/>
      <c r="C118" s="113" t="s">
        <v>414</v>
      </c>
      <c r="D118" s="111"/>
      <c r="E118" s="82"/>
      <c r="F118" s="254"/>
      <c r="G118" s="254"/>
      <c r="H118" s="59"/>
      <c r="I118" s="59"/>
      <c r="J118" s="59"/>
      <c r="K118" s="59"/>
      <c r="L118" s="59"/>
      <c r="M118" s="59"/>
      <c r="N118" s="59"/>
      <c r="O118" s="59"/>
      <c r="P118" s="59"/>
      <c r="Q118" s="59"/>
      <c r="R118" s="59"/>
      <c r="S118" s="59"/>
      <c r="T118" s="59"/>
      <c r="U118" s="59"/>
      <c r="V118" s="59"/>
      <c r="W118" s="59"/>
      <c r="X118" s="59"/>
    </row>
    <row r="119" spans="1:25" ht="15">
      <c r="A119" s="59"/>
      <c r="B119" s="265"/>
      <c r="C119" s="81" t="s">
        <v>422</v>
      </c>
      <c r="D119" s="111">
        <f>I26</f>
        <v>1848</v>
      </c>
      <c r="E119" s="82"/>
      <c r="F119" s="254"/>
      <c r="G119" s="254"/>
      <c r="H119" s="59"/>
      <c r="I119" s="59"/>
      <c r="J119" s="59"/>
      <c r="K119" s="59"/>
      <c r="L119" s="59"/>
      <c r="M119" s="59"/>
      <c r="N119" s="59"/>
      <c r="O119" s="59"/>
      <c r="P119" s="59"/>
      <c r="Q119" s="59"/>
      <c r="R119" s="59"/>
      <c r="S119" s="59"/>
      <c r="T119" s="59"/>
      <c r="U119" s="59"/>
      <c r="V119" s="59"/>
      <c r="W119" s="59"/>
      <c r="X119" s="59"/>
    </row>
    <row r="120" spans="1:25" ht="15">
      <c r="A120" s="59"/>
      <c r="B120" s="265"/>
      <c r="C120" s="81" t="s">
        <v>423</v>
      </c>
      <c r="D120" s="257">
        <f>-H26</f>
        <v>-2483</v>
      </c>
      <c r="E120" s="82"/>
      <c r="F120" s="254"/>
      <c r="G120" s="254"/>
      <c r="H120" s="59"/>
      <c r="I120" s="59"/>
      <c r="J120" s="59"/>
      <c r="K120" s="59"/>
      <c r="L120" s="59"/>
      <c r="M120" s="59"/>
      <c r="N120" s="59"/>
      <c r="O120" s="59"/>
      <c r="P120" s="59"/>
      <c r="Q120" s="59"/>
      <c r="R120" s="59"/>
      <c r="S120" s="59"/>
      <c r="T120" s="59"/>
      <c r="U120" s="59"/>
      <c r="V120" s="59"/>
      <c r="W120" s="59"/>
      <c r="X120" s="59"/>
    </row>
    <row r="121" spans="1:25" ht="15">
      <c r="A121" s="59"/>
      <c r="B121" s="265"/>
      <c r="C121" s="81" t="s">
        <v>395</v>
      </c>
      <c r="D121" s="257">
        <f>D53</f>
        <v>225</v>
      </c>
      <c r="E121" s="82"/>
      <c r="F121" s="254"/>
      <c r="G121" s="254"/>
      <c r="H121" s="59"/>
      <c r="I121" s="59"/>
      <c r="J121" s="59"/>
      <c r="K121" s="59"/>
      <c r="L121" s="59"/>
      <c r="M121" s="59"/>
      <c r="N121" s="59"/>
      <c r="O121" s="59"/>
      <c r="P121" s="59"/>
      <c r="Q121" s="59"/>
      <c r="R121" s="59"/>
      <c r="S121" s="59"/>
      <c r="T121" s="59"/>
      <c r="U121" s="59"/>
      <c r="V121" s="59"/>
      <c r="W121" s="59"/>
      <c r="X121" s="59"/>
    </row>
    <row r="122" spans="1:25" ht="15">
      <c r="A122" s="59"/>
      <c r="B122" s="265"/>
      <c r="C122" s="81" t="s">
        <v>394</v>
      </c>
      <c r="D122" s="260">
        <f>D54</f>
        <v>671</v>
      </c>
      <c r="E122" s="82"/>
      <c r="F122" s="254"/>
      <c r="G122" s="254"/>
      <c r="H122" s="59"/>
      <c r="I122" s="59"/>
      <c r="J122" s="59"/>
      <c r="K122" s="59"/>
      <c r="L122" s="59"/>
      <c r="M122" s="59"/>
      <c r="N122" s="59"/>
      <c r="O122" s="59"/>
      <c r="P122" s="59"/>
      <c r="Q122" s="59"/>
      <c r="R122" s="59"/>
      <c r="S122" s="59"/>
      <c r="T122" s="59"/>
      <c r="U122" s="59"/>
      <c r="V122" s="59"/>
      <c r="W122" s="59"/>
      <c r="X122" s="59"/>
    </row>
    <row r="123" spans="1:25" ht="15">
      <c r="A123" s="59"/>
      <c r="B123" s="265"/>
      <c r="C123" s="81"/>
      <c r="D123" s="111">
        <f>SUM(D119:D122)</f>
        <v>261</v>
      </c>
      <c r="E123" s="82"/>
      <c r="F123" s="254"/>
      <c r="G123" s="254"/>
      <c r="H123" s="59"/>
      <c r="I123" s="59"/>
      <c r="J123" s="59"/>
      <c r="K123" s="59"/>
      <c r="L123" s="59"/>
      <c r="M123" s="59"/>
      <c r="N123" s="59"/>
      <c r="O123" s="59"/>
      <c r="P123" s="59"/>
      <c r="Q123" s="59"/>
      <c r="R123" s="59"/>
      <c r="S123" s="59"/>
      <c r="T123" s="59"/>
      <c r="U123" s="59"/>
      <c r="V123" s="59"/>
      <c r="W123" s="59"/>
      <c r="X123" s="59"/>
    </row>
    <row r="124" spans="1:25" ht="15.75" thickBot="1">
      <c r="A124" s="59"/>
      <c r="B124" s="270"/>
      <c r="C124" s="231"/>
      <c r="D124" s="231"/>
      <c r="E124" s="271"/>
      <c r="F124" s="253"/>
      <c r="G124" s="253"/>
      <c r="H124" s="59"/>
      <c r="I124" s="59"/>
      <c r="J124" s="59"/>
      <c r="K124" s="59"/>
      <c r="L124" s="59"/>
      <c r="M124" s="59"/>
      <c r="N124" s="59"/>
      <c r="O124" s="59"/>
      <c r="P124" s="59"/>
      <c r="Q124" s="59"/>
      <c r="R124" s="59"/>
      <c r="S124" s="59"/>
      <c r="T124" s="59"/>
      <c r="U124" s="59"/>
      <c r="V124" s="59"/>
      <c r="W124" s="59"/>
      <c r="X124" s="59"/>
    </row>
    <row r="125" spans="1:25" ht="15.75" thickBot="1">
      <c r="A125" s="59"/>
      <c r="B125" s="59"/>
      <c r="C125" s="59"/>
      <c r="D125" s="59"/>
      <c r="E125" s="59"/>
      <c r="F125" s="59"/>
      <c r="G125" s="59"/>
      <c r="H125" s="59"/>
      <c r="I125" s="59"/>
      <c r="J125" s="59"/>
      <c r="K125" s="59"/>
      <c r="L125" s="59"/>
      <c r="M125" s="59"/>
      <c r="N125" s="59"/>
      <c r="O125" s="59"/>
      <c r="P125" s="59"/>
      <c r="Q125" s="59"/>
      <c r="R125" s="59"/>
      <c r="S125" s="59"/>
      <c r="T125" s="59"/>
      <c r="U125" s="59"/>
      <c r="V125" s="59"/>
      <c r="W125" s="59"/>
      <c r="X125" s="59"/>
      <c r="Y125" s="59"/>
    </row>
    <row r="126" spans="1:25" ht="15">
      <c r="A126" s="59"/>
      <c r="B126" s="169"/>
      <c r="C126" s="109"/>
      <c r="D126" s="109"/>
      <c r="E126" s="79"/>
      <c r="F126" s="59"/>
      <c r="G126" s="59"/>
      <c r="H126" s="59"/>
      <c r="I126" s="59"/>
      <c r="J126" s="59"/>
      <c r="K126" s="59"/>
      <c r="L126" s="59"/>
      <c r="M126" s="59"/>
      <c r="N126" s="59"/>
      <c r="O126" s="59"/>
      <c r="P126" s="59"/>
      <c r="Q126" s="59"/>
      <c r="R126" s="59"/>
      <c r="S126" s="59"/>
      <c r="T126" s="59"/>
      <c r="U126" s="59"/>
      <c r="V126" s="59"/>
      <c r="W126" s="59"/>
      <c r="X126" s="59"/>
      <c r="Y126" s="59"/>
    </row>
    <row r="127" spans="1:25" ht="15.75">
      <c r="A127" s="59"/>
      <c r="B127" s="80"/>
      <c r="C127" s="770" t="s">
        <v>424</v>
      </c>
      <c r="D127" s="771"/>
      <c r="E127" s="82"/>
      <c r="F127" s="59"/>
      <c r="G127" s="59"/>
      <c r="H127" s="59"/>
      <c r="I127" s="59"/>
      <c r="J127" s="59"/>
      <c r="K127" s="59"/>
      <c r="L127" s="59"/>
      <c r="M127" s="59"/>
      <c r="N127" s="59"/>
      <c r="O127" s="59"/>
      <c r="P127" s="59"/>
      <c r="Q127" s="59"/>
      <c r="R127" s="59"/>
      <c r="S127" s="59"/>
      <c r="T127" s="59"/>
      <c r="U127" s="59"/>
      <c r="V127" s="59"/>
      <c r="W127" s="59"/>
      <c r="X127" s="59"/>
      <c r="Y127" s="59"/>
    </row>
    <row r="128" spans="1:25" ht="15.75">
      <c r="A128" s="59"/>
      <c r="B128" s="80"/>
      <c r="C128" s="282" t="s">
        <v>425</v>
      </c>
      <c r="D128" s="81"/>
      <c r="E128" s="82"/>
      <c r="F128" s="59"/>
      <c r="G128" s="59"/>
      <c r="H128" s="59"/>
      <c r="I128" s="59"/>
      <c r="J128" s="59"/>
      <c r="K128" s="59"/>
      <c r="L128" s="59"/>
      <c r="M128" s="59"/>
      <c r="N128" s="59"/>
      <c r="O128" s="59"/>
      <c r="P128" s="59"/>
      <c r="Q128" s="59"/>
      <c r="R128" s="59"/>
      <c r="S128" s="59"/>
      <c r="T128" s="59"/>
      <c r="U128" s="59"/>
      <c r="V128" s="59"/>
      <c r="W128" s="59"/>
      <c r="X128" s="59"/>
      <c r="Y128" s="59"/>
    </row>
    <row r="129" spans="1:25" ht="15">
      <c r="A129" s="59"/>
      <c r="B129" s="80"/>
      <c r="C129" s="81" t="s">
        <v>40</v>
      </c>
      <c r="D129" s="111">
        <f>D51</f>
        <v>896</v>
      </c>
      <c r="E129" s="82"/>
      <c r="F129" s="59"/>
      <c r="G129" s="59"/>
      <c r="H129" s="59"/>
      <c r="I129" s="59"/>
      <c r="J129" s="59"/>
      <c r="K129" s="59"/>
      <c r="L129" s="59"/>
      <c r="M129" s="59"/>
      <c r="N129" s="59"/>
      <c r="O129" s="59"/>
      <c r="P129" s="59"/>
      <c r="Q129" s="59"/>
      <c r="R129" s="59"/>
      <c r="S129" s="59"/>
      <c r="T129" s="59"/>
      <c r="U129" s="59"/>
      <c r="V129" s="59"/>
      <c r="W129" s="59"/>
      <c r="X129" s="59"/>
      <c r="Y129" s="59"/>
    </row>
    <row r="130" spans="1:25" ht="15">
      <c r="A130" s="59"/>
      <c r="B130" s="80"/>
      <c r="C130" s="81" t="s">
        <v>201</v>
      </c>
      <c r="D130" s="257">
        <f>D42</f>
        <v>191</v>
      </c>
      <c r="E130" s="82"/>
      <c r="F130" s="59"/>
      <c r="G130" s="59"/>
      <c r="H130" s="59"/>
      <c r="I130" s="59"/>
      <c r="J130" s="59"/>
      <c r="K130" s="59"/>
      <c r="L130" s="59"/>
      <c r="M130" s="59"/>
      <c r="N130" s="59"/>
      <c r="O130" s="59"/>
      <c r="P130" s="59"/>
      <c r="Q130" s="59"/>
      <c r="R130" s="59"/>
      <c r="S130" s="59"/>
      <c r="T130" s="59"/>
      <c r="U130" s="59"/>
      <c r="V130" s="59"/>
      <c r="W130" s="59"/>
      <c r="X130" s="59"/>
      <c r="Y130" s="59"/>
    </row>
    <row r="131" spans="1:25" ht="15">
      <c r="A131" s="59"/>
      <c r="B131" s="80"/>
      <c r="C131" s="81" t="s">
        <v>426</v>
      </c>
      <c r="D131" s="257">
        <f>E50</f>
        <v>130</v>
      </c>
      <c r="E131" s="82"/>
      <c r="F131" s="59"/>
      <c r="G131" s="59"/>
      <c r="H131" s="59"/>
      <c r="I131" s="59"/>
      <c r="J131" s="59"/>
      <c r="K131" s="59"/>
      <c r="L131" s="59"/>
      <c r="M131" s="59"/>
      <c r="N131" s="59"/>
      <c r="O131" s="59"/>
      <c r="P131" s="59"/>
      <c r="Q131" s="59"/>
      <c r="R131" s="59"/>
      <c r="S131" s="59"/>
      <c r="T131" s="59"/>
      <c r="U131" s="59"/>
      <c r="V131" s="59"/>
      <c r="W131" s="59"/>
      <c r="X131" s="59"/>
      <c r="Y131" s="59"/>
    </row>
    <row r="132" spans="1:25" ht="15" customHeight="1">
      <c r="A132" s="59"/>
      <c r="B132" s="80"/>
      <c r="C132" s="81" t="s">
        <v>427</v>
      </c>
      <c r="D132" s="257"/>
      <c r="E132" s="82"/>
      <c r="F132" s="59"/>
      <c r="G132" s="59"/>
      <c r="H132" s="59"/>
      <c r="I132" s="59"/>
      <c r="J132" s="59"/>
      <c r="K132" s="59"/>
      <c r="L132" s="59"/>
      <c r="M132" s="59"/>
      <c r="N132" s="59"/>
      <c r="O132" s="59"/>
      <c r="P132" s="59"/>
      <c r="Q132" s="59"/>
      <c r="R132" s="59"/>
      <c r="S132" s="59"/>
      <c r="T132" s="59"/>
      <c r="U132" s="59"/>
      <c r="V132" s="59"/>
      <c r="W132" s="59"/>
      <c r="X132" s="59"/>
      <c r="Y132" s="59"/>
    </row>
    <row r="133" spans="1:25" ht="15" customHeight="1">
      <c r="A133" s="59"/>
      <c r="B133" s="80"/>
      <c r="C133" s="81" t="s">
        <v>352</v>
      </c>
      <c r="D133" s="257">
        <f>E11-D11</f>
        <v>-37</v>
      </c>
      <c r="E133" s="82"/>
      <c r="F133" s="59"/>
      <c r="G133" s="59"/>
      <c r="H133" s="59"/>
      <c r="I133" s="59"/>
      <c r="J133" s="59"/>
      <c r="K133" s="59"/>
      <c r="L133" s="59"/>
      <c r="M133" s="59"/>
      <c r="N133" s="59"/>
      <c r="O133" s="59"/>
      <c r="P133" s="59"/>
      <c r="Q133" s="59"/>
      <c r="R133" s="59"/>
      <c r="S133" s="59"/>
      <c r="T133" s="59"/>
      <c r="U133" s="59"/>
      <c r="V133" s="59"/>
      <c r="W133" s="59"/>
      <c r="X133" s="59"/>
      <c r="Y133" s="59"/>
    </row>
    <row r="134" spans="1:25" ht="15">
      <c r="A134" s="59"/>
      <c r="B134" s="80"/>
      <c r="C134" s="81" t="s">
        <v>354</v>
      </c>
      <c r="D134" s="257">
        <f>E12-D12</f>
        <v>17</v>
      </c>
      <c r="E134" s="82"/>
      <c r="F134" s="59"/>
      <c r="G134" s="59"/>
      <c r="H134" s="59"/>
      <c r="I134" s="59"/>
      <c r="J134" s="59"/>
      <c r="K134" s="59"/>
      <c r="L134" s="59"/>
      <c r="M134" s="59"/>
      <c r="N134" s="59"/>
      <c r="O134" s="59"/>
      <c r="P134" s="59"/>
      <c r="Q134" s="59"/>
      <c r="R134" s="59"/>
      <c r="S134" s="59"/>
      <c r="T134" s="59"/>
      <c r="U134" s="59"/>
      <c r="V134" s="59"/>
      <c r="W134" s="59"/>
      <c r="X134" s="59"/>
      <c r="Y134" s="59"/>
    </row>
    <row r="135" spans="1:25" ht="15">
      <c r="A135" s="59"/>
      <c r="B135" s="80"/>
      <c r="C135" s="81" t="s">
        <v>351</v>
      </c>
      <c r="D135" s="257">
        <f>H10-I10</f>
        <v>20</v>
      </c>
      <c r="E135" s="82"/>
      <c r="F135" s="59"/>
      <c r="G135" s="59"/>
      <c r="H135" s="59"/>
      <c r="I135" s="59"/>
      <c r="J135" s="59"/>
      <c r="K135" s="59"/>
      <c r="L135" s="59"/>
      <c r="M135" s="59"/>
      <c r="N135" s="59"/>
      <c r="O135" s="59"/>
      <c r="P135" s="59"/>
      <c r="Q135" s="59"/>
      <c r="R135" s="59"/>
      <c r="S135" s="59"/>
      <c r="T135" s="59"/>
      <c r="U135" s="59"/>
      <c r="V135" s="59"/>
      <c r="W135" s="59"/>
      <c r="X135" s="59"/>
      <c r="Y135" s="59"/>
    </row>
    <row r="136" spans="1:25" ht="15">
      <c r="A136" s="59"/>
      <c r="B136" s="80"/>
      <c r="C136" s="81" t="s">
        <v>355</v>
      </c>
      <c r="D136" s="257">
        <f>H12-I12</f>
        <v>-118</v>
      </c>
      <c r="E136" s="82"/>
      <c r="F136" s="59"/>
      <c r="G136" s="59"/>
      <c r="H136" s="59"/>
      <c r="I136" s="59"/>
      <c r="J136" s="59"/>
      <c r="K136" s="59"/>
      <c r="L136" s="59"/>
      <c r="M136" s="59"/>
      <c r="N136" s="59"/>
      <c r="O136" s="59"/>
      <c r="P136" s="59"/>
      <c r="Q136" s="59"/>
      <c r="R136" s="59"/>
      <c r="S136" s="59"/>
      <c r="T136" s="59"/>
      <c r="U136" s="59"/>
      <c r="V136" s="59"/>
      <c r="W136" s="59"/>
      <c r="X136" s="59"/>
      <c r="Y136" s="59"/>
    </row>
    <row r="137" spans="1:25" ht="15">
      <c r="A137" s="59"/>
      <c r="B137" s="80"/>
      <c r="C137" s="81" t="s">
        <v>356</v>
      </c>
      <c r="D137" s="257">
        <f>E13-D13</f>
        <v>-11</v>
      </c>
      <c r="E137" s="82"/>
      <c r="F137" s="59"/>
      <c r="G137" s="59"/>
      <c r="H137" s="59"/>
      <c r="I137" s="59"/>
      <c r="J137" s="59"/>
      <c r="K137" s="59"/>
      <c r="L137" s="59"/>
      <c r="M137" s="59"/>
      <c r="N137" s="59"/>
      <c r="O137" s="59"/>
      <c r="P137" s="59"/>
      <c r="Q137" s="59"/>
      <c r="R137" s="59"/>
      <c r="S137" s="59"/>
      <c r="T137" s="59"/>
      <c r="U137" s="59"/>
      <c r="V137" s="59"/>
      <c r="W137" s="59"/>
      <c r="X137" s="59"/>
      <c r="Y137" s="59"/>
    </row>
    <row r="138" spans="1:25" ht="16.5" thickBot="1">
      <c r="A138" s="59"/>
      <c r="B138" s="80"/>
      <c r="C138" s="282" t="s">
        <v>428</v>
      </c>
      <c r="D138" s="283">
        <f>SUM(D129:D137)</f>
        <v>1088</v>
      </c>
      <c r="E138" s="82"/>
      <c r="F138" s="59"/>
      <c r="G138" s="59"/>
      <c r="H138" s="59"/>
      <c r="I138" s="59"/>
      <c r="J138" s="59"/>
      <c r="K138" s="59"/>
      <c r="L138" s="59"/>
      <c r="M138" s="59"/>
      <c r="N138" s="59"/>
      <c r="O138" s="59"/>
      <c r="P138" s="59"/>
      <c r="Q138" s="59"/>
      <c r="R138" s="59"/>
      <c r="S138" s="59"/>
      <c r="T138" s="59"/>
      <c r="U138" s="59"/>
      <c r="V138" s="59"/>
      <c r="W138" s="59"/>
      <c r="X138" s="59"/>
      <c r="Y138" s="59"/>
    </row>
    <row r="139" spans="1:25" ht="15" customHeight="1" thickTop="1">
      <c r="A139" s="59"/>
      <c r="B139" s="80"/>
      <c r="C139" s="81"/>
      <c r="D139" s="81"/>
      <c r="E139" s="82"/>
      <c r="F139" s="59"/>
      <c r="G139" s="59"/>
      <c r="H139" s="59"/>
      <c r="I139" s="59"/>
      <c r="J139" s="59"/>
      <c r="K139" s="59"/>
      <c r="L139" s="59"/>
      <c r="M139" s="59"/>
      <c r="N139" s="59"/>
      <c r="O139" s="59"/>
      <c r="P139" s="59"/>
      <c r="Q139" s="59"/>
      <c r="R139" s="59"/>
      <c r="S139" s="59"/>
      <c r="T139" s="59"/>
      <c r="U139" s="59"/>
      <c r="V139" s="59"/>
      <c r="W139" s="59"/>
      <c r="X139" s="59"/>
      <c r="Y139" s="59"/>
    </row>
    <row r="140" spans="1:25" ht="15" customHeight="1">
      <c r="B140" s="238"/>
      <c r="C140" s="282" t="s">
        <v>429</v>
      </c>
      <c r="D140" s="181"/>
      <c r="E140" s="141"/>
    </row>
    <row r="141" spans="1:25" ht="15" customHeight="1">
      <c r="B141" s="238"/>
      <c r="C141" s="81" t="s">
        <v>430</v>
      </c>
      <c r="D141" s="54">
        <f>-D31</f>
        <v>-1140</v>
      </c>
      <c r="E141" s="141"/>
    </row>
    <row r="142" spans="1:25" ht="15" customHeight="1">
      <c r="B142" s="238"/>
      <c r="C142" s="81" t="s">
        <v>431</v>
      </c>
      <c r="D142" s="284">
        <f>D32</f>
        <v>330</v>
      </c>
      <c r="E142" s="141"/>
    </row>
    <row r="143" spans="1:25" ht="15" customHeight="1" thickBot="1">
      <c r="B143" s="238"/>
      <c r="C143" s="282" t="s">
        <v>432</v>
      </c>
      <c r="D143" s="285">
        <f>SUM(D141:D142)</f>
        <v>-810</v>
      </c>
      <c r="E143" s="141"/>
    </row>
    <row r="144" spans="1:25" ht="15" customHeight="1" thickTop="1">
      <c r="B144" s="238"/>
      <c r="C144" s="181"/>
      <c r="D144" s="181"/>
      <c r="E144" s="141"/>
    </row>
    <row r="145" spans="1:25" ht="15" customHeight="1">
      <c r="B145" s="238"/>
      <c r="C145" s="282" t="s">
        <v>433</v>
      </c>
      <c r="D145" s="81"/>
      <c r="E145" s="82"/>
    </row>
    <row r="146" spans="1:25" ht="15" customHeight="1">
      <c r="B146" s="238"/>
      <c r="C146" s="81" t="s">
        <v>434</v>
      </c>
      <c r="D146" s="111">
        <f>-D34</f>
        <v>-151</v>
      </c>
      <c r="E146" s="82"/>
    </row>
    <row r="147" spans="1:25" ht="15" customHeight="1">
      <c r="B147" s="238"/>
      <c r="C147" s="81" t="s">
        <v>435</v>
      </c>
      <c r="D147" s="257">
        <f>D33</f>
        <v>175</v>
      </c>
      <c r="E147" s="82"/>
    </row>
    <row r="148" spans="1:25" ht="15">
      <c r="A148" s="59"/>
      <c r="B148" s="80"/>
      <c r="C148" s="81" t="s">
        <v>353</v>
      </c>
      <c r="D148" s="257">
        <f>H11-I11</f>
        <v>6</v>
      </c>
      <c r="E148" s="82"/>
      <c r="F148" s="59"/>
      <c r="G148" s="59"/>
      <c r="H148" s="59"/>
      <c r="I148" s="59"/>
      <c r="J148" s="59"/>
      <c r="K148" s="59"/>
      <c r="L148" s="59"/>
      <c r="M148" s="59"/>
      <c r="N148" s="59"/>
      <c r="O148" s="59"/>
      <c r="P148" s="59"/>
      <c r="Q148" s="59"/>
      <c r="R148" s="59"/>
      <c r="S148" s="59"/>
      <c r="T148" s="59"/>
      <c r="U148" s="59"/>
      <c r="V148" s="59"/>
      <c r="W148" s="59"/>
      <c r="X148" s="59"/>
      <c r="Y148" s="59"/>
    </row>
    <row r="149" spans="1:25" ht="15" customHeight="1">
      <c r="B149" s="238"/>
      <c r="C149" s="81" t="s">
        <v>436</v>
      </c>
      <c r="D149" s="257">
        <f>-D53</f>
        <v>-225</v>
      </c>
      <c r="E149" s="82"/>
    </row>
    <row r="150" spans="1:25" ht="15" customHeight="1">
      <c r="B150" s="238"/>
      <c r="C150" s="81" t="s">
        <v>437</v>
      </c>
      <c r="D150" s="257">
        <f>-D36</f>
        <v>-48</v>
      </c>
      <c r="E150" s="82"/>
    </row>
    <row r="151" spans="1:25" ht="15" customHeight="1">
      <c r="B151" s="238"/>
      <c r="C151" s="81" t="s">
        <v>438</v>
      </c>
      <c r="D151" s="257">
        <f>D35</f>
        <v>12</v>
      </c>
      <c r="E151" s="82"/>
    </row>
    <row r="152" spans="1:25" ht="15" customHeight="1" thickBot="1">
      <c r="B152" s="238"/>
      <c r="C152" s="282" t="s">
        <v>439</v>
      </c>
      <c r="D152" s="283">
        <f>SUM(D146:D151)</f>
        <v>-231</v>
      </c>
      <c r="E152" s="82"/>
    </row>
    <row r="153" spans="1:25" ht="15" customHeight="1" thickTop="1">
      <c r="B153" s="238"/>
      <c r="C153" s="81"/>
      <c r="D153" s="81"/>
      <c r="E153" s="82"/>
    </row>
    <row r="154" spans="1:25" ht="15" customHeight="1" thickBot="1">
      <c r="B154" s="238"/>
      <c r="C154" s="282" t="s">
        <v>440</v>
      </c>
      <c r="D154" s="286">
        <f>D138+D143+D152</f>
        <v>47</v>
      </c>
      <c r="E154" s="82"/>
    </row>
    <row r="155" spans="1:25" ht="15" customHeight="1" thickTop="1" thickBot="1">
      <c r="B155" s="246"/>
      <c r="C155" s="90"/>
      <c r="D155" s="90"/>
      <c r="E155" s="91"/>
    </row>
    <row r="156" spans="1:25" ht="15" customHeight="1">
      <c r="C156" s="59"/>
      <c r="D156" s="59"/>
      <c r="E156" s="59"/>
    </row>
    <row r="157" spans="1:25" ht="15" customHeight="1">
      <c r="C157" s="59"/>
      <c r="D157" s="59"/>
      <c r="E157" s="59"/>
    </row>
    <row r="158" spans="1:25" ht="15" customHeight="1">
      <c r="C158" s="59"/>
      <c r="D158" s="59"/>
      <c r="E158" s="59"/>
    </row>
    <row r="159" spans="1:25" ht="15" customHeight="1">
      <c r="C159" s="59"/>
      <c r="D159" s="59"/>
      <c r="E159" s="59"/>
    </row>
    <row r="160" spans="1:25" ht="15" customHeight="1">
      <c r="C160" s="59"/>
      <c r="D160" s="59"/>
      <c r="E160" s="59"/>
    </row>
    <row r="161" spans="3:5" ht="15" customHeight="1">
      <c r="C161" s="59"/>
      <c r="D161" s="59"/>
      <c r="E161" s="59"/>
    </row>
    <row r="162" spans="3:5" ht="15" customHeight="1">
      <c r="C162" s="59"/>
      <c r="D162" s="59"/>
      <c r="E162" s="59"/>
    </row>
    <row r="163" spans="3:5" ht="15" customHeight="1">
      <c r="C163" s="59"/>
      <c r="D163" s="59"/>
      <c r="E163" s="59"/>
    </row>
    <row r="164" spans="3:5" ht="15" customHeight="1"/>
    <row r="165" spans="3:5" ht="15" customHeight="1"/>
    <row r="166" spans="3:5" ht="15" customHeight="1"/>
    <row r="167" spans="3:5" ht="15" customHeight="1"/>
    <row r="168" spans="3:5" ht="15" customHeight="1"/>
    <row r="169" spans="3:5" ht="15" customHeight="1"/>
    <row r="170" spans="3:5" ht="15" customHeight="1"/>
    <row r="171" spans="3:5" ht="15" customHeight="1"/>
    <row r="172" spans="3:5" ht="15" customHeight="1"/>
    <row r="173" spans="3:5" ht="15" customHeight="1"/>
    <row r="174" spans="3:5" ht="15" customHeight="1"/>
    <row r="175" spans="3:5" ht="15" customHeight="1"/>
    <row r="176" spans="3:5" ht="15" customHeight="1"/>
    <row r="177" ht="15" customHeight="1"/>
    <row r="178" ht="15" customHeight="1"/>
    <row r="179" ht="15" customHeight="1"/>
    <row r="180" ht="15" customHeight="1"/>
    <row r="181" ht="15" customHeight="1"/>
    <row r="182" ht="15" customHeight="1"/>
    <row r="183" ht="15" customHeight="1"/>
    <row r="184" ht="15" customHeight="1"/>
    <row r="185" ht="15" customHeight="1"/>
    <row r="186" ht="15" customHeight="1"/>
    <row r="187" ht="15" customHeight="1"/>
    <row r="188" ht="15" customHeight="1"/>
    <row r="189" ht="15" customHeight="1"/>
    <row r="190" ht="15" customHeight="1"/>
    <row r="191" ht="15" customHeight="1"/>
    <row r="192" ht="15" customHeight="1"/>
    <row r="193" ht="15" customHeight="1"/>
    <row r="194" ht="15" customHeight="1"/>
    <row r="195" ht="15" customHeight="1"/>
    <row r="196" ht="15" customHeight="1"/>
    <row r="197" ht="15" customHeight="1"/>
    <row r="198" ht="15" customHeight="1"/>
    <row r="199" ht="15" customHeight="1"/>
    <row r="200" ht="15" customHeight="1"/>
    <row r="201" ht="15" customHeight="1"/>
    <row r="202" ht="15" customHeight="1"/>
    <row r="203" ht="15" customHeight="1"/>
    <row r="204" ht="15" customHeight="1"/>
    <row r="205" ht="15" customHeight="1"/>
    <row r="206" ht="15" customHeight="1"/>
    <row r="207" ht="15" customHeight="1"/>
    <row r="208" ht="15" customHeight="1"/>
    <row r="209" ht="15" customHeight="1"/>
    <row r="210" ht="15" customHeight="1"/>
    <row r="211" ht="15" customHeight="1"/>
    <row r="212" ht="15" customHeight="1"/>
    <row r="213" ht="15" customHeight="1"/>
    <row r="214" ht="15" customHeight="1"/>
    <row r="215" ht="15" customHeight="1"/>
    <row r="216" ht="15" customHeight="1"/>
    <row r="217" ht="15" customHeight="1"/>
    <row r="218" ht="15" customHeight="1"/>
    <row r="219" ht="15" customHeight="1"/>
    <row r="220" ht="15" customHeight="1"/>
    <row r="221" ht="15" customHeight="1"/>
    <row r="222" ht="15" customHeight="1"/>
    <row r="223" ht="15" customHeight="1"/>
    <row r="224" ht="15" customHeight="1"/>
    <row r="225" ht="15" customHeight="1"/>
    <row r="226" ht="15" customHeight="1"/>
    <row r="227" ht="15" customHeight="1"/>
    <row r="228" ht="15" customHeight="1"/>
    <row r="229" ht="15" customHeight="1"/>
    <row r="230" ht="15" customHeight="1"/>
    <row r="231" ht="15" customHeight="1"/>
    <row r="232" ht="15" customHeight="1"/>
    <row r="233" ht="15" customHeight="1"/>
    <row r="234" ht="15" customHeight="1"/>
    <row r="235" ht="15" customHeight="1"/>
    <row r="236" ht="15" customHeight="1"/>
    <row r="237" ht="15" customHeight="1"/>
    <row r="238" ht="15" customHeight="1"/>
    <row r="239" ht="15" customHeight="1"/>
    <row r="240" ht="15" customHeight="1"/>
    <row r="241" ht="15" customHeight="1"/>
    <row r="242" ht="15" customHeight="1"/>
    <row r="243" ht="15" customHeight="1"/>
    <row r="244" ht="15" customHeight="1"/>
    <row r="245" ht="15" customHeight="1"/>
    <row r="246" ht="15" customHeight="1"/>
    <row r="247" ht="15" customHeight="1"/>
    <row r="248" ht="15" customHeight="1"/>
    <row r="249" ht="15" customHeight="1"/>
    <row r="250" ht="15" customHeight="1"/>
    <row r="251" ht="15" customHeight="1"/>
    <row r="252" ht="15" customHeight="1"/>
    <row r="253" ht="15" customHeight="1"/>
    <row r="254" ht="15" customHeight="1"/>
    <row r="255" ht="15" customHeight="1"/>
    <row r="256" ht="15" customHeight="1"/>
    <row r="257" ht="15" customHeight="1"/>
    <row r="258" ht="15" customHeight="1"/>
    <row r="259" ht="15" customHeight="1"/>
    <row r="260" ht="15" customHeight="1"/>
    <row r="261" ht="15" customHeight="1"/>
    <row r="262" ht="15" customHeight="1"/>
    <row r="263" ht="15" customHeight="1"/>
    <row r="264" ht="15" customHeight="1"/>
    <row r="265" ht="15" customHeight="1"/>
    <row r="266" ht="15" customHeight="1"/>
    <row r="267" ht="15" customHeight="1"/>
    <row r="268" ht="15" customHeight="1"/>
    <row r="269" ht="15" customHeight="1"/>
    <row r="270" ht="15" customHeight="1"/>
    <row r="271" ht="15" customHeight="1"/>
    <row r="272" ht="15" customHeight="1"/>
    <row r="273" ht="15" customHeight="1"/>
    <row r="274" ht="15" customHeight="1"/>
    <row r="275" ht="15" customHeight="1"/>
    <row r="276" ht="15" customHeight="1"/>
    <row r="277" ht="15" customHeight="1"/>
    <row r="278" ht="15" customHeight="1"/>
    <row r="279" ht="15" customHeight="1"/>
    <row r="280" ht="15" customHeight="1"/>
    <row r="281" ht="15" customHeight="1"/>
    <row r="282" ht="15" customHeight="1"/>
    <row r="283" ht="15" customHeight="1"/>
    <row r="284" ht="15" customHeight="1"/>
    <row r="285" ht="15" customHeight="1"/>
    <row r="286" ht="15" customHeight="1"/>
    <row r="287" ht="15" customHeight="1"/>
    <row r="288" ht="15" customHeight="1"/>
    <row r="289" ht="15" customHeight="1"/>
    <row r="290" ht="15" customHeight="1"/>
    <row r="291" ht="15" customHeight="1"/>
    <row r="292" ht="15" customHeight="1"/>
    <row r="293" ht="15" customHeight="1"/>
    <row r="294" ht="15" customHeight="1"/>
    <row r="295" ht="15" customHeight="1"/>
    <row r="296" ht="15" customHeight="1"/>
    <row r="297" ht="15" customHeight="1"/>
    <row r="298" ht="15" customHeight="1"/>
    <row r="299" ht="15" customHeight="1"/>
    <row r="300" ht="15" customHeight="1"/>
    <row r="301" ht="15" customHeight="1"/>
    <row r="302" ht="15" customHeight="1"/>
    <row r="303" ht="15" customHeight="1"/>
    <row r="304" ht="15" customHeight="1"/>
    <row r="305" ht="15" customHeight="1"/>
    <row r="306" ht="15" customHeight="1"/>
    <row r="307" ht="15" customHeight="1"/>
    <row r="308" ht="15" customHeight="1"/>
    <row r="309" ht="15" customHeight="1"/>
    <row r="310" ht="15" customHeight="1"/>
    <row r="311" ht="15" customHeight="1"/>
    <row r="312" ht="15" customHeight="1"/>
    <row r="313" ht="15" customHeight="1"/>
    <row r="314" ht="15" customHeight="1"/>
    <row r="315" ht="15" customHeight="1"/>
    <row r="316" ht="15" customHeight="1"/>
    <row r="317" ht="15" customHeight="1"/>
    <row r="318" ht="15" customHeight="1"/>
    <row r="319" ht="15" customHeight="1"/>
    <row r="320" ht="15" customHeight="1"/>
    <row r="321" ht="15" customHeight="1"/>
    <row r="322" ht="15" customHeight="1"/>
    <row r="323" ht="15" customHeight="1"/>
    <row r="324" ht="15" customHeight="1"/>
    <row r="325" ht="15" customHeight="1"/>
    <row r="326" ht="15" customHeight="1"/>
    <row r="327" ht="15" customHeight="1"/>
    <row r="328" ht="15" customHeight="1"/>
    <row r="329" ht="15" customHeight="1"/>
    <row r="330" ht="15" customHeight="1"/>
    <row r="331" ht="15" customHeight="1"/>
    <row r="332" ht="15" customHeight="1"/>
    <row r="333" ht="15" customHeight="1"/>
    <row r="334" ht="15" customHeight="1"/>
    <row r="335" ht="15" customHeight="1"/>
    <row r="336" ht="15" customHeight="1"/>
    <row r="337" ht="15" customHeight="1"/>
    <row r="338" ht="15" customHeight="1"/>
    <row r="339" ht="15" customHeight="1"/>
    <row r="340" ht="15" customHeight="1"/>
    <row r="341" ht="15" customHeight="1"/>
    <row r="342" ht="15" customHeight="1"/>
    <row r="343" ht="15" customHeight="1"/>
    <row r="344" ht="15" customHeight="1"/>
    <row r="345" ht="15" customHeight="1"/>
    <row r="346" ht="15" customHeight="1"/>
    <row r="347" ht="15" customHeight="1"/>
    <row r="348" ht="15" customHeight="1"/>
    <row r="349" ht="15" customHeight="1"/>
    <row r="350" ht="15" customHeight="1"/>
    <row r="351" ht="15" customHeight="1"/>
    <row r="352" ht="15" customHeight="1"/>
    <row r="353" ht="15" customHeight="1"/>
    <row r="354" ht="15" customHeight="1"/>
    <row r="355" ht="15" customHeight="1"/>
    <row r="356" ht="15" customHeight="1"/>
    <row r="357" ht="15" customHeight="1"/>
    <row r="358" ht="15" customHeight="1"/>
    <row r="359" ht="15" customHeight="1"/>
    <row r="360" ht="15" customHeight="1"/>
    <row r="361" ht="15" customHeight="1"/>
    <row r="362" ht="15" customHeight="1"/>
    <row r="363" ht="15" customHeight="1"/>
    <row r="364" ht="15" customHeight="1"/>
    <row r="365" ht="15" customHeight="1"/>
    <row r="366" ht="15" customHeight="1"/>
    <row r="367" ht="15" customHeight="1"/>
    <row r="368" ht="15" customHeight="1"/>
    <row r="369" ht="15" customHeight="1"/>
    <row r="370" ht="15" customHeight="1"/>
    <row r="371" ht="15" customHeight="1"/>
    <row r="372" ht="15" customHeight="1"/>
    <row r="373" ht="15" customHeight="1"/>
    <row r="374" ht="15" customHeight="1"/>
    <row r="375" ht="15" customHeight="1"/>
    <row r="376" ht="15" customHeight="1"/>
    <row r="377" ht="15" customHeight="1"/>
    <row r="378" ht="15" customHeight="1"/>
    <row r="379" ht="15" customHeight="1"/>
    <row r="380" ht="15" customHeight="1"/>
    <row r="381" ht="15" customHeight="1"/>
    <row r="382" ht="15" customHeight="1"/>
    <row r="383" ht="15" customHeight="1"/>
    <row r="384" ht="15" customHeight="1"/>
    <row r="385" ht="15" customHeight="1"/>
    <row r="386" ht="15" customHeight="1"/>
    <row r="387" ht="15" customHeight="1"/>
    <row r="388" ht="15" customHeight="1"/>
    <row r="389" ht="15" customHeight="1"/>
    <row r="390" ht="15" customHeight="1"/>
    <row r="391" ht="15" customHeight="1"/>
    <row r="392" ht="15" customHeight="1"/>
    <row r="393" ht="15" customHeight="1"/>
    <row r="394" ht="15" customHeight="1"/>
    <row r="395" ht="15" customHeight="1"/>
    <row r="396" ht="15" customHeight="1"/>
    <row r="397" ht="15" customHeight="1"/>
    <row r="398" ht="15" customHeight="1"/>
    <row r="399" ht="15" customHeight="1"/>
    <row r="400" ht="15" customHeight="1"/>
    <row r="401" ht="15" customHeight="1"/>
    <row r="402" ht="15" customHeight="1"/>
    <row r="403" ht="15" customHeight="1"/>
    <row r="404" ht="15" customHeight="1"/>
    <row r="405" ht="15" customHeight="1"/>
    <row r="406" ht="15" customHeight="1"/>
    <row r="407" ht="15" customHeight="1"/>
    <row r="408" ht="15" customHeight="1"/>
    <row r="409" ht="15" customHeight="1"/>
    <row r="410" ht="15" customHeight="1"/>
    <row r="411" ht="15" customHeight="1"/>
    <row r="412" ht="15" customHeight="1"/>
    <row r="413" ht="15" customHeight="1"/>
    <row r="414" ht="15" customHeight="1"/>
    <row r="415" ht="15" customHeight="1"/>
    <row r="416" ht="15" customHeight="1"/>
    <row r="417" ht="15" customHeight="1"/>
    <row r="418" ht="15" customHeight="1"/>
    <row r="419" ht="15" customHeight="1"/>
    <row r="420" ht="15" customHeight="1"/>
    <row r="421" ht="15" customHeight="1"/>
    <row r="422" ht="15" customHeight="1"/>
    <row r="423" ht="15" customHeight="1"/>
    <row r="424" ht="15" customHeight="1"/>
    <row r="425" ht="15" customHeight="1"/>
    <row r="426" ht="15" customHeight="1"/>
    <row r="427" ht="15" customHeight="1"/>
    <row r="428" ht="15" customHeight="1"/>
    <row r="429" ht="15" customHeight="1"/>
    <row r="430" ht="15" customHeight="1"/>
    <row r="431" ht="15" customHeight="1"/>
    <row r="432" ht="15" customHeight="1"/>
    <row r="433" ht="15" customHeight="1"/>
    <row r="434" ht="15" customHeight="1"/>
    <row r="435" ht="15" customHeight="1"/>
    <row r="436" ht="15" customHeight="1"/>
    <row r="437" ht="15" customHeight="1"/>
    <row r="438" ht="15" customHeight="1"/>
    <row r="439" ht="15" customHeight="1"/>
    <row r="440" ht="15" customHeight="1"/>
    <row r="441" ht="15" customHeight="1"/>
    <row r="442" ht="15" customHeight="1"/>
    <row r="443" ht="15" customHeight="1"/>
    <row r="444" ht="15" customHeight="1"/>
    <row r="445" ht="15" customHeight="1"/>
    <row r="446" ht="15" customHeight="1"/>
    <row r="447" ht="15" customHeight="1"/>
    <row r="448" ht="15" customHeight="1"/>
    <row r="449" ht="15" customHeight="1"/>
    <row r="450" ht="15" customHeight="1"/>
    <row r="451" ht="15" customHeight="1"/>
    <row r="452" ht="15" customHeight="1"/>
    <row r="453" ht="15" customHeight="1"/>
    <row r="454" ht="15" customHeight="1"/>
    <row r="455" ht="15" customHeight="1"/>
    <row r="456" ht="15" customHeight="1"/>
    <row r="457" ht="15" customHeight="1"/>
    <row r="458" ht="15" customHeight="1"/>
    <row r="459" ht="15" customHeight="1"/>
    <row r="460" ht="15" customHeight="1"/>
    <row r="461" ht="15" customHeight="1"/>
    <row r="462" ht="15" customHeight="1"/>
    <row r="463" ht="15" customHeight="1"/>
    <row r="464" ht="15" customHeight="1"/>
    <row r="465" ht="15" customHeight="1"/>
    <row r="466" ht="15" customHeight="1"/>
    <row r="467" ht="15" customHeight="1"/>
    <row r="468" ht="15" customHeight="1"/>
    <row r="469" ht="15" customHeight="1"/>
    <row r="470" ht="15" customHeight="1"/>
    <row r="471" ht="15" customHeight="1"/>
    <row r="472" ht="15" customHeight="1"/>
    <row r="473" ht="15" customHeight="1"/>
    <row r="474" ht="15" customHeight="1"/>
    <row r="475" ht="15" customHeight="1"/>
    <row r="476" ht="15" customHeight="1"/>
    <row r="477" ht="15" customHeight="1"/>
    <row r="478" ht="15" customHeight="1"/>
    <row r="479" ht="15" customHeight="1"/>
    <row r="480" ht="15" customHeight="1"/>
    <row r="481" ht="15" customHeight="1"/>
    <row r="482" ht="15" customHeight="1"/>
    <row r="483" ht="15" customHeight="1"/>
    <row r="484" ht="15" customHeight="1"/>
    <row r="485" ht="15" customHeight="1"/>
    <row r="486" ht="15" customHeight="1"/>
    <row r="487" ht="15" customHeight="1"/>
    <row r="488" ht="15" customHeight="1"/>
    <row r="489" ht="15" customHeight="1"/>
    <row r="490" ht="15" customHeight="1"/>
  </sheetData>
  <mergeCells count="3">
    <mergeCell ref="C7:J7"/>
    <mergeCell ref="C38:D38"/>
    <mergeCell ref="C127:D127"/>
  </mergeCells>
  <phoneticPr fontId="0" type="noConversion"/>
  <pageMargins left="0.75" right="0.75" top="1" bottom="1" header="0.5" footer="0.5"/>
  <pageSetup scale="57" orientation="portrait" horizontalDpi="300" r:id="rId1"/>
  <headerFooter alignWithMargins="0"/>
  <rowBreaks count="1" manualBreakCount="1">
    <brk id="79" max="16383" man="1"/>
  </rowBreaks>
  <colBreaks count="1" manualBreakCount="1">
    <brk id="9" max="1048575" man="1"/>
  </colBreaks>
</worksheet>
</file>

<file path=xl/worksheets/sheet20.xml><?xml version="1.0" encoding="utf-8"?>
<worksheet xmlns="http://schemas.openxmlformats.org/spreadsheetml/2006/main" xmlns:r="http://schemas.openxmlformats.org/officeDocument/2006/relationships">
  <dimension ref="B1:M49"/>
  <sheetViews>
    <sheetView workbookViewId="0"/>
  </sheetViews>
  <sheetFormatPr defaultRowHeight="12.75"/>
  <cols>
    <col min="2" max="2" width="3.140625" customWidth="1"/>
    <col min="3" max="3" width="24" customWidth="1"/>
    <col min="4" max="4" width="15.5703125" customWidth="1"/>
    <col min="5" max="6" width="19.42578125" customWidth="1"/>
    <col min="7" max="7" width="3.140625" customWidth="1"/>
  </cols>
  <sheetData>
    <row r="1" spans="2:13" ht="18">
      <c r="C1" s="103" t="s">
        <v>718</v>
      </c>
      <c r="D1" s="103"/>
      <c r="E1" s="103"/>
      <c r="F1" s="103"/>
    </row>
    <row r="2" spans="2:13" ht="18">
      <c r="C2" s="772" t="s">
        <v>663</v>
      </c>
      <c r="D2" s="772"/>
      <c r="E2" s="772"/>
      <c r="F2" s="103"/>
      <c r="G2" s="103"/>
    </row>
    <row r="3" spans="2:13" ht="15"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</row>
    <row r="4" spans="2:13" ht="15">
      <c r="B4" s="6"/>
      <c r="C4" s="392" t="s">
        <v>135</v>
      </c>
      <c r="D4" s="6"/>
      <c r="E4" s="6"/>
      <c r="F4" s="6"/>
      <c r="G4" s="6"/>
      <c r="H4" s="6"/>
      <c r="I4" s="6"/>
      <c r="J4" s="6"/>
      <c r="K4" s="6"/>
      <c r="L4" s="6"/>
      <c r="M4" s="6"/>
    </row>
    <row r="5" spans="2:13" ht="15.75" thickBot="1">
      <c r="B5" s="6"/>
      <c r="C5" s="392"/>
      <c r="D5" s="6"/>
      <c r="E5" s="6"/>
      <c r="F5" s="6"/>
      <c r="G5" s="6"/>
      <c r="H5" s="6"/>
      <c r="I5" s="6"/>
      <c r="J5" s="6"/>
      <c r="K5" s="6"/>
      <c r="L5" s="6"/>
      <c r="M5" s="6"/>
    </row>
    <row r="6" spans="2:13" ht="15">
      <c r="B6" s="10"/>
      <c r="C6" s="11"/>
      <c r="D6" s="11"/>
      <c r="E6" s="11"/>
      <c r="F6" s="11"/>
      <c r="G6" s="12"/>
      <c r="H6" s="6"/>
      <c r="I6" s="6"/>
      <c r="J6" s="6"/>
      <c r="K6" s="6"/>
      <c r="L6" s="6"/>
      <c r="M6" s="6"/>
    </row>
    <row r="7" spans="2:13" ht="30">
      <c r="B7" s="13"/>
      <c r="C7" s="14"/>
      <c r="D7" s="393" t="s">
        <v>664</v>
      </c>
      <c r="E7" s="394" t="s">
        <v>665</v>
      </c>
      <c r="F7" s="394" t="s">
        <v>666</v>
      </c>
      <c r="G7" s="16"/>
      <c r="H7" s="6"/>
      <c r="I7" s="6"/>
      <c r="J7" s="6"/>
      <c r="K7" s="6"/>
      <c r="L7" s="6"/>
      <c r="M7" s="6"/>
    </row>
    <row r="8" spans="2:13" ht="15">
      <c r="B8" s="13"/>
      <c r="C8" s="14" t="s">
        <v>667</v>
      </c>
      <c r="D8" s="395">
        <v>0.3</v>
      </c>
      <c r="E8" s="317">
        <v>25000000</v>
      </c>
      <c r="F8" s="317">
        <v>27000000</v>
      </c>
      <c r="G8" s="16"/>
      <c r="H8" s="6"/>
      <c r="I8" s="6"/>
      <c r="J8" s="6"/>
      <c r="K8" s="6"/>
      <c r="L8" s="6"/>
      <c r="M8" s="6"/>
    </row>
    <row r="9" spans="2:13" ht="15">
      <c r="B9" s="13"/>
      <c r="C9" s="14" t="s">
        <v>668</v>
      </c>
      <c r="D9" s="395">
        <v>0.5</v>
      </c>
      <c r="E9" s="317">
        <v>30000000</v>
      </c>
      <c r="F9" s="317">
        <v>37000000</v>
      </c>
      <c r="G9" s="16"/>
      <c r="H9" s="6"/>
      <c r="I9" s="6"/>
      <c r="J9" s="6"/>
      <c r="K9" s="6"/>
      <c r="L9" s="6"/>
      <c r="M9" s="6"/>
    </row>
    <row r="10" spans="2:13" ht="15">
      <c r="B10" s="13"/>
      <c r="C10" s="14" t="s">
        <v>669</v>
      </c>
      <c r="D10" s="395">
        <v>0.2</v>
      </c>
      <c r="E10" s="317">
        <v>48000000</v>
      </c>
      <c r="F10" s="317">
        <v>57000000</v>
      </c>
      <c r="G10" s="16"/>
      <c r="H10" s="6"/>
      <c r="I10" s="6"/>
      <c r="J10" s="6"/>
      <c r="K10" s="6"/>
      <c r="L10" s="6"/>
      <c r="M10" s="6"/>
    </row>
    <row r="11" spans="2:13" ht="15">
      <c r="B11" s="13"/>
      <c r="C11" s="14"/>
      <c r="D11" s="14"/>
      <c r="E11" s="14"/>
      <c r="F11" s="14"/>
      <c r="G11" s="16"/>
      <c r="H11" s="6"/>
      <c r="I11" s="6"/>
      <c r="J11" s="6"/>
      <c r="K11" s="6"/>
      <c r="L11" s="6"/>
      <c r="M11" s="6"/>
    </row>
    <row r="12" spans="2:13" ht="15">
      <c r="B12" s="13"/>
      <c r="C12" s="14" t="s">
        <v>670</v>
      </c>
      <c r="D12" s="14"/>
      <c r="E12" s="317">
        <v>29000000</v>
      </c>
      <c r="F12" s="14"/>
      <c r="G12" s="16"/>
      <c r="H12" s="6"/>
      <c r="I12" s="6"/>
      <c r="J12" s="6"/>
      <c r="K12" s="6"/>
      <c r="L12" s="6"/>
      <c r="M12" s="6"/>
    </row>
    <row r="13" spans="2:13" ht="15">
      <c r="B13" s="13"/>
      <c r="C13" s="14" t="s">
        <v>671</v>
      </c>
      <c r="D13" s="14"/>
      <c r="E13" s="317">
        <v>5700000</v>
      </c>
      <c r="F13" s="14"/>
      <c r="G13" s="16"/>
      <c r="H13" s="6"/>
      <c r="I13" s="6"/>
      <c r="J13" s="6"/>
      <c r="K13" s="6"/>
      <c r="L13" s="6"/>
      <c r="M13" s="6"/>
    </row>
    <row r="14" spans="2:13" ht="15.75" thickBot="1">
      <c r="B14" s="24"/>
      <c r="C14" s="25"/>
      <c r="D14" s="25"/>
      <c r="E14" s="396"/>
      <c r="F14" s="25"/>
      <c r="G14" s="26"/>
      <c r="H14" s="6"/>
      <c r="I14" s="6"/>
      <c r="J14" s="6"/>
      <c r="K14" s="6"/>
      <c r="L14" s="6"/>
      <c r="M14" s="6"/>
    </row>
    <row r="15" spans="2:13" ht="15.75">
      <c r="B15" s="102"/>
      <c r="C15" s="6"/>
      <c r="D15" s="6"/>
      <c r="E15" s="397"/>
      <c r="F15" s="6"/>
      <c r="G15" s="6"/>
      <c r="H15" s="6"/>
      <c r="I15" s="6"/>
      <c r="J15" s="6"/>
      <c r="K15" s="6"/>
      <c r="L15" s="6"/>
      <c r="M15" s="6"/>
    </row>
    <row r="16" spans="2:13" ht="15.75">
      <c r="B16" s="102"/>
      <c r="C16" s="392" t="s">
        <v>139</v>
      </c>
      <c r="D16" s="6"/>
      <c r="E16" s="397"/>
      <c r="F16" s="6"/>
      <c r="G16" s="6"/>
      <c r="H16" s="6"/>
      <c r="I16" s="6"/>
      <c r="J16" s="6"/>
      <c r="K16" s="6"/>
      <c r="L16" s="6"/>
      <c r="M16" s="6"/>
    </row>
    <row r="17" spans="2:13" ht="16.5" thickBot="1">
      <c r="B17" s="102"/>
      <c r="C17" s="6"/>
      <c r="D17" s="6"/>
      <c r="E17" s="397"/>
      <c r="F17" s="6"/>
      <c r="G17" s="6"/>
      <c r="H17" s="6"/>
      <c r="I17" s="6"/>
      <c r="J17" s="6"/>
      <c r="K17" s="6"/>
      <c r="L17" s="6"/>
      <c r="M17" s="6"/>
    </row>
    <row r="18" spans="2:13" ht="15.75">
      <c r="B18" s="108"/>
      <c r="C18" s="28"/>
      <c r="D18" s="28"/>
      <c r="E18" s="28"/>
      <c r="F18" s="28"/>
      <c r="G18" s="29"/>
      <c r="H18" s="6"/>
      <c r="I18" s="6"/>
      <c r="J18" s="6"/>
      <c r="K18" s="6"/>
      <c r="L18" s="6"/>
      <c r="M18" s="6"/>
    </row>
    <row r="19" spans="2:13" ht="15.75">
      <c r="B19" s="110" t="s">
        <v>98</v>
      </c>
      <c r="C19" s="113" t="s">
        <v>672</v>
      </c>
      <c r="D19" s="31"/>
      <c r="E19" s="181"/>
      <c r="F19" s="181"/>
      <c r="G19" s="33"/>
      <c r="H19" s="6"/>
      <c r="I19" s="6"/>
      <c r="J19" s="6"/>
      <c r="K19" s="6"/>
      <c r="L19" s="6"/>
      <c r="M19" s="6"/>
    </row>
    <row r="20" spans="2:13" ht="15.75">
      <c r="B20" s="110"/>
      <c r="C20" s="31" t="s">
        <v>673</v>
      </c>
      <c r="D20" s="31"/>
      <c r="E20" s="398">
        <f>(D8*E8)+(D9*E9)+(D10*E10)</f>
        <v>32100000</v>
      </c>
      <c r="F20" s="399"/>
      <c r="G20" s="33"/>
      <c r="H20" s="6"/>
      <c r="I20" s="6"/>
      <c r="J20" s="6"/>
      <c r="K20" s="6"/>
      <c r="L20" s="6"/>
      <c r="M20" s="6"/>
    </row>
    <row r="21" spans="2:13" ht="15.75">
      <c r="B21" s="110"/>
      <c r="C21" s="31" t="s">
        <v>674</v>
      </c>
      <c r="D21" s="31"/>
      <c r="E21" s="398">
        <f>(D8*F8)+(D9*F9)+(D10*F10)</f>
        <v>38000000</v>
      </c>
      <c r="F21" s="399"/>
      <c r="G21" s="33"/>
      <c r="H21" s="6"/>
      <c r="I21" s="6"/>
      <c r="J21" s="6"/>
      <c r="K21" s="6"/>
      <c r="L21" s="6"/>
      <c r="M21" s="6"/>
    </row>
    <row r="22" spans="2:13" ht="15.75">
      <c r="B22" s="110"/>
      <c r="C22" s="31"/>
      <c r="D22" s="31"/>
      <c r="E22" s="173"/>
      <c r="F22" s="399"/>
      <c r="G22" s="33"/>
      <c r="H22" s="6"/>
      <c r="I22" s="6"/>
      <c r="J22" s="6"/>
      <c r="K22" s="6"/>
      <c r="L22" s="6"/>
      <c r="M22" s="6"/>
    </row>
    <row r="23" spans="2:13" ht="15.75">
      <c r="B23" s="110"/>
      <c r="C23" s="31" t="s">
        <v>675</v>
      </c>
      <c r="D23" s="31"/>
      <c r="E23" s="42">
        <f>(D8*(F8-E8))+(D9*(F9-E9))+(D10*(F10-E10))-E13</f>
        <v>200000</v>
      </c>
      <c r="F23" s="399"/>
      <c r="G23" s="33"/>
      <c r="H23" s="6"/>
      <c r="I23" s="6"/>
      <c r="J23" s="6"/>
      <c r="K23" s="6"/>
      <c r="L23" s="6"/>
      <c r="M23" s="6"/>
    </row>
    <row r="24" spans="2:13" ht="15.75">
      <c r="B24" s="110"/>
      <c r="C24" s="31"/>
      <c r="D24" s="31"/>
      <c r="E24" s="173"/>
      <c r="F24" s="399"/>
      <c r="G24" s="33"/>
      <c r="H24" s="6"/>
      <c r="I24" s="6"/>
      <c r="J24" s="6"/>
      <c r="K24" s="6"/>
      <c r="L24" s="6"/>
      <c r="M24" s="6"/>
    </row>
    <row r="25" spans="2:13" ht="30.75">
      <c r="B25" s="110" t="s">
        <v>111</v>
      </c>
      <c r="C25" s="31" t="s">
        <v>676</v>
      </c>
      <c r="D25" s="31"/>
      <c r="E25" s="400" t="s">
        <v>665</v>
      </c>
      <c r="F25" s="400" t="s">
        <v>666</v>
      </c>
      <c r="G25" s="33"/>
      <c r="H25" s="6"/>
      <c r="I25" s="6"/>
      <c r="J25" s="6"/>
      <c r="K25" s="6"/>
      <c r="L25" s="6"/>
      <c r="M25" s="6"/>
    </row>
    <row r="26" spans="2:13" ht="15.75">
      <c r="B26" s="110"/>
      <c r="C26" s="31" t="s">
        <v>667</v>
      </c>
      <c r="D26" s="31"/>
      <c r="E26" s="401">
        <f t="shared" ref="E26:F28" si="0">MIN($E$12,E8)</f>
        <v>25000000</v>
      </c>
      <c r="F26" s="401">
        <f t="shared" si="0"/>
        <v>27000000</v>
      </c>
      <c r="G26" s="33"/>
      <c r="H26" s="6"/>
      <c r="I26" s="6"/>
      <c r="J26" s="6"/>
      <c r="K26" s="6"/>
      <c r="L26" s="6"/>
      <c r="M26" s="6"/>
    </row>
    <row r="27" spans="2:13" ht="15.75">
      <c r="B27" s="110"/>
      <c r="C27" s="31" t="s">
        <v>668</v>
      </c>
      <c r="D27" s="31"/>
      <c r="E27" s="401">
        <f t="shared" si="0"/>
        <v>29000000</v>
      </c>
      <c r="F27" s="401">
        <f t="shared" si="0"/>
        <v>29000000</v>
      </c>
      <c r="G27" s="33"/>
      <c r="H27" s="6"/>
      <c r="I27" s="6"/>
      <c r="J27" s="6"/>
      <c r="K27" s="6"/>
      <c r="L27" s="6"/>
      <c r="M27" s="6"/>
    </row>
    <row r="28" spans="2:13" ht="15.75">
      <c r="B28" s="110"/>
      <c r="C28" s="31" t="s">
        <v>669</v>
      </c>
      <c r="D28" s="31"/>
      <c r="E28" s="401">
        <f t="shared" si="0"/>
        <v>29000000</v>
      </c>
      <c r="F28" s="401">
        <f t="shared" si="0"/>
        <v>29000000</v>
      </c>
      <c r="G28" s="33"/>
      <c r="H28" s="6"/>
      <c r="I28" s="6"/>
      <c r="J28" s="6"/>
      <c r="K28" s="6"/>
      <c r="L28" s="6"/>
      <c r="M28" s="6"/>
    </row>
    <row r="29" spans="2:13" ht="15.75">
      <c r="B29" s="110"/>
      <c r="C29" s="31"/>
      <c r="D29" s="31"/>
      <c r="E29" s="399"/>
      <c r="F29" s="399"/>
      <c r="G29" s="33"/>
      <c r="H29" s="6"/>
      <c r="I29" s="6"/>
      <c r="J29" s="6"/>
      <c r="K29" s="6"/>
      <c r="L29" s="6"/>
      <c r="M29" s="6"/>
    </row>
    <row r="30" spans="2:13" ht="15.75">
      <c r="B30" s="110"/>
      <c r="C30" s="81" t="s">
        <v>677</v>
      </c>
      <c r="D30" s="31"/>
      <c r="E30" s="398">
        <f>(D8*E26)+(D9*E27)+(D10*E28)</f>
        <v>27800000</v>
      </c>
      <c r="F30" s="398">
        <f>(F26*D8)+(F27*D9)+(F28*D10)</f>
        <v>28400000</v>
      </c>
      <c r="G30" s="33"/>
      <c r="H30" s="6"/>
      <c r="I30" s="6"/>
      <c r="J30" s="6"/>
      <c r="K30" s="6"/>
      <c r="L30" s="6"/>
      <c r="M30" s="6"/>
    </row>
    <row r="31" spans="2:13" ht="15.75">
      <c r="B31" s="110"/>
      <c r="C31" s="81"/>
      <c r="D31" s="31"/>
      <c r="E31" s="173"/>
      <c r="F31" s="173"/>
      <c r="G31" s="33"/>
      <c r="H31" s="6"/>
      <c r="I31" s="6"/>
      <c r="J31" s="6"/>
      <c r="K31" s="6"/>
      <c r="L31" s="6"/>
      <c r="M31" s="6"/>
    </row>
    <row r="32" spans="2:13" ht="30.75">
      <c r="B32" s="110" t="s">
        <v>140</v>
      </c>
      <c r="C32" s="31" t="s">
        <v>678</v>
      </c>
      <c r="D32" s="31"/>
      <c r="E32" s="400" t="s">
        <v>665</v>
      </c>
      <c r="F32" s="400" t="s">
        <v>666</v>
      </c>
      <c r="G32" s="33"/>
      <c r="H32" s="6"/>
      <c r="I32" s="6"/>
      <c r="J32" s="6"/>
      <c r="K32" s="6"/>
      <c r="L32" s="6"/>
      <c r="M32" s="6"/>
    </row>
    <row r="33" spans="2:13" ht="15.75">
      <c r="B33" s="110"/>
      <c r="C33" s="31" t="s">
        <v>667</v>
      </c>
      <c r="D33" s="31"/>
      <c r="E33" s="401">
        <f t="shared" ref="E33:F35" si="1">MAX(E8-E26,0)</f>
        <v>0</v>
      </c>
      <c r="F33" s="401">
        <f t="shared" si="1"/>
        <v>0</v>
      </c>
      <c r="G33" s="33"/>
      <c r="H33" s="6"/>
      <c r="I33" s="6"/>
      <c r="J33" s="6"/>
      <c r="K33" s="6"/>
      <c r="L33" s="6"/>
      <c r="M33" s="6"/>
    </row>
    <row r="34" spans="2:13" ht="15.75">
      <c r="B34" s="110"/>
      <c r="C34" s="31" t="s">
        <v>668</v>
      </c>
      <c r="D34" s="31"/>
      <c r="E34" s="401">
        <f t="shared" si="1"/>
        <v>1000000</v>
      </c>
      <c r="F34" s="401">
        <f t="shared" si="1"/>
        <v>8000000</v>
      </c>
      <c r="G34" s="33"/>
      <c r="H34" s="6"/>
      <c r="I34" s="6"/>
      <c r="J34" s="6"/>
      <c r="K34" s="6"/>
      <c r="L34" s="6"/>
      <c r="M34" s="6"/>
    </row>
    <row r="35" spans="2:13" ht="15.75">
      <c r="B35" s="110"/>
      <c r="C35" s="31" t="s">
        <v>669</v>
      </c>
      <c r="D35" s="31"/>
      <c r="E35" s="401">
        <f t="shared" si="1"/>
        <v>19000000</v>
      </c>
      <c r="F35" s="401">
        <f t="shared" si="1"/>
        <v>28000000</v>
      </c>
      <c r="G35" s="33"/>
      <c r="H35" s="6"/>
      <c r="I35" s="6"/>
      <c r="J35" s="6"/>
      <c r="K35" s="6"/>
      <c r="L35" s="6"/>
      <c r="M35" s="6"/>
    </row>
    <row r="36" spans="2:13" ht="15.75">
      <c r="B36" s="110"/>
      <c r="C36" s="81"/>
      <c r="D36" s="31"/>
      <c r="E36" s="402"/>
      <c r="F36" s="181"/>
      <c r="G36" s="33"/>
      <c r="H36" s="6"/>
      <c r="I36" s="6"/>
      <c r="J36" s="6"/>
      <c r="K36" s="6"/>
      <c r="L36" s="6"/>
      <c r="M36" s="6"/>
    </row>
    <row r="37" spans="2:13" ht="15.75">
      <c r="B37" s="110"/>
      <c r="C37" s="81" t="s">
        <v>679</v>
      </c>
      <c r="D37" s="31"/>
      <c r="E37" s="398">
        <f>(D8*E33)+(D9*E34)+(D10*E35)</f>
        <v>4300000</v>
      </c>
      <c r="F37" s="398">
        <f>(D8*F33)+(D9*F34)+(D10*F35)</f>
        <v>9600000</v>
      </c>
      <c r="G37" s="33"/>
      <c r="H37" s="6"/>
      <c r="I37" s="6"/>
      <c r="J37" s="6"/>
      <c r="K37" s="6"/>
      <c r="L37" s="6"/>
      <c r="M37" s="6"/>
    </row>
    <row r="38" spans="2:13" ht="15.75">
      <c r="B38" s="110"/>
      <c r="C38" s="31"/>
      <c r="D38" s="31"/>
      <c r="E38" s="402"/>
      <c r="F38" s="399"/>
      <c r="G38" s="33"/>
      <c r="H38" s="6"/>
      <c r="I38" s="6"/>
      <c r="J38" s="6"/>
      <c r="K38" s="6"/>
      <c r="L38" s="6"/>
      <c r="M38" s="6"/>
    </row>
    <row r="39" spans="2:13" ht="15.75">
      <c r="B39" s="110"/>
      <c r="C39" s="81" t="s">
        <v>680</v>
      </c>
      <c r="D39" s="31"/>
      <c r="E39" s="398">
        <f>F30-E30</f>
        <v>600000</v>
      </c>
      <c r="F39" s="173"/>
      <c r="G39" s="33"/>
      <c r="H39" s="6"/>
      <c r="I39" s="6"/>
      <c r="J39" s="6"/>
      <c r="K39" s="6"/>
      <c r="L39" s="6"/>
      <c r="M39" s="6"/>
    </row>
    <row r="40" spans="2:13" ht="15.75">
      <c r="B40" s="110"/>
      <c r="C40" s="31"/>
      <c r="D40" s="31"/>
      <c r="E40" s="402"/>
      <c r="F40" s="399"/>
      <c r="G40" s="33"/>
      <c r="H40" s="6"/>
      <c r="I40" s="6"/>
      <c r="J40" s="6"/>
      <c r="K40" s="6"/>
      <c r="L40" s="6"/>
      <c r="M40" s="6"/>
    </row>
    <row r="41" spans="2:13" ht="15.75">
      <c r="B41" s="110"/>
      <c r="C41" s="31" t="s">
        <v>681</v>
      </c>
      <c r="D41" s="31"/>
      <c r="E41" s="403">
        <f>F37-E37</f>
        <v>5300000</v>
      </c>
      <c r="F41" s="399"/>
      <c r="G41" s="33"/>
      <c r="H41" s="6"/>
      <c r="I41" s="6"/>
      <c r="J41" s="6"/>
      <c r="K41" s="6"/>
      <c r="L41" s="6"/>
      <c r="M41" s="6"/>
    </row>
    <row r="42" spans="2:13" ht="15.75">
      <c r="B42" s="110"/>
      <c r="C42" s="31"/>
      <c r="D42" s="31"/>
      <c r="E42" s="399"/>
      <c r="F42" s="399"/>
      <c r="G42" s="33"/>
      <c r="H42" s="6"/>
      <c r="I42" s="6"/>
      <c r="J42" s="6"/>
      <c r="K42" s="6"/>
      <c r="L42" s="6"/>
      <c r="M42" s="6"/>
    </row>
    <row r="43" spans="2:13" ht="15.75">
      <c r="B43" s="110"/>
      <c r="C43" s="31" t="s">
        <v>682</v>
      </c>
      <c r="D43" s="31"/>
      <c r="E43" s="398">
        <f>-E13+E41</f>
        <v>-400000</v>
      </c>
      <c r="F43" s="399"/>
      <c r="G43" s="33"/>
      <c r="H43" s="6"/>
      <c r="I43" s="6"/>
      <c r="J43" s="6"/>
      <c r="K43" s="6"/>
      <c r="L43" s="6"/>
      <c r="M43" s="6"/>
    </row>
    <row r="44" spans="2:13" ht="15.75" thickBot="1">
      <c r="B44" s="38"/>
      <c r="C44" s="39"/>
      <c r="D44" s="39"/>
      <c r="E44" s="39"/>
      <c r="F44" s="39"/>
      <c r="G44" s="40"/>
      <c r="H44" s="6"/>
      <c r="I44" s="6"/>
      <c r="J44" s="6"/>
      <c r="K44" s="6"/>
      <c r="L44" s="6"/>
      <c r="M44" s="6"/>
    </row>
    <row r="45" spans="2:13" ht="15">
      <c r="B45" s="6"/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</row>
    <row r="46" spans="2:13" ht="15">
      <c r="B46" s="6"/>
      <c r="C46" s="6"/>
      <c r="D46" s="6"/>
      <c r="E46" s="6"/>
      <c r="F46" s="6"/>
      <c r="G46" s="6"/>
      <c r="H46" s="6"/>
      <c r="I46" s="6"/>
      <c r="J46" s="6"/>
      <c r="K46" s="6"/>
      <c r="L46" s="6"/>
      <c r="M46" s="6"/>
    </row>
    <row r="47" spans="2:13" ht="15">
      <c r="B47" s="6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</row>
    <row r="48" spans="2:13" ht="15">
      <c r="B48" s="6"/>
      <c r="C48" s="6"/>
      <c r="D48" s="6"/>
      <c r="E48" s="6"/>
      <c r="F48" s="6"/>
      <c r="G48" s="6"/>
      <c r="H48" s="6"/>
      <c r="I48" s="6"/>
      <c r="J48" s="6"/>
      <c r="K48" s="6"/>
      <c r="L48" s="6"/>
      <c r="M48" s="6"/>
    </row>
    <row r="49" spans="2:13" ht="15">
      <c r="B49" s="6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</row>
  </sheetData>
  <mergeCells count="1">
    <mergeCell ref="C2:E2"/>
  </mergeCells>
  <phoneticPr fontId="2" type="noConversion"/>
  <pageMargins left="0.75" right="0.75" top="1" bottom="1" header="0.5" footer="0.5"/>
  <pageSetup orientation="portrait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>
  <dimension ref="A1:O61"/>
  <sheetViews>
    <sheetView workbookViewId="0"/>
  </sheetViews>
  <sheetFormatPr defaultRowHeight="15"/>
  <cols>
    <col min="1" max="1" width="9.140625" style="6"/>
    <col min="2" max="2" width="3.140625" style="6" customWidth="1"/>
    <col min="3" max="3" width="29.5703125" style="6" bestFit="1" customWidth="1"/>
    <col min="4" max="4" width="14.5703125" style="6" bestFit="1" customWidth="1"/>
    <col min="5" max="5" width="13.140625" style="6" bestFit="1" customWidth="1"/>
    <col min="6" max="8" width="12.85546875" style="6" bestFit="1" customWidth="1"/>
    <col min="9" max="9" width="3.140625" style="6" customWidth="1"/>
    <col min="11" max="15" width="10.28515625" bestFit="1" customWidth="1"/>
  </cols>
  <sheetData>
    <row r="1" spans="2:15" ht="18">
      <c r="C1" s="772" t="s">
        <v>848</v>
      </c>
      <c r="D1" s="772"/>
      <c r="K1" s="8"/>
    </row>
    <row r="2" spans="2:15" ht="18">
      <c r="C2" s="772" t="s">
        <v>33</v>
      </c>
      <c r="D2" s="772"/>
      <c r="E2" s="772"/>
      <c r="F2" s="772"/>
      <c r="K2" s="8"/>
    </row>
    <row r="4" spans="2:15">
      <c r="C4" s="9" t="s">
        <v>34</v>
      </c>
    </row>
    <row r="5" spans="2:15" ht="15.75" thickBot="1"/>
    <row r="6" spans="2:15">
      <c r="B6" s="10"/>
      <c r="C6" s="11"/>
      <c r="D6" s="11"/>
      <c r="E6" s="11"/>
      <c r="F6" s="11"/>
      <c r="G6" s="11"/>
      <c r="H6" s="11"/>
      <c r="I6" s="12"/>
    </row>
    <row r="7" spans="2:15" ht="15.75">
      <c r="B7" s="13"/>
      <c r="C7" s="14"/>
      <c r="D7" s="15">
        <v>2012</v>
      </c>
      <c r="E7" s="15">
        <v>2013</v>
      </c>
      <c r="F7" s="15">
        <v>2014</v>
      </c>
      <c r="G7" s="15">
        <v>2015</v>
      </c>
      <c r="H7" s="15">
        <v>2016</v>
      </c>
      <c r="I7" s="16"/>
      <c r="K7" s="17"/>
    </row>
    <row r="8" spans="2:15">
      <c r="B8" s="13"/>
      <c r="C8" s="14" t="s">
        <v>35</v>
      </c>
      <c r="D8" s="18">
        <v>2749</v>
      </c>
      <c r="E8" s="18">
        <v>3083</v>
      </c>
      <c r="F8" s="18">
        <v>3322</v>
      </c>
      <c r="G8" s="18">
        <v>3400</v>
      </c>
      <c r="H8" s="18">
        <v>3559</v>
      </c>
      <c r="I8" s="16"/>
      <c r="K8" s="151"/>
      <c r="L8" s="151"/>
      <c r="M8" s="151"/>
      <c r="N8" s="151"/>
      <c r="O8" s="151"/>
    </row>
    <row r="9" spans="2:15">
      <c r="B9" s="13"/>
      <c r="C9" s="14" t="s">
        <v>36</v>
      </c>
      <c r="D9" s="646">
        <v>731</v>
      </c>
      <c r="E9" s="646">
        <v>959</v>
      </c>
      <c r="F9" s="646">
        <v>1009</v>
      </c>
      <c r="G9" s="646">
        <v>1091</v>
      </c>
      <c r="H9" s="646">
        <v>1149</v>
      </c>
      <c r="I9" s="16"/>
      <c r="K9" s="151"/>
      <c r="L9" s="151"/>
      <c r="M9" s="151"/>
      <c r="N9" s="151"/>
      <c r="O9" s="151"/>
    </row>
    <row r="10" spans="2:15">
      <c r="B10" s="13"/>
      <c r="C10" s="14" t="s">
        <v>201</v>
      </c>
      <c r="D10" s="647">
        <v>485</v>
      </c>
      <c r="E10" s="647">
        <v>516</v>
      </c>
      <c r="F10" s="647">
        <v>537</v>
      </c>
      <c r="G10" s="647">
        <v>564</v>
      </c>
      <c r="H10" s="647">
        <v>575</v>
      </c>
      <c r="I10" s="16"/>
      <c r="K10" s="151"/>
      <c r="L10" s="151"/>
      <c r="M10" s="151"/>
      <c r="N10" s="151"/>
      <c r="O10" s="151"/>
    </row>
    <row r="11" spans="2:15">
      <c r="B11" s="13"/>
      <c r="C11" s="14" t="s">
        <v>38</v>
      </c>
      <c r="D11" s="19">
        <f>D8-D9-D10</f>
        <v>1533</v>
      </c>
      <c r="E11" s="19">
        <f>E8-E9-E10</f>
        <v>1608</v>
      </c>
      <c r="F11" s="19">
        <f>F8-F9-F10</f>
        <v>1776</v>
      </c>
      <c r="G11" s="19">
        <f>G8-G9-G10</f>
        <v>1745</v>
      </c>
      <c r="H11" s="19">
        <f>H8-H9-H10</f>
        <v>1835</v>
      </c>
      <c r="I11" s="16"/>
      <c r="K11" s="151"/>
    </row>
    <row r="12" spans="2:15">
      <c r="B12" s="13"/>
      <c r="C12" s="14" t="s">
        <v>39</v>
      </c>
      <c r="D12" s="648">
        <f>D11*$D$26</f>
        <v>613.20000000000005</v>
      </c>
      <c r="E12" s="648">
        <f>E11*$D$26</f>
        <v>643.20000000000005</v>
      </c>
      <c r="F12" s="648">
        <f>F11*$D$26</f>
        <v>710.40000000000009</v>
      </c>
      <c r="G12" s="648">
        <f>G11*$D$26</f>
        <v>698</v>
      </c>
      <c r="H12" s="648">
        <f>H11*$D$26</f>
        <v>734</v>
      </c>
      <c r="I12" s="16"/>
      <c r="K12" s="151"/>
    </row>
    <row r="13" spans="2:15" ht="15.75" thickBot="1">
      <c r="B13" s="13"/>
      <c r="C13" s="14" t="s">
        <v>40</v>
      </c>
      <c r="D13" s="20">
        <f>D11-D12</f>
        <v>919.8</v>
      </c>
      <c r="E13" s="20">
        <f>E11-E12</f>
        <v>964.8</v>
      </c>
      <c r="F13" s="20">
        <f>F11-F12</f>
        <v>1065.5999999999999</v>
      </c>
      <c r="G13" s="20">
        <f>G11-G12</f>
        <v>1047</v>
      </c>
      <c r="H13" s="20">
        <f>H11-H12</f>
        <v>1101</v>
      </c>
      <c r="I13" s="16"/>
      <c r="K13" s="151"/>
    </row>
    <row r="14" spans="2:15" ht="15.75" thickTop="1">
      <c r="B14" s="13"/>
      <c r="C14" s="14"/>
      <c r="D14" s="21"/>
      <c r="E14" s="21"/>
      <c r="F14" s="21"/>
      <c r="G14" s="21"/>
      <c r="H14" s="21"/>
      <c r="I14" s="16"/>
      <c r="K14" s="151"/>
    </row>
    <row r="15" spans="2:15">
      <c r="B15" s="13"/>
      <c r="C15" s="14" t="s">
        <v>41</v>
      </c>
      <c r="D15" s="21">
        <v>279</v>
      </c>
      <c r="E15" s="21">
        <v>242</v>
      </c>
      <c r="F15" s="21">
        <v>304</v>
      </c>
      <c r="G15" s="21">
        <v>308</v>
      </c>
      <c r="H15" s="21">
        <v>304</v>
      </c>
      <c r="I15" s="16"/>
      <c r="K15" s="151"/>
      <c r="L15" s="151"/>
      <c r="M15" s="151"/>
      <c r="N15" s="151"/>
      <c r="O15" s="151"/>
    </row>
    <row r="16" spans="2:15">
      <c r="B16" s="13"/>
      <c r="C16" s="14" t="s">
        <v>42</v>
      </c>
      <c r="D16" s="21">
        <v>-122</v>
      </c>
      <c r="E16" s="21">
        <v>-186</v>
      </c>
      <c r="F16" s="21">
        <v>101</v>
      </c>
      <c r="G16" s="21">
        <v>95</v>
      </c>
      <c r="H16" s="21">
        <v>108</v>
      </c>
      <c r="I16" s="16"/>
      <c r="K16" s="151"/>
      <c r="L16" s="151"/>
      <c r="M16" s="151"/>
      <c r="N16" s="151"/>
      <c r="O16" s="151"/>
    </row>
    <row r="17" spans="2:15">
      <c r="B17" s="13"/>
      <c r="C17" s="14" t="s">
        <v>43</v>
      </c>
      <c r="D17" s="21">
        <v>1419</v>
      </c>
      <c r="E17" s="21">
        <v>1028</v>
      </c>
      <c r="F17" s="21"/>
      <c r="G17" s="21"/>
      <c r="H17" s="21"/>
      <c r="I17" s="16"/>
      <c r="K17" s="151"/>
      <c r="L17" s="151"/>
      <c r="M17" s="151"/>
      <c r="N17" s="151"/>
      <c r="O17" s="151"/>
    </row>
    <row r="18" spans="2:15">
      <c r="B18" s="13"/>
      <c r="C18" s="14"/>
      <c r="D18" s="21"/>
      <c r="E18" s="21"/>
      <c r="F18" s="21"/>
      <c r="G18" s="21"/>
      <c r="H18" s="21"/>
      <c r="I18" s="16"/>
      <c r="K18" s="151"/>
      <c r="L18" s="151"/>
      <c r="M18" s="151"/>
      <c r="N18" s="151"/>
      <c r="O18" s="151"/>
    </row>
    <row r="19" spans="2:15">
      <c r="B19" s="13"/>
      <c r="C19" s="14" t="s">
        <v>852</v>
      </c>
      <c r="D19" s="21">
        <v>1927</v>
      </c>
      <c r="E19" s="21">
        <v>1859</v>
      </c>
      <c r="F19" s="21">
        <v>2592</v>
      </c>
      <c r="G19" s="21">
        <v>2526</v>
      </c>
      <c r="H19" s="21">
        <v>2614</v>
      </c>
      <c r="I19" s="16"/>
      <c r="K19" s="151"/>
      <c r="L19" s="151"/>
      <c r="M19" s="151"/>
      <c r="N19" s="151"/>
      <c r="O19" s="151"/>
    </row>
    <row r="20" spans="2:15">
      <c r="B20" s="13"/>
      <c r="C20" s="14"/>
      <c r="D20" s="14"/>
      <c r="E20" s="14"/>
      <c r="F20" s="14"/>
      <c r="G20" s="14"/>
      <c r="H20" s="14"/>
      <c r="I20" s="16"/>
    </row>
    <row r="21" spans="2:15">
      <c r="B21" s="13"/>
      <c r="C21" s="14" t="s">
        <v>44</v>
      </c>
      <c r="D21" s="22">
        <v>3.5000000000000003E-2</v>
      </c>
      <c r="E21" s="14"/>
      <c r="F21" s="14"/>
      <c r="G21" s="14"/>
      <c r="H21" s="14"/>
      <c r="I21" s="16"/>
    </row>
    <row r="22" spans="2:15">
      <c r="B22" s="13"/>
      <c r="C22" s="14" t="s">
        <v>45</v>
      </c>
      <c r="D22" s="22">
        <v>0.25</v>
      </c>
      <c r="E22" s="14"/>
      <c r="F22" s="14"/>
      <c r="G22" s="14"/>
      <c r="H22" s="14"/>
      <c r="I22" s="16"/>
    </row>
    <row r="23" spans="2:15">
      <c r="B23" s="13"/>
      <c r="C23" s="14" t="s">
        <v>46</v>
      </c>
      <c r="D23" s="22">
        <v>0.14000000000000001</v>
      </c>
      <c r="E23" s="14"/>
      <c r="F23" s="14"/>
      <c r="G23" s="14"/>
      <c r="H23" s="14"/>
      <c r="I23" s="16"/>
    </row>
    <row r="24" spans="2:15">
      <c r="B24" s="13"/>
      <c r="C24" s="14" t="s">
        <v>47</v>
      </c>
      <c r="D24" s="22">
        <v>0.125</v>
      </c>
      <c r="E24" s="14"/>
      <c r="F24" s="14"/>
      <c r="G24" s="14"/>
      <c r="H24" s="14"/>
      <c r="I24" s="16"/>
    </row>
    <row r="25" spans="2:15">
      <c r="B25" s="13"/>
      <c r="C25" s="14" t="s">
        <v>48</v>
      </c>
      <c r="D25" s="22">
        <v>0.08</v>
      </c>
      <c r="E25" s="14"/>
      <c r="F25" s="14"/>
      <c r="G25" s="14"/>
      <c r="H25" s="14"/>
      <c r="I25" s="16"/>
    </row>
    <row r="26" spans="2:15">
      <c r="B26" s="13"/>
      <c r="C26" s="14" t="s">
        <v>49</v>
      </c>
      <c r="D26" s="22">
        <v>0.4</v>
      </c>
      <c r="E26" s="14"/>
      <c r="F26" s="14"/>
      <c r="G26" s="14"/>
      <c r="H26" s="14"/>
      <c r="I26" s="16"/>
    </row>
    <row r="27" spans="2:15">
      <c r="B27" s="13"/>
      <c r="C27" s="14" t="s">
        <v>50</v>
      </c>
      <c r="D27" s="23">
        <v>425</v>
      </c>
      <c r="E27" s="14"/>
      <c r="F27" s="14"/>
      <c r="G27" s="14"/>
      <c r="H27" s="14"/>
      <c r="I27" s="16"/>
    </row>
    <row r="28" spans="2:15" ht="15.75" thickBot="1">
      <c r="B28" s="24"/>
      <c r="C28" s="25"/>
      <c r="D28" s="25"/>
      <c r="E28" s="25"/>
      <c r="F28" s="25"/>
      <c r="G28" s="25"/>
      <c r="H28" s="25"/>
      <c r="I28" s="26"/>
    </row>
    <row r="30" spans="2:15">
      <c r="C30" s="9" t="s">
        <v>51</v>
      </c>
    </row>
    <row r="31" spans="2:15" ht="15.75" thickBot="1"/>
    <row r="32" spans="2:15">
      <c r="B32" s="27"/>
      <c r="C32" s="28"/>
      <c r="D32" s="28"/>
      <c r="E32" s="28"/>
      <c r="F32" s="28"/>
      <c r="G32" s="28"/>
      <c r="H32" s="28"/>
      <c r="I32" s="29"/>
    </row>
    <row r="33" spans="2:9">
      <c r="B33" s="30"/>
      <c r="C33" s="31" t="s">
        <v>52</v>
      </c>
      <c r="D33" s="32">
        <f>D13+D10-D15-D16+D17</f>
        <v>2666.8</v>
      </c>
      <c r="E33" s="32">
        <f>E13+E10-E15-E16+E17</f>
        <v>2452.8000000000002</v>
      </c>
      <c r="F33" s="32">
        <f>F13+F10-F15-F16+F17</f>
        <v>1197.5999999999999</v>
      </c>
      <c r="G33" s="32">
        <f>G13+G10-G15-G16+G17</f>
        <v>1208</v>
      </c>
      <c r="H33" s="32">
        <f>H13+H10-H15-H16+H17</f>
        <v>1264</v>
      </c>
      <c r="I33" s="33"/>
    </row>
    <row r="34" spans="2:9">
      <c r="B34" s="30"/>
      <c r="C34" s="31"/>
      <c r="D34" s="32"/>
      <c r="E34" s="32"/>
      <c r="F34" s="32"/>
      <c r="G34" s="32"/>
      <c r="H34" s="32"/>
      <c r="I34" s="33"/>
    </row>
    <row r="35" spans="2:9">
      <c r="B35" s="30"/>
      <c r="C35" s="31" t="s">
        <v>53</v>
      </c>
      <c r="D35" s="34">
        <f>NPV(D23,D33:H33)</f>
        <v>6406.7090540635127</v>
      </c>
      <c r="E35" s="32"/>
      <c r="F35" s="32"/>
      <c r="G35" s="32"/>
      <c r="H35" s="32"/>
      <c r="I35" s="33"/>
    </row>
    <row r="36" spans="2:9">
      <c r="B36" s="30"/>
      <c r="C36" s="31"/>
      <c r="D36" s="32"/>
      <c r="E36" s="32"/>
      <c r="F36" s="32"/>
      <c r="G36" s="32"/>
      <c r="H36" s="32"/>
      <c r="I36" s="33"/>
    </row>
    <row r="37" spans="2:9">
      <c r="B37" s="30"/>
      <c r="C37" s="31" t="s">
        <v>54</v>
      </c>
      <c r="D37" s="32"/>
      <c r="E37" s="32"/>
      <c r="F37" s="32"/>
      <c r="G37" s="32"/>
      <c r="H37" s="32"/>
      <c r="I37" s="33"/>
    </row>
    <row r="38" spans="2:9">
      <c r="B38" s="30"/>
      <c r="C38" s="31" t="s">
        <v>55</v>
      </c>
      <c r="D38" s="34">
        <f>(H33*(1+D21))/(D23-D21)</f>
        <v>12459.428571428571</v>
      </c>
      <c r="E38" s="32"/>
      <c r="F38" s="32"/>
      <c r="G38" s="32"/>
      <c r="H38" s="32"/>
      <c r="I38" s="33"/>
    </row>
    <row r="39" spans="2:9">
      <c r="B39" s="30"/>
      <c r="C39" s="31"/>
      <c r="D39" s="34"/>
      <c r="E39" s="32"/>
      <c r="F39" s="32"/>
      <c r="G39" s="32"/>
      <c r="H39" s="32"/>
      <c r="I39" s="33"/>
    </row>
    <row r="40" spans="2:9">
      <c r="B40" s="30"/>
      <c r="C40" s="31" t="s">
        <v>56</v>
      </c>
      <c r="D40" s="34"/>
      <c r="E40" s="32"/>
      <c r="F40" s="32"/>
      <c r="G40" s="32"/>
      <c r="H40" s="32"/>
      <c r="I40" s="33"/>
    </row>
    <row r="41" spans="2:9">
      <c r="B41" s="30"/>
      <c r="C41" s="31" t="s">
        <v>57</v>
      </c>
      <c r="D41" s="34">
        <f>D38/((1+D23)^5)</f>
        <v>6471.0367758293778</v>
      </c>
      <c r="E41" s="32"/>
      <c r="F41" s="32"/>
      <c r="G41" s="32"/>
      <c r="H41" s="32"/>
      <c r="I41" s="33"/>
    </row>
    <row r="42" spans="2:9">
      <c r="B42" s="30"/>
      <c r="C42" s="31"/>
      <c r="D42" s="32"/>
      <c r="E42" s="32"/>
      <c r="F42" s="32"/>
      <c r="G42" s="32"/>
      <c r="H42" s="32"/>
      <c r="I42" s="33"/>
    </row>
    <row r="43" spans="2:9">
      <c r="B43" s="30"/>
      <c r="C43" s="31" t="s">
        <v>58</v>
      </c>
      <c r="D43" s="32">
        <f>D19*$D$26</f>
        <v>770.80000000000007</v>
      </c>
      <c r="E43" s="32">
        <f>E19*$D$26</f>
        <v>743.6</v>
      </c>
      <c r="F43" s="32">
        <f>F19*$D$26</f>
        <v>1036.8</v>
      </c>
      <c r="G43" s="32">
        <f>G19*$D$26</f>
        <v>1010.4000000000001</v>
      </c>
      <c r="H43" s="32">
        <f>H19*$D$26</f>
        <v>1045.6000000000001</v>
      </c>
      <c r="I43" s="33"/>
    </row>
    <row r="44" spans="2:9">
      <c r="B44" s="30"/>
      <c r="C44" s="31" t="s">
        <v>59</v>
      </c>
      <c r="D44" s="32">
        <f>NPV(D24,D43:H43)</f>
        <v>3211.8905993327576</v>
      </c>
      <c r="E44" s="32"/>
      <c r="F44" s="32"/>
      <c r="G44" s="32"/>
      <c r="H44" s="32"/>
      <c r="I44" s="33"/>
    </row>
    <row r="45" spans="2:9">
      <c r="B45" s="30"/>
      <c r="C45" s="31"/>
      <c r="D45" s="32"/>
      <c r="E45" s="32"/>
      <c r="F45" s="32"/>
      <c r="G45" s="32"/>
      <c r="H45" s="32"/>
      <c r="I45" s="33"/>
    </row>
    <row r="46" spans="2:9">
      <c r="B46" s="30"/>
      <c r="C46" s="31" t="s">
        <v>60</v>
      </c>
      <c r="D46" s="35">
        <f>D23+((D22/(1-D22))*(1-D26)*(D23-D25))</f>
        <v>0.15200000000000002</v>
      </c>
      <c r="E46" s="32"/>
      <c r="F46" s="32"/>
      <c r="G46" s="32"/>
      <c r="H46" s="32"/>
      <c r="I46" s="33"/>
    </row>
    <row r="47" spans="2:9">
      <c r="B47" s="30"/>
      <c r="C47" s="31" t="s">
        <v>61</v>
      </c>
      <c r="D47" s="35">
        <f>((1/(1+D22))*D46)+(D25*D22*(1-D26))</f>
        <v>0.13360000000000002</v>
      </c>
      <c r="E47" s="32"/>
      <c r="F47" s="32"/>
      <c r="G47" s="32"/>
      <c r="H47" s="32"/>
      <c r="I47" s="33"/>
    </row>
    <row r="48" spans="2:9">
      <c r="B48" s="30"/>
      <c r="C48" s="31"/>
      <c r="D48" s="32"/>
      <c r="E48" s="32"/>
      <c r="F48" s="32"/>
      <c r="G48" s="32"/>
      <c r="H48" s="32"/>
      <c r="I48" s="33"/>
    </row>
    <row r="49" spans="2:9">
      <c r="B49" s="30"/>
      <c r="C49" s="31" t="s">
        <v>62</v>
      </c>
      <c r="D49" s="34">
        <f>(H33*(1+D21))/(D47-D21)</f>
        <v>13268.154158215008</v>
      </c>
      <c r="E49" s="32"/>
      <c r="F49" s="32"/>
      <c r="G49" s="32"/>
      <c r="H49" s="32"/>
      <c r="I49" s="33"/>
    </row>
    <row r="50" spans="2:9">
      <c r="B50" s="30"/>
      <c r="C50" s="31"/>
      <c r="D50" s="32"/>
      <c r="E50" s="32"/>
      <c r="F50" s="32"/>
      <c r="G50" s="32"/>
      <c r="H50" s="32"/>
      <c r="I50" s="33"/>
    </row>
    <row r="51" spans="2:9">
      <c r="B51" s="30"/>
      <c r="C51" s="31" t="s">
        <v>63</v>
      </c>
      <c r="D51" s="32">
        <f>D49-D38</f>
        <v>808.72558678643691</v>
      </c>
      <c r="E51" s="32"/>
      <c r="F51" s="32"/>
      <c r="G51" s="32"/>
      <c r="H51" s="32"/>
      <c r="I51" s="33"/>
    </row>
    <row r="52" spans="2:9">
      <c r="B52" s="30"/>
      <c r="C52" s="31"/>
      <c r="D52" s="32"/>
      <c r="E52" s="32"/>
      <c r="F52" s="32"/>
      <c r="G52" s="32"/>
      <c r="H52" s="32"/>
      <c r="I52" s="33"/>
    </row>
    <row r="53" spans="2:9">
      <c r="B53" s="30"/>
      <c r="C53" s="31" t="s">
        <v>64</v>
      </c>
      <c r="D53" s="32"/>
      <c r="E53" s="32"/>
      <c r="F53" s="32"/>
      <c r="G53" s="32"/>
      <c r="H53" s="32"/>
      <c r="I53" s="33"/>
    </row>
    <row r="54" spans="2:9">
      <c r="B54" s="30"/>
      <c r="C54" s="31" t="s">
        <v>65</v>
      </c>
      <c r="D54" s="34">
        <f>D51/((1+D24)^5)</f>
        <v>448.78524662260099</v>
      </c>
      <c r="E54" s="32"/>
      <c r="F54" s="32"/>
      <c r="G54" s="32"/>
      <c r="H54" s="32"/>
      <c r="I54" s="33"/>
    </row>
    <row r="55" spans="2:9">
      <c r="B55" s="30"/>
      <c r="C55" s="31"/>
      <c r="D55" s="32"/>
      <c r="E55" s="32"/>
      <c r="F55" s="32"/>
      <c r="G55" s="32"/>
      <c r="H55" s="32"/>
      <c r="I55" s="33"/>
    </row>
    <row r="56" spans="2:9">
      <c r="B56" s="30"/>
      <c r="C56" s="31" t="s">
        <v>53</v>
      </c>
      <c r="D56" s="32">
        <f>D35+D41</f>
        <v>12877.74582989289</v>
      </c>
      <c r="E56" s="32"/>
      <c r="F56" s="32"/>
      <c r="G56" s="32"/>
      <c r="H56" s="32"/>
      <c r="I56" s="33"/>
    </row>
    <row r="57" spans="2:9">
      <c r="B57" s="30"/>
      <c r="C57" s="31" t="s">
        <v>66</v>
      </c>
      <c r="D57" s="32">
        <f>D44+D54</f>
        <v>3660.6758459553585</v>
      </c>
      <c r="E57" s="32"/>
      <c r="F57" s="32"/>
      <c r="G57" s="32"/>
      <c r="H57" s="32"/>
      <c r="I57" s="33"/>
    </row>
    <row r="58" spans="2:9">
      <c r="B58" s="30"/>
      <c r="C58" s="31" t="s">
        <v>67</v>
      </c>
      <c r="D58" s="32">
        <f>D56+D57</f>
        <v>16538.421675848251</v>
      </c>
      <c r="E58" s="32"/>
      <c r="F58" s="32"/>
      <c r="G58" s="32"/>
      <c r="H58" s="32"/>
      <c r="I58" s="33"/>
    </row>
    <row r="59" spans="2:9">
      <c r="B59" s="30"/>
      <c r="C59" s="31"/>
      <c r="D59" s="36"/>
      <c r="E59" s="36"/>
      <c r="F59" s="36"/>
      <c r="G59" s="36"/>
      <c r="H59" s="36"/>
      <c r="I59" s="33"/>
    </row>
    <row r="60" spans="2:9" ht="15.75">
      <c r="B60" s="30"/>
      <c r="C60" s="31" t="s">
        <v>68</v>
      </c>
      <c r="D60" s="37">
        <f>D58/D27</f>
        <v>38.913933354937058</v>
      </c>
      <c r="E60" s="36"/>
      <c r="F60" s="36"/>
      <c r="G60" s="36"/>
      <c r="H60" s="36"/>
      <c r="I60" s="33"/>
    </row>
    <row r="61" spans="2:9" ht="15.75" thickBot="1">
      <c r="B61" s="38"/>
      <c r="C61" s="39"/>
      <c r="D61" s="39"/>
      <c r="E61" s="39"/>
      <c r="F61" s="39"/>
      <c r="G61" s="39"/>
      <c r="H61" s="39"/>
      <c r="I61" s="40"/>
    </row>
  </sheetData>
  <mergeCells count="2">
    <mergeCell ref="C2:F2"/>
    <mergeCell ref="C1:D1"/>
  </mergeCells>
  <phoneticPr fontId="2" type="noConversion"/>
  <pageMargins left="0.75" right="0.75" top="1" bottom="1" header="0.5" footer="0.5"/>
  <pageSetup orientation="portrait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>
  <dimension ref="A1:G39"/>
  <sheetViews>
    <sheetView workbookViewId="0"/>
  </sheetViews>
  <sheetFormatPr defaultRowHeight="15"/>
  <cols>
    <col min="1" max="1" width="9.140625" style="6"/>
    <col min="2" max="2" width="3.140625" style="6" customWidth="1"/>
    <col min="3" max="3" width="38.28515625" style="6" bestFit="1" customWidth="1"/>
    <col min="4" max="4" width="18.85546875" style="6" bestFit="1" customWidth="1"/>
    <col min="5" max="5" width="3.140625" style="6" customWidth="1"/>
  </cols>
  <sheetData>
    <row r="1" spans="2:7" ht="18">
      <c r="C1" s="772" t="s">
        <v>719</v>
      </c>
      <c r="D1" s="772"/>
      <c r="G1" s="8"/>
    </row>
    <row r="2" spans="2:7" ht="18">
      <c r="C2" s="772" t="s">
        <v>69</v>
      </c>
      <c r="D2" s="772"/>
      <c r="G2" s="8"/>
    </row>
    <row r="4" spans="2:7">
      <c r="C4" s="9" t="s">
        <v>34</v>
      </c>
    </row>
    <row r="5" spans="2:7" ht="15.75" thickBot="1"/>
    <row r="6" spans="2:7">
      <c r="B6" s="10"/>
      <c r="C6" s="11"/>
      <c r="D6" s="11"/>
      <c r="E6" s="12"/>
    </row>
    <row r="7" spans="2:7">
      <c r="B7" s="13"/>
      <c r="C7" s="14" t="s">
        <v>70</v>
      </c>
      <c r="D7" s="22">
        <v>7.0000000000000007E-2</v>
      </c>
      <c r="E7" s="16"/>
    </row>
    <row r="8" spans="2:7">
      <c r="B8" s="13"/>
      <c r="C8" s="14" t="s">
        <v>71</v>
      </c>
      <c r="D8" s="21">
        <v>1800000</v>
      </c>
      <c r="E8" s="16"/>
    </row>
    <row r="9" spans="2:7">
      <c r="B9" s="13"/>
      <c r="C9" s="14" t="s">
        <v>72</v>
      </c>
      <c r="D9" s="21">
        <v>15000</v>
      </c>
      <c r="E9" s="16"/>
    </row>
    <row r="10" spans="2:7">
      <c r="B10" s="13"/>
      <c r="C10" s="14" t="s">
        <v>73</v>
      </c>
      <c r="D10" s="21">
        <v>20000</v>
      </c>
      <c r="E10" s="16"/>
    </row>
    <row r="11" spans="2:7">
      <c r="B11" s="13"/>
      <c r="C11" s="14" t="s">
        <v>74</v>
      </c>
      <c r="D11" s="21">
        <v>100000</v>
      </c>
      <c r="E11" s="16"/>
    </row>
    <row r="12" spans="2:7">
      <c r="B12" s="13"/>
      <c r="C12" s="14" t="s">
        <v>75</v>
      </c>
      <c r="D12" s="21">
        <v>8500</v>
      </c>
      <c r="E12" s="16"/>
    </row>
    <row r="13" spans="2:7">
      <c r="B13" s="13"/>
      <c r="C13" s="14" t="s">
        <v>76</v>
      </c>
      <c r="D13" s="21">
        <v>525000</v>
      </c>
      <c r="E13" s="16"/>
    </row>
    <row r="14" spans="2:7">
      <c r="B14" s="13"/>
      <c r="C14" s="14" t="s">
        <v>77</v>
      </c>
      <c r="D14" s="21">
        <v>75000</v>
      </c>
      <c r="E14" s="16"/>
    </row>
    <row r="15" spans="2:7">
      <c r="B15" s="13"/>
      <c r="C15" s="14" t="s">
        <v>78</v>
      </c>
      <c r="D15" s="21">
        <v>325000</v>
      </c>
      <c r="E15" s="16"/>
    </row>
    <row r="16" spans="2:7">
      <c r="B16" s="13"/>
      <c r="C16" s="14" t="s">
        <v>79</v>
      </c>
      <c r="D16" s="21">
        <v>85000000</v>
      </c>
      <c r="E16" s="16"/>
    </row>
    <row r="17" spans="2:5" ht="15.75" thickBot="1">
      <c r="B17" s="24"/>
      <c r="C17" s="25"/>
      <c r="D17" s="25"/>
      <c r="E17" s="26"/>
    </row>
    <row r="19" spans="2:5">
      <c r="C19" s="9" t="s">
        <v>51</v>
      </c>
    </row>
    <row r="20" spans="2:5" ht="15.75" thickBot="1"/>
    <row r="21" spans="2:5">
      <c r="B21" s="27"/>
      <c r="C21" s="28"/>
      <c r="D21" s="28"/>
      <c r="E21" s="29"/>
    </row>
    <row r="22" spans="2:5">
      <c r="B22" s="30"/>
      <c r="C22" s="31" t="s">
        <v>80</v>
      </c>
      <c r="D22" s="41">
        <f>D16*D7</f>
        <v>5950000.0000000009</v>
      </c>
      <c r="E22" s="33"/>
    </row>
    <row r="23" spans="2:5">
      <c r="B23" s="30"/>
      <c r="C23" s="31"/>
      <c r="D23" s="41"/>
      <c r="E23" s="33"/>
    </row>
    <row r="24" spans="2:5">
      <c r="B24" s="30"/>
      <c r="C24" s="31" t="s">
        <v>81</v>
      </c>
      <c r="D24" s="41">
        <f>D8+D9+D10+D11+D12+D13+D14</f>
        <v>2543500</v>
      </c>
      <c r="E24" s="33"/>
    </row>
    <row r="25" spans="2:5">
      <c r="B25" s="30"/>
      <c r="C25" s="31"/>
      <c r="D25" s="41"/>
      <c r="E25" s="33"/>
    </row>
    <row r="26" spans="2:5">
      <c r="B26" s="30"/>
      <c r="C26" s="31" t="s">
        <v>82</v>
      </c>
      <c r="D26" s="41">
        <f>D22+D24</f>
        <v>8493500</v>
      </c>
      <c r="E26" s="33"/>
    </row>
    <row r="27" spans="2:5">
      <c r="B27" s="30"/>
      <c r="C27" s="31"/>
      <c r="D27" s="41"/>
      <c r="E27" s="33"/>
    </row>
    <row r="28" spans="2:5">
      <c r="B28" s="30"/>
      <c r="C28" s="31" t="s">
        <v>83</v>
      </c>
      <c r="D28" s="42">
        <f>D16-D22</f>
        <v>79050000</v>
      </c>
      <c r="E28" s="33"/>
    </row>
    <row r="29" spans="2:5">
      <c r="B29" s="30"/>
      <c r="C29" s="31"/>
      <c r="D29" s="43"/>
      <c r="E29" s="33"/>
    </row>
    <row r="30" spans="2:5" ht="15.75">
      <c r="B30" s="30"/>
      <c r="C30" s="31" t="s">
        <v>84</v>
      </c>
      <c r="D30" s="44">
        <f>D26/D28</f>
        <v>0.10744465528146742</v>
      </c>
      <c r="E30" s="33"/>
    </row>
    <row r="31" spans="2:5" ht="15.75" thickBot="1">
      <c r="B31" s="38"/>
      <c r="C31" s="39"/>
      <c r="D31" s="45"/>
      <c r="E31" s="40"/>
    </row>
    <row r="32" spans="2:5">
      <c r="D32" s="46"/>
    </row>
    <row r="33" spans="4:4">
      <c r="D33" s="46"/>
    </row>
    <row r="34" spans="4:4">
      <c r="D34" s="46"/>
    </row>
    <row r="35" spans="4:4">
      <c r="D35" s="46"/>
    </row>
    <row r="36" spans="4:4">
      <c r="D36" s="46"/>
    </row>
    <row r="37" spans="4:4">
      <c r="D37" s="46"/>
    </row>
    <row r="38" spans="4:4">
      <c r="D38" s="46"/>
    </row>
    <row r="39" spans="4:4">
      <c r="D39" s="46"/>
    </row>
  </sheetData>
  <mergeCells count="2">
    <mergeCell ref="C2:D2"/>
    <mergeCell ref="C1:D1"/>
  </mergeCells>
  <phoneticPr fontId="2" type="noConversion"/>
  <pageMargins left="0.75" right="0.75" top="1" bottom="1" header="0.5" footer="0.5"/>
  <pageSetup orientation="portrait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>
  <dimension ref="A1:K52"/>
  <sheetViews>
    <sheetView workbookViewId="0"/>
  </sheetViews>
  <sheetFormatPr defaultRowHeight="15"/>
  <cols>
    <col min="1" max="1" width="9.140625" style="6"/>
    <col min="2" max="2" width="3.140625" style="6" customWidth="1"/>
    <col min="3" max="3" width="29" style="6" bestFit="1" customWidth="1"/>
    <col min="4" max="4" width="18.28515625" style="6" bestFit="1" customWidth="1"/>
    <col min="5" max="5" width="15.42578125" style="6" customWidth="1"/>
    <col min="6" max="7" width="15.7109375" style="6" customWidth="1"/>
    <col min="8" max="8" width="16.28515625" style="6" bestFit="1" customWidth="1"/>
    <col min="9" max="9" width="3.140625" style="6" customWidth="1"/>
    <col min="11" max="11" width="12.85546875" bestFit="1" customWidth="1"/>
  </cols>
  <sheetData>
    <row r="1" spans="2:11" ht="18">
      <c r="C1" s="772" t="s">
        <v>683</v>
      </c>
      <c r="D1" s="772"/>
    </row>
    <row r="2" spans="2:11" ht="18">
      <c r="C2" s="772" t="s">
        <v>85</v>
      </c>
      <c r="D2" s="772"/>
      <c r="E2" s="772"/>
      <c r="F2" s="772"/>
    </row>
    <row r="4" spans="2:11">
      <c r="C4" s="9" t="s">
        <v>34</v>
      </c>
    </row>
    <row r="5" spans="2:11" ht="15.75" thickBot="1"/>
    <row r="6" spans="2:11">
      <c r="B6" s="10"/>
      <c r="C6" s="11"/>
      <c r="D6" s="11"/>
      <c r="E6" s="11"/>
      <c r="F6" s="11"/>
      <c r="G6" s="11"/>
      <c r="H6" s="11"/>
      <c r="I6" s="12"/>
    </row>
    <row r="7" spans="2:11">
      <c r="B7" s="13"/>
      <c r="C7" s="14" t="s">
        <v>86</v>
      </c>
      <c r="D7" s="21">
        <v>4000000</v>
      </c>
      <c r="E7" s="14"/>
      <c r="F7" s="14"/>
      <c r="G7" s="14"/>
      <c r="H7" s="14"/>
      <c r="I7" s="16"/>
      <c r="K7" s="733"/>
    </row>
    <row r="8" spans="2:11">
      <c r="B8" s="13"/>
      <c r="C8" s="14" t="s">
        <v>87</v>
      </c>
      <c r="D8" s="744">
        <v>0.33329999999999999</v>
      </c>
      <c r="E8" s="14"/>
      <c r="F8" s="14"/>
      <c r="G8" s="14"/>
      <c r="H8" s="14"/>
      <c r="I8" s="16"/>
      <c r="K8" s="733"/>
    </row>
    <row r="9" spans="2:11">
      <c r="B9" s="13"/>
      <c r="C9" s="14" t="s">
        <v>88</v>
      </c>
      <c r="D9" s="744">
        <v>0.44450000000000001</v>
      </c>
      <c r="E9" s="14"/>
      <c r="F9" s="14"/>
      <c r="G9" s="14"/>
      <c r="H9" s="14"/>
      <c r="I9" s="16"/>
      <c r="K9" s="733"/>
    </row>
    <row r="10" spans="2:11">
      <c r="B10" s="13"/>
      <c r="C10" s="14" t="s">
        <v>89</v>
      </c>
      <c r="D10" s="744">
        <v>0.14810000000000001</v>
      </c>
      <c r="E10" s="14"/>
      <c r="F10" s="14"/>
      <c r="G10" s="14"/>
      <c r="H10" s="14"/>
      <c r="I10" s="16"/>
      <c r="K10" s="733"/>
    </row>
    <row r="11" spans="2:11">
      <c r="B11" s="13"/>
      <c r="C11" s="14" t="s">
        <v>90</v>
      </c>
      <c r="D11" s="744">
        <v>7.4099999999999999E-2</v>
      </c>
      <c r="E11" s="47"/>
      <c r="F11" s="14"/>
      <c r="G11" s="14"/>
      <c r="H11" s="14"/>
      <c r="I11" s="16"/>
      <c r="K11" s="733"/>
    </row>
    <row r="12" spans="2:11">
      <c r="B12" s="13"/>
      <c r="C12" s="14" t="s">
        <v>91</v>
      </c>
      <c r="D12" s="21">
        <v>480000</v>
      </c>
      <c r="E12" s="14"/>
      <c r="F12" s="14"/>
      <c r="G12" s="14"/>
      <c r="H12" s="14"/>
      <c r="I12" s="16"/>
      <c r="K12" s="733"/>
    </row>
    <row r="13" spans="2:11">
      <c r="B13" s="13"/>
      <c r="C13" s="14" t="s">
        <v>92</v>
      </c>
      <c r="D13" s="21">
        <v>1040000</v>
      </c>
      <c r="E13" s="14"/>
      <c r="F13" s="14"/>
      <c r="G13" s="14"/>
      <c r="H13" s="14"/>
      <c r="I13" s="16"/>
      <c r="K13" s="733"/>
    </row>
    <row r="14" spans="2:11">
      <c r="B14" s="13"/>
      <c r="C14" s="14" t="s">
        <v>93</v>
      </c>
      <c r="D14" s="21">
        <v>240000</v>
      </c>
      <c r="E14" s="14"/>
      <c r="F14" s="14"/>
      <c r="G14" s="14"/>
      <c r="H14" s="14"/>
      <c r="I14" s="16"/>
      <c r="K14" s="733"/>
    </row>
    <row r="15" spans="2:11">
      <c r="B15" s="13"/>
      <c r="C15" s="14" t="s">
        <v>94</v>
      </c>
      <c r="D15" s="48">
        <v>0.11</v>
      </c>
      <c r="E15" s="14"/>
      <c r="F15" s="14"/>
      <c r="G15" s="14"/>
      <c r="H15" s="14"/>
      <c r="I15" s="16"/>
      <c r="K15" s="733"/>
    </row>
    <row r="16" spans="2:11">
      <c r="B16" s="13"/>
      <c r="C16" s="14" t="s">
        <v>49</v>
      </c>
      <c r="D16" s="48">
        <v>0.35</v>
      </c>
      <c r="E16" s="14"/>
      <c r="F16" s="14"/>
      <c r="G16" s="14"/>
      <c r="H16" s="14"/>
      <c r="I16" s="16"/>
      <c r="K16" s="733"/>
    </row>
    <row r="17" spans="2:11">
      <c r="B17" s="13"/>
      <c r="C17" s="14"/>
      <c r="D17" s="48"/>
      <c r="E17" s="14"/>
      <c r="F17" s="14"/>
      <c r="G17" s="14"/>
      <c r="H17" s="14"/>
      <c r="I17" s="16"/>
      <c r="K17" s="733"/>
    </row>
    <row r="18" spans="2:11">
      <c r="B18" s="13"/>
      <c r="C18" s="49" t="s">
        <v>95</v>
      </c>
      <c r="D18" s="48"/>
      <c r="E18" s="14"/>
      <c r="F18" s="14"/>
      <c r="G18" s="14"/>
      <c r="H18" s="14"/>
      <c r="I18" s="16"/>
      <c r="K18" s="733"/>
    </row>
    <row r="19" spans="2:11">
      <c r="B19" s="13"/>
      <c r="C19" s="14" t="s">
        <v>96</v>
      </c>
      <c r="D19" s="50">
        <v>1840000</v>
      </c>
      <c r="E19" s="14"/>
      <c r="F19" s="14"/>
      <c r="G19" s="14"/>
      <c r="H19" s="14"/>
      <c r="I19" s="16"/>
      <c r="K19" s="733"/>
    </row>
    <row r="20" spans="2:11">
      <c r="B20" s="13"/>
      <c r="C20" s="14" t="s">
        <v>97</v>
      </c>
      <c r="D20" s="50">
        <v>1600000</v>
      </c>
      <c r="E20" s="14"/>
      <c r="F20" s="14"/>
      <c r="G20" s="14"/>
      <c r="H20" s="14"/>
      <c r="I20" s="16"/>
      <c r="K20" s="733"/>
    </row>
    <row r="21" spans="2:11" ht="15.75" thickBot="1">
      <c r="B21" s="24"/>
      <c r="C21" s="25"/>
      <c r="D21" s="51"/>
      <c r="E21" s="25"/>
      <c r="F21" s="25"/>
      <c r="G21" s="25"/>
      <c r="H21" s="25"/>
      <c r="I21" s="26"/>
    </row>
    <row r="22" spans="2:11">
      <c r="D22" s="52"/>
    </row>
    <row r="23" spans="2:11">
      <c r="C23" s="9" t="s">
        <v>51</v>
      </c>
      <c r="D23" s="52"/>
    </row>
    <row r="24" spans="2:11" ht="15.75" thickBot="1">
      <c r="D24" s="52"/>
    </row>
    <row r="25" spans="2:11">
      <c r="B25" s="27"/>
      <c r="C25" s="28"/>
      <c r="D25" s="28"/>
      <c r="E25" s="28"/>
      <c r="F25" s="28"/>
      <c r="G25" s="28"/>
      <c r="H25" s="28"/>
      <c r="I25" s="29"/>
    </row>
    <row r="26" spans="2:11">
      <c r="B26" s="30" t="s">
        <v>98</v>
      </c>
      <c r="C26" s="31" t="s">
        <v>99</v>
      </c>
      <c r="D26" s="35">
        <f>D15*(1-D16)</f>
        <v>7.1500000000000008E-2</v>
      </c>
      <c r="E26" s="31"/>
      <c r="F26" s="31"/>
      <c r="G26" s="31"/>
      <c r="H26" s="31"/>
      <c r="I26" s="33"/>
    </row>
    <row r="27" spans="2:11">
      <c r="B27" s="30"/>
      <c r="C27" s="31"/>
      <c r="D27" s="31"/>
      <c r="E27" s="31"/>
      <c r="F27" s="31"/>
      <c r="G27" s="31"/>
      <c r="H27" s="31"/>
      <c r="I27" s="33"/>
    </row>
    <row r="28" spans="2:11">
      <c r="B28" s="30"/>
      <c r="C28" s="31"/>
      <c r="D28" s="53" t="s">
        <v>100</v>
      </c>
      <c r="E28" s="53" t="s">
        <v>101</v>
      </c>
      <c r="F28" s="53" t="s">
        <v>102</v>
      </c>
      <c r="G28" s="53" t="s">
        <v>103</v>
      </c>
      <c r="H28" s="53" t="s">
        <v>104</v>
      </c>
      <c r="I28" s="33"/>
    </row>
    <row r="29" spans="2:11">
      <c r="B29" s="30"/>
      <c r="C29" s="31" t="s">
        <v>105</v>
      </c>
      <c r="D29" s="54">
        <f>D7</f>
        <v>4000000</v>
      </c>
      <c r="E29" s="54"/>
      <c r="F29" s="54"/>
      <c r="G29" s="54"/>
      <c r="H29" s="54"/>
      <c r="I29" s="33"/>
    </row>
    <row r="30" spans="2:11">
      <c r="B30" s="30"/>
      <c r="C30" s="31" t="s">
        <v>106</v>
      </c>
      <c r="D30" s="330"/>
      <c r="E30" s="330"/>
      <c r="F30" s="330"/>
      <c r="G30" s="330"/>
      <c r="H30" s="41">
        <f>-(D12-(D12*D16))</f>
        <v>-312000</v>
      </c>
      <c r="I30" s="33"/>
    </row>
    <row r="31" spans="2:11">
      <c r="B31" s="30"/>
      <c r="C31" s="31" t="s">
        <v>107</v>
      </c>
      <c r="D31" s="330"/>
      <c r="E31" s="41">
        <f>-D7*D8*D16</f>
        <v>-466619.99999999994</v>
      </c>
      <c r="F31" s="41">
        <f>-D7*D9*D16</f>
        <v>-622300</v>
      </c>
      <c r="G31" s="41">
        <f>-D7*D10*D16</f>
        <v>-207340</v>
      </c>
      <c r="H31" s="330">
        <f>-D7*D11*D16</f>
        <v>-103740</v>
      </c>
      <c r="I31" s="33"/>
    </row>
    <row r="32" spans="2:11">
      <c r="B32" s="30"/>
      <c r="C32" s="31" t="s">
        <v>93</v>
      </c>
      <c r="D32" s="330">
        <f>-D14</f>
        <v>-240000</v>
      </c>
      <c r="E32" s="330"/>
      <c r="F32" s="330"/>
      <c r="G32" s="330"/>
      <c r="H32" s="330">
        <f>D14</f>
        <v>240000</v>
      </c>
      <c r="I32" s="33"/>
    </row>
    <row r="33" spans="2:9">
      <c r="B33" s="30"/>
      <c r="C33" s="31" t="s">
        <v>92</v>
      </c>
      <c r="D33" s="330">
        <f>-D13</f>
        <v>-1040000</v>
      </c>
      <c r="E33" s="330">
        <f>D33</f>
        <v>-1040000</v>
      </c>
      <c r="F33" s="330">
        <f>E33</f>
        <v>-1040000</v>
      </c>
      <c r="G33" s="330">
        <f>F33</f>
        <v>-1040000</v>
      </c>
      <c r="H33" s="330"/>
      <c r="I33" s="33"/>
    </row>
    <row r="34" spans="2:9">
      <c r="B34" s="30"/>
      <c r="C34" s="31" t="s">
        <v>108</v>
      </c>
      <c r="D34" s="284">
        <f>-D33*$D$16</f>
        <v>364000</v>
      </c>
      <c r="E34" s="284">
        <f>-E33*$D$16</f>
        <v>364000</v>
      </c>
      <c r="F34" s="284">
        <f>-F33*$D$16</f>
        <v>364000</v>
      </c>
      <c r="G34" s="284">
        <f>-G33*$D$16</f>
        <v>364000</v>
      </c>
      <c r="H34" s="284"/>
      <c r="I34" s="33"/>
    </row>
    <row r="35" spans="2:9">
      <c r="B35" s="30"/>
      <c r="C35" s="31" t="s">
        <v>109</v>
      </c>
      <c r="D35" s="54">
        <f>D29+D30+D31+D32+D33+D34</f>
        <v>3084000</v>
      </c>
      <c r="E35" s="54">
        <f>E29+E30+E31+E32+E33+E34</f>
        <v>-1142620</v>
      </c>
      <c r="F35" s="54">
        <f>F29+F30+F31+F32+F33+F34</f>
        <v>-1298300</v>
      </c>
      <c r="G35" s="54">
        <f>G29+G30+G31+G32+G33+G34</f>
        <v>-883340</v>
      </c>
      <c r="H35" s="54">
        <f>H29+H30+H31+H32+H33+H34</f>
        <v>-175740</v>
      </c>
      <c r="I35" s="33"/>
    </row>
    <row r="36" spans="2:9">
      <c r="B36" s="30"/>
      <c r="C36" s="31"/>
      <c r="D36" s="31"/>
      <c r="E36" s="31"/>
      <c r="F36" s="31"/>
      <c r="G36" s="31"/>
      <c r="H36" s="31"/>
      <c r="I36" s="33"/>
    </row>
    <row r="37" spans="2:9" ht="15.75">
      <c r="B37" s="30"/>
      <c r="C37" s="31" t="s">
        <v>110</v>
      </c>
      <c r="D37" s="55">
        <f>D35+NPV(D26,E35:H35)</f>
        <v>35446.434105211869</v>
      </c>
      <c r="E37" s="31"/>
      <c r="F37" s="31"/>
      <c r="G37" s="31"/>
      <c r="H37" s="31"/>
      <c r="I37" s="33"/>
    </row>
    <row r="38" spans="2:9">
      <c r="B38" s="30"/>
      <c r="C38" s="31"/>
      <c r="D38" s="31"/>
      <c r="E38" s="31"/>
      <c r="F38" s="31"/>
      <c r="G38" s="31"/>
      <c r="H38" s="31"/>
      <c r="I38" s="33"/>
    </row>
    <row r="39" spans="2:9">
      <c r="B39" s="30" t="s">
        <v>111</v>
      </c>
      <c r="C39" s="31" t="s">
        <v>112</v>
      </c>
      <c r="D39" s="54">
        <f>D7-(D7*(D8+D9))</f>
        <v>888800</v>
      </c>
      <c r="E39" s="31"/>
      <c r="F39" s="31"/>
      <c r="G39" s="31"/>
      <c r="H39" s="31"/>
      <c r="I39" s="33"/>
    </row>
    <row r="40" spans="2:9">
      <c r="B40" s="30"/>
      <c r="C40" s="31"/>
      <c r="D40" s="31"/>
      <c r="E40" s="31"/>
      <c r="F40" s="31"/>
      <c r="G40" s="31"/>
      <c r="H40" s="31"/>
      <c r="I40" s="33"/>
    </row>
    <row r="41" spans="2:9">
      <c r="B41" s="30"/>
      <c r="C41" s="31"/>
      <c r="D41" s="53" t="s">
        <v>100</v>
      </c>
      <c r="E41" s="53" t="s">
        <v>101</v>
      </c>
      <c r="F41" s="53" t="s">
        <v>102</v>
      </c>
      <c r="G41" s="53"/>
      <c r="H41" s="53"/>
      <c r="I41" s="33"/>
    </row>
    <row r="42" spans="2:9">
      <c r="B42" s="30"/>
      <c r="C42" s="31" t="s">
        <v>105</v>
      </c>
      <c r="D42" s="54">
        <f>D29</f>
        <v>4000000</v>
      </c>
      <c r="E42" s="54"/>
      <c r="F42" s="54"/>
      <c r="G42" s="56"/>
      <c r="H42" s="56"/>
      <c r="I42" s="33"/>
    </row>
    <row r="43" spans="2:9">
      <c r="B43" s="30"/>
      <c r="C43" s="31" t="s">
        <v>106</v>
      </c>
      <c r="D43" s="330"/>
      <c r="E43" s="330"/>
      <c r="F43" s="54">
        <f>-(D20+((D39-D20)*D16))</f>
        <v>-1351080</v>
      </c>
      <c r="G43" s="56"/>
      <c r="H43" s="56"/>
      <c r="I43" s="33"/>
    </row>
    <row r="44" spans="2:9">
      <c r="B44" s="30"/>
      <c r="C44" s="31" t="s">
        <v>107</v>
      </c>
      <c r="D44" s="330"/>
      <c r="E44" s="54">
        <f>E31</f>
        <v>-466619.99999999994</v>
      </c>
      <c r="F44" s="330">
        <f>F31</f>
        <v>-622300</v>
      </c>
      <c r="G44" s="56"/>
      <c r="H44" s="56"/>
      <c r="I44" s="33"/>
    </row>
    <row r="45" spans="2:9">
      <c r="B45" s="30"/>
      <c r="C45" s="31" t="s">
        <v>92</v>
      </c>
      <c r="D45" s="330">
        <f>-D19</f>
        <v>-1840000</v>
      </c>
      <c r="E45" s="330">
        <f>D45</f>
        <v>-1840000</v>
      </c>
      <c r="F45" s="330"/>
      <c r="G45" s="56"/>
      <c r="H45" s="56"/>
      <c r="I45" s="33"/>
    </row>
    <row r="46" spans="2:9">
      <c r="B46" s="30"/>
      <c r="C46" s="31" t="s">
        <v>108</v>
      </c>
      <c r="D46" s="284">
        <f>-D45*$D$16</f>
        <v>644000</v>
      </c>
      <c r="E46" s="284">
        <f>-E45*$D$16</f>
        <v>644000</v>
      </c>
      <c r="F46" s="284"/>
      <c r="G46" s="56"/>
      <c r="H46" s="56"/>
      <c r="I46" s="33"/>
    </row>
    <row r="47" spans="2:9">
      <c r="B47" s="30"/>
      <c r="C47" s="31" t="s">
        <v>109</v>
      </c>
      <c r="D47" s="54">
        <f>D42+D43+D44+D45+D46</f>
        <v>2804000</v>
      </c>
      <c r="E47" s="54">
        <f>E42+E43+E44+E45+E46</f>
        <v>-1662620</v>
      </c>
      <c r="F47" s="54">
        <f>F42+F43+F44+F45+F46</f>
        <v>-1973380</v>
      </c>
      <c r="G47" s="56"/>
      <c r="H47" s="56"/>
      <c r="I47" s="33"/>
    </row>
    <row r="48" spans="2:9">
      <c r="B48" s="30"/>
      <c r="C48" s="31"/>
      <c r="D48" s="57"/>
      <c r="E48" s="57"/>
      <c r="F48" s="57"/>
      <c r="G48" s="31"/>
      <c r="H48" s="31"/>
      <c r="I48" s="33"/>
    </row>
    <row r="49" spans="2:9" ht="15.75">
      <c r="B49" s="30"/>
      <c r="C49" s="31" t="s">
        <v>110</v>
      </c>
      <c r="D49" s="55">
        <f>D47+NPV(D26,E47:H47)</f>
        <v>-466479.28458214784</v>
      </c>
      <c r="E49" s="57"/>
      <c r="F49" s="57"/>
      <c r="G49" s="31"/>
      <c r="H49" s="31"/>
      <c r="I49" s="33"/>
    </row>
    <row r="50" spans="2:9">
      <c r="B50" s="30"/>
      <c r="C50" s="31"/>
      <c r="D50" s="57"/>
      <c r="E50" s="57"/>
      <c r="F50" s="57"/>
      <c r="G50" s="31"/>
      <c r="H50" s="31"/>
      <c r="I50" s="33"/>
    </row>
    <row r="51" spans="2:9">
      <c r="B51" s="30"/>
      <c r="C51" s="31" t="s">
        <v>113</v>
      </c>
      <c r="D51" s="32">
        <f>-PV(D15,2,D19,0,1)</f>
        <v>3497657.6576576601</v>
      </c>
      <c r="E51" s="57"/>
      <c r="F51" s="57"/>
      <c r="G51" s="31"/>
      <c r="H51" s="31"/>
      <c r="I51" s="33"/>
    </row>
    <row r="52" spans="2:9" ht="15.75" thickBot="1">
      <c r="B52" s="38"/>
      <c r="C52" s="39"/>
      <c r="D52" s="39"/>
      <c r="E52" s="39"/>
      <c r="F52" s="39"/>
      <c r="G52" s="39"/>
      <c r="H52" s="39"/>
      <c r="I52" s="40"/>
    </row>
  </sheetData>
  <mergeCells count="2">
    <mergeCell ref="C1:D1"/>
    <mergeCell ref="C2:F2"/>
  </mergeCells>
  <phoneticPr fontId="2" type="noConversion"/>
  <pageMargins left="0.75" right="0.75" top="1" bottom="1" header="0.5" footer="0.5"/>
  <pageSetup orientation="portrait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>
  <sheetPr codeName="Sheet12"/>
  <dimension ref="A1:K36"/>
  <sheetViews>
    <sheetView workbookViewId="0"/>
  </sheetViews>
  <sheetFormatPr defaultRowHeight="12.75"/>
  <cols>
    <col min="2" max="2" width="3.140625" customWidth="1"/>
    <col min="3" max="3" width="19.5703125" customWidth="1"/>
    <col min="4" max="4" width="18.140625" customWidth="1"/>
    <col min="5" max="5" width="3.140625" customWidth="1"/>
  </cols>
  <sheetData>
    <row r="1" spans="1:11" ht="18">
      <c r="A1" s="59"/>
      <c r="B1" s="59"/>
      <c r="C1" s="772" t="s">
        <v>684</v>
      </c>
      <c r="D1" s="772"/>
      <c r="E1" s="59"/>
      <c r="F1" s="59"/>
      <c r="G1" s="59"/>
      <c r="H1" s="59"/>
      <c r="I1" s="59"/>
      <c r="J1" s="59"/>
      <c r="K1" s="59"/>
    </row>
    <row r="2" spans="1:11" ht="18">
      <c r="A2" s="59"/>
      <c r="B2" s="59"/>
      <c r="C2" s="772" t="s">
        <v>286</v>
      </c>
      <c r="D2" s="772"/>
      <c r="E2" s="59"/>
      <c r="F2" s="59"/>
      <c r="G2" s="59"/>
      <c r="H2" s="59"/>
      <c r="I2" s="59"/>
      <c r="J2" s="59"/>
      <c r="K2" s="59"/>
    </row>
    <row r="3" spans="1:11" ht="15">
      <c r="A3" s="59"/>
      <c r="B3" s="59"/>
      <c r="C3" s="59"/>
      <c r="D3" s="59"/>
      <c r="E3" s="59"/>
      <c r="F3" s="59"/>
      <c r="G3" s="59"/>
      <c r="H3" s="59"/>
      <c r="I3" s="59"/>
      <c r="J3" s="59"/>
      <c r="K3" s="59"/>
    </row>
    <row r="4" spans="1:11" ht="15">
      <c r="A4" s="59"/>
      <c r="B4" s="59"/>
      <c r="C4" s="9" t="s">
        <v>135</v>
      </c>
      <c r="D4" s="59"/>
      <c r="E4" s="59"/>
      <c r="F4" s="59"/>
      <c r="G4" s="59"/>
      <c r="H4" s="59"/>
      <c r="I4" s="59"/>
      <c r="J4" s="59"/>
      <c r="K4" s="59"/>
    </row>
    <row r="5" spans="1:11" ht="15.75" thickBot="1">
      <c r="A5" s="59"/>
      <c r="B5" s="59"/>
      <c r="C5" s="59"/>
      <c r="D5" s="59"/>
      <c r="E5" s="59"/>
      <c r="F5" s="59"/>
      <c r="G5" s="59"/>
      <c r="H5" s="59"/>
      <c r="I5" s="59"/>
      <c r="J5" s="59"/>
      <c r="K5" s="59"/>
    </row>
    <row r="6" spans="1:11" ht="15">
      <c r="A6" s="59"/>
      <c r="B6" s="117"/>
      <c r="C6" s="104"/>
      <c r="D6" s="104"/>
      <c r="E6" s="64"/>
      <c r="F6" s="59"/>
      <c r="G6" s="59"/>
      <c r="H6" s="59"/>
      <c r="I6" s="59"/>
      <c r="J6" s="59"/>
      <c r="K6" s="59"/>
    </row>
    <row r="7" spans="1:11" ht="15">
      <c r="A7" s="59"/>
      <c r="B7" s="120"/>
      <c r="C7" s="63" t="s">
        <v>277</v>
      </c>
      <c r="D7" s="196">
        <v>68</v>
      </c>
      <c r="E7" s="105"/>
      <c r="F7" s="59"/>
      <c r="G7" s="59"/>
      <c r="H7" s="59"/>
      <c r="I7" s="59"/>
      <c r="J7" s="59"/>
      <c r="K7" s="59"/>
    </row>
    <row r="8" spans="1:11" ht="15">
      <c r="A8" s="59"/>
      <c r="B8" s="120"/>
      <c r="C8" s="63" t="s">
        <v>278</v>
      </c>
      <c r="D8" s="131">
        <v>80</v>
      </c>
      <c r="E8" s="105"/>
      <c r="F8" s="59"/>
      <c r="G8" s="59"/>
      <c r="H8" s="59"/>
      <c r="I8" s="59"/>
      <c r="J8" s="59"/>
      <c r="K8" s="59"/>
    </row>
    <row r="9" spans="1:11" ht="15">
      <c r="A9" s="59"/>
      <c r="B9" s="120"/>
      <c r="C9" s="63" t="s">
        <v>279</v>
      </c>
      <c r="D9" s="106">
        <v>6</v>
      </c>
      <c r="E9" s="105"/>
      <c r="F9" s="59"/>
      <c r="G9" s="59"/>
      <c r="H9" s="59"/>
      <c r="I9" s="59"/>
      <c r="J9" s="59"/>
      <c r="K9" s="59"/>
    </row>
    <row r="10" spans="1:11" ht="15">
      <c r="A10" s="59"/>
      <c r="B10" s="120"/>
      <c r="C10" s="63" t="s">
        <v>219</v>
      </c>
      <c r="D10" s="70">
        <v>0.04</v>
      </c>
      <c r="E10" s="105"/>
      <c r="F10" s="59"/>
      <c r="G10" s="59"/>
      <c r="H10" s="59"/>
      <c r="I10" s="59"/>
      <c r="J10" s="59"/>
      <c r="K10" s="59"/>
    </row>
    <row r="11" spans="1:11" ht="15">
      <c r="A11" s="59"/>
      <c r="B11" s="120"/>
      <c r="C11" s="63" t="s">
        <v>280</v>
      </c>
      <c r="D11" s="107">
        <v>0.57861987188885677</v>
      </c>
      <c r="E11" s="105"/>
      <c r="F11" s="59"/>
      <c r="G11" s="59"/>
      <c r="H11" s="59"/>
      <c r="I11" s="59"/>
      <c r="J11" s="59"/>
      <c r="K11" s="59"/>
    </row>
    <row r="12" spans="1:11" ht="15.75" thickBot="1">
      <c r="A12" s="59"/>
      <c r="B12" s="132"/>
      <c r="C12" s="73"/>
      <c r="D12" s="73"/>
      <c r="E12" s="74"/>
      <c r="F12" s="59"/>
      <c r="G12" s="59"/>
      <c r="H12" s="59"/>
      <c r="I12" s="59"/>
      <c r="J12" s="59"/>
      <c r="K12" s="59"/>
    </row>
    <row r="13" spans="1:11" ht="15">
      <c r="A13" s="59"/>
      <c r="B13" s="59"/>
      <c r="C13" s="59"/>
      <c r="D13" s="59"/>
      <c r="E13" s="59"/>
      <c r="F13" s="59"/>
      <c r="G13" s="59"/>
      <c r="H13" s="59"/>
      <c r="I13" s="59"/>
      <c r="J13" s="59"/>
      <c r="K13" s="59"/>
    </row>
    <row r="14" spans="1:11" ht="15">
      <c r="A14" s="59"/>
      <c r="B14" s="59"/>
      <c r="C14" s="9" t="s">
        <v>139</v>
      </c>
      <c r="D14" s="59"/>
      <c r="E14" s="59"/>
      <c r="F14" s="59"/>
      <c r="G14" s="59"/>
      <c r="H14" s="59"/>
      <c r="I14" s="59"/>
      <c r="J14" s="59"/>
      <c r="K14" s="59"/>
    </row>
    <row r="15" spans="1:11" ht="15.75" thickBot="1">
      <c r="A15" s="59"/>
      <c r="B15" s="59"/>
      <c r="C15" s="59"/>
      <c r="D15" s="59"/>
      <c r="E15" s="59"/>
      <c r="F15" s="59"/>
      <c r="G15" s="59"/>
      <c r="H15" s="59"/>
      <c r="I15" s="59"/>
      <c r="J15" s="59"/>
      <c r="K15" s="59"/>
    </row>
    <row r="16" spans="1:11" ht="15">
      <c r="A16" s="59"/>
      <c r="B16" s="169"/>
      <c r="C16" s="109"/>
      <c r="D16" s="109"/>
      <c r="E16" s="79"/>
      <c r="F16" s="59"/>
      <c r="G16" s="59"/>
      <c r="H16" s="59"/>
      <c r="I16" s="59"/>
      <c r="J16" s="59"/>
      <c r="K16" s="59"/>
    </row>
    <row r="17" spans="1:11" ht="19.5">
      <c r="A17" s="59"/>
      <c r="B17" s="80"/>
      <c r="C17" s="81" t="s">
        <v>282</v>
      </c>
      <c r="D17" s="197">
        <f>((((LN($D$7/$D$8))+(($D$10+(POWER($D$11,2)/2))*($D$9/12))))/($D$11*SQRT(($D$9/12))))</f>
        <v>-0.14375964914631495</v>
      </c>
      <c r="E17" s="82"/>
      <c r="F17" s="59"/>
      <c r="G17" s="59"/>
      <c r="H17" s="59"/>
      <c r="I17" s="59"/>
      <c r="J17" s="59"/>
      <c r="K17" s="59"/>
    </row>
    <row r="18" spans="1:11" ht="19.5">
      <c r="A18" s="59"/>
      <c r="B18" s="80"/>
      <c r="C18" s="81" t="s">
        <v>283</v>
      </c>
      <c r="D18" s="197">
        <f>$D$17-$D$11*SQRT($D$9/12)</f>
        <v>-0.55290568428821696</v>
      </c>
      <c r="E18" s="82"/>
      <c r="F18" s="59"/>
      <c r="G18" s="59"/>
      <c r="H18" s="59"/>
      <c r="I18" s="59"/>
      <c r="J18" s="59"/>
      <c r="K18" s="59"/>
    </row>
    <row r="19" spans="1:11" ht="19.5">
      <c r="A19" s="59"/>
      <c r="B19" s="80"/>
      <c r="C19" s="81" t="s">
        <v>284</v>
      </c>
      <c r="D19" s="197">
        <f>NORMSDIST(D17)</f>
        <v>0.44284513356584648</v>
      </c>
      <c r="E19" s="82"/>
      <c r="F19" s="59"/>
      <c r="G19" s="59"/>
      <c r="H19" s="59"/>
      <c r="I19" s="59"/>
      <c r="J19" s="59"/>
      <c r="K19" s="59"/>
    </row>
    <row r="20" spans="1:11" ht="19.5">
      <c r="A20" s="59"/>
      <c r="B20" s="80"/>
      <c r="C20" s="81" t="s">
        <v>285</v>
      </c>
      <c r="D20" s="197">
        <f>NORMSDIST(D18)</f>
        <v>0.29016399744934218</v>
      </c>
      <c r="E20" s="82"/>
      <c r="F20" s="59"/>
      <c r="G20" s="59"/>
      <c r="H20" s="59"/>
      <c r="I20" s="59"/>
      <c r="J20" s="59"/>
      <c r="K20" s="59"/>
    </row>
    <row r="21" spans="1:11" ht="15">
      <c r="A21" s="59"/>
      <c r="B21" s="80"/>
      <c r="C21" s="81"/>
      <c r="D21" s="198"/>
      <c r="E21" s="82"/>
      <c r="F21" s="59"/>
      <c r="G21" s="59"/>
      <c r="H21" s="59"/>
      <c r="I21" s="59"/>
      <c r="J21" s="59"/>
      <c r="K21" s="59"/>
    </row>
    <row r="22" spans="1:11" ht="15.75">
      <c r="A22" s="59"/>
      <c r="B22" s="80"/>
      <c r="C22" s="81" t="s">
        <v>281</v>
      </c>
      <c r="D22" s="199">
        <f>($D$7*$D$19)-(($D$8*EXP(-$D$10*($D$9/12))*$D$20))</f>
        <v>7.3599998551791685</v>
      </c>
      <c r="E22" s="82"/>
      <c r="F22" s="59"/>
      <c r="G22" s="59"/>
      <c r="H22" s="59"/>
      <c r="I22" s="59"/>
      <c r="J22" s="59"/>
      <c r="K22" s="59"/>
    </row>
    <row r="23" spans="1:11" ht="15.75" thickBot="1">
      <c r="A23" s="59"/>
      <c r="B23" s="89"/>
      <c r="C23" s="90"/>
      <c r="D23" s="90"/>
      <c r="E23" s="91"/>
      <c r="F23" s="59"/>
      <c r="G23" s="59"/>
      <c r="H23" s="59"/>
      <c r="I23" s="59"/>
      <c r="J23" s="59"/>
      <c r="K23" s="59"/>
    </row>
    <row r="24" spans="1:11" ht="15">
      <c r="A24" s="59"/>
      <c r="B24" s="59"/>
      <c r="C24" s="59"/>
      <c r="D24" s="59"/>
      <c r="E24" s="59"/>
      <c r="F24" s="59"/>
      <c r="G24" s="59"/>
      <c r="H24" s="59"/>
      <c r="I24" s="59"/>
      <c r="J24" s="59"/>
      <c r="K24" s="59"/>
    </row>
    <row r="25" spans="1:11" ht="15">
      <c r="A25" s="59"/>
      <c r="B25" s="59"/>
      <c r="C25" s="59"/>
      <c r="D25" s="59"/>
      <c r="E25" s="59"/>
      <c r="F25" s="59"/>
      <c r="G25" s="59"/>
      <c r="H25" s="59"/>
      <c r="I25" s="59"/>
      <c r="J25" s="59"/>
      <c r="K25" s="59"/>
    </row>
    <row r="26" spans="1:11" ht="15">
      <c r="A26" s="59"/>
      <c r="B26" s="59"/>
      <c r="C26" s="59"/>
      <c r="D26" s="59"/>
      <c r="E26" s="59"/>
      <c r="F26" s="59"/>
      <c r="G26" s="59"/>
      <c r="H26" s="59"/>
      <c r="I26" s="59"/>
      <c r="J26" s="59"/>
      <c r="K26" s="59"/>
    </row>
    <row r="27" spans="1:11" ht="15">
      <c r="A27" s="59"/>
      <c r="B27" s="59"/>
      <c r="C27" s="59"/>
      <c r="D27" s="59"/>
      <c r="E27" s="59"/>
      <c r="F27" s="59"/>
      <c r="G27" s="59"/>
      <c r="H27" s="59"/>
      <c r="I27" s="59"/>
      <c r="J27" s="59"/>
      <c r="K27" s="59"/>
    </row>
    <row r="28" spans="1:11" ht="15">
      <c r="A28" s="59"/>
      <c r="B28" s="59"/>
      <c r="C28" s="59"/>
      <c r="D28" s="59"/>
      <c r="E28" s="59"/>
      <c r="F28" s="59"/>
      <c r="G28" s="59"/>
      <c r="H28" s="59"/>
      <c r="I28" s="59"/>
      <c r="J28" s="59"/>
      <c r="K28" s="59"/>
    </row>
    <row r="29" spans="1:11" ht="15">
      <c r="A29" s="59"/>
      <c r="B29" s="59"/>
      <c r="C29" s="59"/>
      <c r="D29" s="59"/>
      <c r="E29" s="59"/>
      <c r="F29" s="59"/>
      <c r="G29" s="59"/>
      <c r="H29" s="59"/>
      <c r="I29" s="59"/>
      <c r="J29" s="59"/>
      <c r="K29" s="59"/>
    </row>
    <row r="30" spans="1:11" ht="15">
      <c r="A30" s="59"/>
      <c r="B30" s="59"/>
      <c r="C30" s="59"/>
      <c r="D30" s="59"/>
      <c r="E30" s="59"/>
      <c r="F30" s="59"/>
      <c r="G30" s="59"/>
      <c r="H30" s="59"/>
      <c r="I30" s="59"/>
      <c r="J30" s="59"/>
      <c r="K30" s="59"/>
    </row>
    <row r="31" spans="1:11" ht="15">
      <c r="A31" s="59"/>
      <c r="B31" s="59"/>
      <c r="C31" s="59"/>
      <c r="D31" s="59"/>
      <c r="E31" s="59"/>
      <c r="F31" s="59"/>
      <c r="G31" s="59"/>
      <c r="H31" s="59"/>
      <c r="I31" s="59"/>
      <c r="J31" s="59"/>
      <c r="K31" s="59"/>
    </row>
    <row r="32" spans="1:11" ht="15">
      <c r="A32" s="59"/>
      <c r="B32" s="59"/>
      <c r="C32" s="59"/>
      <c r="D32" s="59"/>
      <c r="E32" s="59"/>
      <c r="F32" s="59"/>
      <c r="G32" s="59"/>
      <c r="H32" s="59"/>
      <c r="I32" s="59"/>
      <c r="J32" s="59"/>
      <c r="K32" s="59"/>
    </row>
    <row r="33" spans="1:11" ht="15">
      <c r="A33" s="59"/>
      <c r="B33" s="59"/>
      <c r="C33" s="59"/>
      <c r="D33" s="59"/>
      <c r="E33" s="59"/>
      <c r="F33" s="59"/>
      <c r="G33" s="59"/>
      <c r="H33" s="59"/>
      <c r="I33" s="59"/>
      <c r="J33" s="59"/>
      <c r="K33" s="59"/>
    </row>
    <row r="34" spans="1:11" ht="15">
      <c r="A34" s="59"/>
      <c r="B34" s="59"/>
      <c r="C34" s="59"/>
      <c r="D34" s="59"/>
      <c r="E34" s="59"/>
      <c r="F34" s="59"/>
      <c r="G34" s="59"/>
      <c r="H34" s="59"/>
      <c r="I34" s="59"/>
      <c r="J34" s="59"/>
      <c r="K34" s="59"/>
    </row>
    <row r="35" spans="1:11" ht="15">
      <c r="A35" s="59"/>
      <c r="B35" s="59"/>
      <c r="C35" s="59"/>
      <c r="D35" s="59"/>
      <c r="E35" s="59"/>
      <c r="F35" s="59"/>
      <c r="G35" s="59"/>
      <c r="H35" s="59"/>
      <c r="I35" s="59"/>
      <c r="J35" s="59"/>
      <c r="K35" s="59"/>
    </row>
    <row r="36" spans="1:11" ht="15">
      <c r="A36" s="59"/>
      <c r="B36" s="59"/>
      <c r="C36" s="59"/>
      <c r="D36" s="59"/>
      <c r="E36" s="59"/>
      <c r="F36" s="59"/>
      <c r="G36" s="59"/>
      <c r="H36" s="59"/>
      <c r="I36" s="59"/>
      <c r="J36" s="59"/>
      <c r="K36" s="59"/>
    </row>
  </sheetData>
  <mergeCells count="2">
    <mergeCell ref="C1:D1"/>
    <mergeCell ref="C2:D2"/>
  </mergeCells>
  <phoneticPr fontId="0" type="noConversion"/>
  <pageMargins left="0.75" right="0.75" top="1" bottom="1" header="0.5" footer="0.5"/>
  <pageSetup orientation="portrait" horizontalDpi="360" verticalDpi="360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>
  <dimension ref="A1:E17"/>
  <sheetViews>
    <sheetView showGridLines="0" workbookViewId="0"/>
  </sheetViews>
  <sheetFormatPr defaultRowHeight="12.75"/>
  <cols>
    <col min="1" max="1" width="2.28515625" customWidth="1"/>
    <col min="2" max="2" width="6.28515625" bestFit="1" customWidth="1"/>
    <col min="3" max="3" width="16.28515625" bestFit="1" customWidth="1"/>
    <col min="4" max="4" width="14.28515625" bestFit="1" customWidth="1"/>
    <col min="5" max="5" width="11.42578125" bestFit="1" customWidth="1"/>
  </cols>
  <sheetData>
    <row r="1" spans="1:5">
      <c r="A1" s="116" t="s">
        <v>780</v>
      </c>
    </row>
    <row r="2" spans="1:5">
      <c r="A2" s="116" t="s">
        <v>866</v>
      </c>
    </row>
    <row r="3" spans="1:5">
      <c r="A3" s="116" t="s">
        <v>867</v>
      </c>
    </row>
    <row r="6" spans="1:5" ht="13.5" thickBot="1">
      <c r="A6" t="s">
        <v>287</v>
      </c>
    </row>
    <row r="7" spans="1:5" ht="13.5" thickBot="1">
      <c r="B7" s="745" t="s">
        <v>288</v>
      </c>
      <c r="C7" s="745" t="s">
        <v>289</v>
      </c>
      <c r="D7" s="745" t="s">
        <v>290</v>
      </c>
      <c r="E7" s="745" t="s">
        <v>291</v>
      </c>
    </row>
    <row r="8" spans="1:5" ht="13.5" thickBot="1">
      <c r="B8" s="200" t="s">
        <v>295</v>
      </c>
      <c r="C8" s="200" t="s">
        <v>281</v>
      </c>
      <c r="D8" s="201">
        <v>14.23</v>
      </c>
      <c r="E8" s="201">
        <v>18.73</v>
      </c>
    </row>
    <row r="11" spans="1:5" ht="13.5" thickBot="1">
      <c r="A11" t="s">
        <v>292</v>
      </c>
    </row>
    <row r="12" spans="1:5" ht="13.5" thickBot="1">
      <c r="B12" s="745" t="s">
        <v>288</v>
      </c>
      <c r="C12" s="745" t="s">
        <v>289</v>
      </c>
      <c r="D12" s="745" t="s">
        <v>290</v>
      </c>
      <c r="E12" s="745" t="s">
        <v>291</v>
      </c>
    </row>
    <row r="13" spans="1:5" ht="13.5" thickBot="1">
      <c r="B13" s="200" t="s">
        <v>296</v>
      </c>
      <c r="C13" s="200" t="s">
        <v>280</v>
      </c>
      <c r="D13" s="202">
        <v>0.65</v>
      </c>
      <c r="E13" s="202">
        <v>0.90349054897556524</v>
      </c>
    </row>
    <row r="16" spans="1:5">
      <c r="A16" t="s">
        <v>293</v>
      </c>
    </row>
    <row r="17" spans="2:2">
      <c r="B17" t="s">
        <v>294</v>
      </c>
    </row>
  </sheetData>
  <phoneticPr fontId="53" type="noConversion"/>
  <pageMargins left="0.7" right="0.7" top="0.75" bottom="0.75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>
  <dimension ref="A1:E17"/>
  <sheetViews>
    <sheetView showGridLines="0" workbookViewId="0"/>
  </sheetViews>
  <sheetFormatPr defaultRowHeight="12.75"/>
  <cols>
    <col min="1" max="1" width="2.28515625" customWidth="1"/>
    <col min="2" max="2" width="6.28515625" bestFit="1" customWidth="1"/>
    <col min="3" max="3" width="16.28515625" bestFit="1" customWidth="1"/>
    <col min="4" max="4" width="14.28515625" bestFit="1" customWidth="1"/>
    <col min="5" max="5" width="11.42578125" bestFit="1" customWidth="1"/>
  </cols>
  <sheetData>
    <row r="1" spans="1:5">
      <c r="A1" s="116" t="s">
        <v>780</v>
      </c>
    </row>
    <row r="2" spans="1:5">
      <c r="A2" s="116" t="s">
        <v>866</v>
      </c>
    </row>
    <row r="3" spans="1:5">
      <c r="A3" s="116" t="s">
        <v>868</v>
      </c>
    </row>
    <row r="6" spans="1:5" ht="13.5" thickBot="1">
      <c r="A6" t="s">
        <v>287</v>
      </c>
    </row>
    <row r="7" spans="1:5" ht="13.5" thickBot="1">
      <c r="B7" s="745" t="s">
        <v>288</v>
      </c>
      <c r="C7" s="745" t="s">
        <v>289</v>
      </c>
      <c r="D7" s="745" t="s">
        <v>290</v>
      </c>
      <c r="E7" s="745" t="s">
        <v>291</v>
      </c>
    </row>
    <row r="8" spans="1:5" ht="13.5" thickBot="1">
      <c r="B8" s="200" t="s">
        <v>295</v>
      </c>
      <c r="C8" s="200" t="s">
        <v>281</v>
      </c>
      <c r="D8" s="201">
        <v>16.809999999999999</v>
      </c>
      <c r="E8" s="201">
        <v>15.69</v>
      </c>
    </row>
    <row r="11" spans="1:5" ht="13.5" thickBot="1">
      <c r="A11" t="s">
        <v>292</v>
      </c>
    </row>
    <row r="12" spans="1:5" ht="13.5" thickBot="1">
      <c r="B12" s="745" t="s">
        <v>288</v>
      </c>
      <c r="C12" s="745" t="s">
        <v>289</v>
      </c>
      <c r="D12" s="745" t="s">
        <v>290</v>
      </c>
      <c r="E12" s="745" t="s">
        <v>291</v>
      </c>
    </row>
    <row r="13" spans="1:5" ht="13.5" thickBot="1">
      <c r="B13" s="200" t="s">
        <v>296</v>
      </c>
      <c r="C13" s="200" t="s">
        <v>280</v>
      </c>
      <c r="D13" s="202">
        <v>0.90349054897556524</v>
      </c>
      <c r="E13" s="202">
        <v>0.8423875203405512</v>
      </c>
    </row>
    <row r="16" spans="1:5">
      <c r="A16" t="s">
        <v>293</v>
      </c>
    </row>
    <row r="17" spans="2:2">
      <c r="B17" t="s">
        <v>294</v>
      </c>
    </row>
  </sheetData>
  <phoneticPr fontId="53" type="noConversion"/>
  <pageMargins left="0.7" right="0.7" top="0.75" bottom="0.75" header="0.3" footer="0.3"/>
</worksheet>
</file>

<file path=xl/worksheets/sheet27.xml><?xml version="1.0" encoding="utf-8"?>
<worksheet xmlns="http://schemas.openxmlformats.org/spreadsheetml/2006/main" xmlns:r="http://schemas.openxmlformats.org/officeDocument/2006/relationships">
  <dimension ref="A1:E17"/>
  <sheetViews>
    <sheetView showGridLines="0" workbookViewId="0"/>
  </sheetViews>
  <sheetFormatPr defaultRowHeight="12.75"/>
  <cols>
    <col min="1" max="1" width="2.28515625" customWidth="1"/>
    <col min="2" max="2" width="6.28515625" bestFit="1" customWidth="1"/>
    <col min="3" max="3" width="16.28515625" bestFit="1" customWidth="1"/>
    <col min="4" max="4" width="14.28515625" bestFit="1" customWidth="1"/>
    <col min="5" max="5" width="11.42578125" bestFit="1" customWidth="1"/>
  </cols>
  <sheetData>
    <row r="1" spans="1:5">
      <c r="A1" s="116" t="s">
        <v>780</v>
      </c>
    </row>
    <row r="2" spans="1:5">
      <c r="A2" s="116" t="s">
        <v>866</v>
      </c>
    </row>
    <row r="3" spans="1:5">
      <c r="A3" s="116" t="s">
        <v>869</v>
      </c>
    </row>
    <row r="6" spans="1:5" ht="13.5" thickBot="1">
      <c r="A6" t="s">
        <v>287</v>
      </c>
    </row>
    <row r="7" spans="1:5" ht="13.5" thickBot="1">
      <c r="B7" s="745" t="s">
        <v>288</v>
      </c>
      <c r="C7" s="745" t="s">
        <v>289</v>
      </c>
      <c r="D7" s="745" t="s">
        <v>290</v>
      </c>
      <c r="E7" s="745" t="s">
        <v>291</v>
      </c>
    </row>
    <row r="8" spans="1:5" ht="13.5" thickBot="1">
      <c r="B8" s="200" t="s">
        <v>295</v>
      </c>
      <c r="C8" s="200" t="s">
        <v>281</v>
      </c>
      <c r="D8" s="201">
        <v>13.95</v>
      </c>
      <c r="E8" s="201">
        <v>11.06</v>
      </c>
    </row>
    <row r="11" spans="1:5" ht="13.5" thickBot="1">
      <c r="A11" t="s">
        <v>292</v>
      </c>
    </row>
    <row r="12" spans="1:5" ht="13.5" thickBot="1">
      <c r="B12" s="745" t="s">
        <v>288</v>
      </c>
      <c r="C12" s="745" t="s">
        <v>289</v>
      </c>
      <c r="D12" s="745" t="s">
        <v>290</v>
      </c>
      <c r="E12" s="745" t="s">
        <v>291</v>
      </c>
    </row>
    <row r="13" spans="1:5" ht="13.5" thickBot="1">
      <c r="B13" s="200" t="s">
        <v>296</v>
      </c>
      <c r="C13" s="200" t="s">
        <v>280</v>
      </c>
      <c r="D13" s="202">
        <v>0.8423875203405512</v>
      </c>
      <c r="E13" s="202">
        <v>0.69052066297454318</v>
      </c>
    </row>
    <row r="16" spans="1:5">
      <c r="A16" t="s">
        <v>293</v>
      </c>
    </row>
    <row r="17" spans="2:2">
      <c r="B17" t="s">
        <v>294</v>
      </c>
    </row>
  </sheetData>
  <phoneticPr fontId="53" type="noConversion"/>
  <pageMargins left="0.7" right="0.7" top="0.75" bottom="0.75" header="0.3" footer="0.3"/>
</worksheet>
</file>

<file path=xl/worksheets/sheet28.xml><?xml version="1.0" encoding="utf-8"?>
<worksheet xmlns="http://schemas.openxmlformats.org/spreadsheetml/2006/main" xmlns:r="http://schemas.openxmlformats.org/officeDocument/2006/relationships">
  <dimension ref="A1:E17"/>
  <sheetViews>
    <sheetView showGridLines="0" workbookViewId="0"/>
  </sheetViews>
  <sheetFormatPr defaultRowHeight="12.75"/>
  <cols>
    <col min="1" max="1" width="2.28515625" customWidth="1"/>
    <col min="2" max="2" width="6.28515625" bestFit="1" customWidth="1"/>
    <col min="3" max="3" width="16.28515625" bestFit="1" customWidth="1"/>
    <col min="4" max="4" width="14.28515625" bestFit="1" customWidth="1"/>
    <col min="5" max="5" width="11.42578125" bestFit="1" customWidth="1"/>
  </cols>
  <sheetData>
    <row r="1" spans="1:5">
      <c r="A1" s="116" t="s">
        <v>780</v>
      </c>
    </row>
    <row r="2" spans="1:5">
      <c r="A2" s="116" t="s">
        <v>866</v>
      </c>
    </row>
    <row r="3" spans="1:5">
      <c r="A3" s="116" t="s">
        <v>870</v>
      </c>
    </row>
    <row r="6" spans="1:5" ht="13.5" thickBot="1">
      <c r="A6" t="s">
        <v>287</v>
      </c>
    </row>
    <row r="7" spans="1:5" ht="13.5" thickBot="1">
      <c r="B7" s="745" t="s">
        <v>288</v>
      </c>
      <c r="C7" s="745" t="s">
        <v>289</v>
      </c>
      <c r="D7" s="745" t="s">
        <v>290</v>
      </c>
      <c r="E7" s="745" t="s">
        <v>291</v>
      </c>
    </row>
    <row r="8" spans="1:5" ht="13.5" thickBot="1">
      <c r="B8" s="200" t="s">
        <v>295</v>
      </c>
      <c r="C8" s="200" t="s">
        <v>281</v>
      </c>
      <c r="D8" s="201">
        <v>9.5</v>
      </c>
      <c r="E8" s="201">
        <v>7.36</v>
      </c>
    </row>
    <row r="11" spans="1:5" ht="13.5" thickBot="1">
      <c r="A11" t="s">
        <v>292</v>
      </c>
    </row>
    <row r="12" spans="1:5" ht="13.5" thickBot="1">
      <c r="B12" s="745" t="s">
        <v>288</v>
      </c>
      <c r="C12" s="745" t="s">
        <v>289</v>
      </c>
      <c r="D12" s="745" t="s">
        <v>290</v>
      </c>
      <c r="E12" s="745" t="s">
        <v>291</v>
      </c>
    </row>
    <row r="13" spans="1:5" ht="13.5" thickBot="1">
      <c r="B13" s="200" t="s">
        <v>296</v>
      </c>
      <c r="C13" s="200" t="s">
        <v>280</v>
      </c>
      <c r="D13" s="202">
        <v>0.69052066297454318</v>
      </c>
      <c r="E13" s="202">
        <v>0.57861987188885677</v>
      </c>
    </row>
    <row r="16" spans="1:5">
      <c r="A16" t="s">
        <v>293</v>
      </c>
    </row>
    <row r="17" spans="2:2">
      <c r="B17" t="s">
        <v>294</v>
      </c>
    </row>
  </sheetData>
  <phoneticPr fontId="53" type="noConversion"/>
  <pageMargins left="0.7" right="0.7" top="0.75" bottom="0.75" header="0.3" footer="0.3"/>
</worksheet>
</file>

<file path=xl/worksheets/sheet29.xml><?xml version="1.0" encoding="utf-8"?>
<worksheet xmlns="http://schemas.openxmlformats.org/spreadsheetml/2006/main" xmlns:r="http://schemas.openxmlformats.org/officeDocument/2006/relationships">
  <sheetPr codeName="Sheet13"/>
  <dimension ref="A1:K36"/>
  <sheetViews>
    <sheetView workbookViewId="0"/>
  </sheetViews>
  <sheetFormatPr defaultRowHeight="12.75"/>
  <cols>
    <col min="2" max="2" width="3.140625" customWidth="1"/>
    <col min="3" max="3" width="20.85546875" customWidth="1"/>
    <col min="4" max="4" width="18.140625" customWidth="1"/>
    <col min="5" max="5" width="3.140625" customWidth="1"/>
  </cols>
  <sheetData>
    <row r="1" spans="1:11" ht="18">
      <c r="A1" s="59"/>
      <c r="B1" s="59"/>
      <c r="C1" s="772" t="s">
        <v>722</v>
      </c>
      <c r="D1" s="772"/>
      <c r="E1" s="59"/>
      <c r="F1" s="59"/>
      <c r="G1" s="59"/>
      <c r="H1" s="59"/>
      <c r="I1" s="59"/>
      <c r="J1" s="59"/>
      <c r="K1" s="59"/>
    </row>
    <row r="2" spans="1:11" ht="18">
      <c r="A2" s="59"/>
      <c r="B2" s="59"/>
      <c r="C2" s="772" t="s">
        <v>723</v>
      </c>
      <c r="D2" s="772"/>
      <c r="E2" s="772"/>
      <c r="F2" s="772"/>
      <c r="G2" s="772"/>
      <c r="H2" s="59"/>
      <c r="I2" s="59"/>
      <c r="J2" s="59"/>
      <c r="K2" s="59"/>
    </row>
    <row r="3" spans="1:11" ht="15">
      <c r="A3" s="59"/>
      <c r="B3" s="59"/>
      <c r="C3" s="59"/>
      <c r="D3" s="59"/>
      <c r="E3" s="59"/>
      <c r="F3" s="59"/>
      <c r="G3" s="59"/>
      <c r="H3" s="59"/>
      <c r="I3" s="59"/>
      <c r="J3" s="59"/>
      <c r="K3" s="59"/>
    </row>
    <row r="4" spans="1:11" ht="15">
      <c r="A4" s="59"/>
      <c r="B4" s="59"/>
      <c r="C4" s="9" t="s">
        <v>135</v>
      </c>
      <c r="D4" s="59"/>
      <c r="E4" s="59"/>
      <c r="F4" s="59"/>
      <c r="G4" s="59"/>
      <c r="H4" s="59"/>
      <c r="I4" s="59"/>
      <c r="J4" s="59"/>
      <c r="K4" s="59"/>
    </row>
    <row r="5" spans="1:11" ht="15.75" thickBot="1">
      <c r="A5" s="59"/>
      <c r="B5" s="59"/>
      <c r="C5" s="59"/>
      <c r="D5" s="59"/>
      <c r="E5" s="59"/>
      <c r="F5" s="59"/>
      <c r="G5" s="59"/>
      <c r="H5" s="59"/>
      <c r="I5" s="59"/>
      <c r="J5" s="59"/>
      <c r="K5" s="59"/>
    </row>
    <row r="6" spans="1:11" ht="15">
      <c r="A6" s="59"/>
      <c r="B6" s="117"/>
      <c r="C6" s="104"/>
      <c r="D6" s="104"/>
      <c r="E6" s="64"/>
      <c r="F6" s="59"/>
      <c r="G6" s="59"/>
      <c r="H6" s="59"/>
      <c r="I6" s="59"/>
      <c r="J6" s="59"/>
      <c r="K6" s="59"/>
    </row>
    <row r="7" spans="1:11" ht="15">
      <c r="A7" s="59"/>
      <c r="B7" s="120"/>
      <c r="C7" s="63" t="s">
        <v>277</v>
      </c>
      <c r="D7" s="430">
        <v>38.15</v>
      </c>
      <c r="E7" s="105"/>
      <c r="F7" s="59"/>
      <c r="G7" s="59"/>
      <c r="H7" s="59"/>
      <c r="I7" s="59"/>
      <c r="J7" s="59"/>
      <c r="K7" s="59"/>
    </row>
    <row r="8" spans="1:11" ht="15">
      <c r="A8" s="59"/>
      <c r="B8" s="120"/>
      <c r="C8" s="63" t="s">
        <v>278</v>
      </c>
      <c r="D8" s="131">
        <v>50</v>
      </c>
      <c r="E8" s="105"/>
      <c r="F8" s="59"/>
      <c r="G8" s="59"/>
      <c r="H8" s="59"/>
      <c r="I8" s="59"/>
      <c r="J8" s="59"/>
      <c r="K8" s="59"/>
    </row>
    <row r="9" spans="1:11" ht="15">
      <c r="A9" s="59"/>
      <c r="B9" s="120"/>
      <c r="C9" s="63" t="s">
        <v>724</v>
      </c>
      <c r="D9" s="106">
        <v>10</v>
      </c>
      <c r="E9" s="105"/>
      <c r="F9" s="59"/>
      <c r="G9" s="59"/>
      <c r="H9" s="59"/>
      <c r="I9" s="59"/>
      <c r="J9" s="59"/>
      <c r="K9" s="59"/>
    </row>
    <row r="10" spans="1:11" ht="15">
      <c r="A10" s="59"/>
      <c r="B10" s="120"/>
      <c r="C10" s="63" t="s">
        <v>219</v>
      </c>
      <c r="D10" s="107">
        <v>4.3999999999999997E-2</v>
      </c>
      <c r="E10" s="105"/>
      <c r="F10" s="59"/>
      <c r="G10" s="59"/>
      <c r="H10" s="59"/>
      <c r="I10" s="59"/>
      <c r="J10" s="59"/>
      <c r="K10" s="59"/>
    </row>
    <row r="11" spans="1:11" ht="15">
      <c r="A11" s="59"/>
      <c r="B11" s="120"/>
      <c r="C11" s="63" t="s">
        <v>280</v>
      </c>
      <c r="D11" s="107">
        <v>0.6</v>
      </c>
      <c r="E11" s="105"/>
      <c r="F11" s="59"/>
      <c r="G11" s="59"/>
      <c r="H11" s="59"/>
      <c r="I11" s="59"/>
      <c r="J11" s="59"/>
      <c r="K11" s="59"/>
    </row>
    <row r="12" spans="1:11" ht="15.75" thickBot="1">
      <c r="A12" s="59"/>
      <c r="B12" s="132"/>
      <c r="C12" s="73"/>
      <c r="D12" s="73"/>
      <c r="E12" s="74"/>
      <c r="F12" s="59"/>
      <c r="G12" s="59"/>
      <c r="H12" s="59"/>
      <c r="I12" s="59"/>
      <c r="J12" s="59"/>
      <c r="K12" s="59"/>
    </row>
    <row r="13" spans="1:11" ht="15">
      <c r="A13" s="59"/>
      <c r="B13" s="59"/>
      <c r="C13" s="59"/>
      <c r="D13" s="59"/>
      <c r="E13" s="59"/>
      <c r="F13" s="59"/>
      <c r="G13" s="59"/>
      <c r="H13" s="59"/>
      <c r="I13" s="59"/>
      <c r="J13" s="59"/>
      <c r="K13" s="59"/>
    </row>
    <row r="14" spans="1:11" ht="15">
      <c r="A14" s="59"/>
      <c r="B14" s="59"/>
      <c r="C14" s="9" t="s">
        <v>139</v>
      </c>
      <c r="D14" s="59"/>
      <c r="E14" s="59"/>
      <c r="F14" s="59"/>
      <c r="G14" s="59"/>
      <c r="H14" s="59"/>
      <c r="I14" s="59"/>
      <c r="J14" s="59"/>
      <c r="K14" s="59"/>
    </row>
    <row r="15" spans="1:11" ht="15.75" thickBot="1">
      <c r="A15" s="59"/>
      <c r="B15" s="59"/>
      <c r="C15" s="59"/>
      <c r="D15" s="59"/>
      <c r="E15" s="59"/>
      <c r="F15" s="59"/>
      <c r="G15" s="59"/>
      <c r="H15" s="59"/>
      <c r="I15" s="59"/>
      <c r="J15" s="59"/>
      <c r="K15" s="59"/>
    </row>
    <row r="16" spans="1:11" ht="15">
      <c r="A16" s="59"/>
      <c r="B16" s="169"/>
      <c r="C16" s="109"/>
      <c r="D16" s="109"/>
      <c r="E16" s="79"/>
      <c r="F16" s="59"/>
      <c r="G16" s="59"/>
      <c r="H16" s="59"/>
      <c r="I16" s="59"/>
      <c r="J16" s="59"/>
      <c r="K16" s="59"/>
    </row>
    <row r="17" spans="1:11" ht="19.5">
      <c r="A17" s="59"/>
      <c r="B17" s="80"/>
      <c r="C17" s="81" t="s">
        <v>282</v>
      </c>
      <c r="D17" s="197">
        <f>((((LN($D$7/$D$8))+(($D$10+(POWER($D$11,2)/2))*$D$9)))/($D$11*SQRT($D$9)))</f>
        <v>1.0380190925409605</v>
      </c>
      <c r="E17" s="82"/>
      <c r="F17" s="59"/>
      <c r="G17" s="59"/>
      <c r="H17" s="59"/>
      <c r="I17" s="59"/>
      <c r="J17" s="59"/>
      <c r="K17" s="59"/>
    </row>
    <row r="18" spans="1:11" ht="19.5">
      <c r="A18" s="59"/>
      <c r="B18" s="80"/>
      <c r="C18" s="81" t="s">
        <v>283</v>
      </c>
      <c r="D18" s="197">
        <f>$D$17-$D$11*SQRT($D$9)</f>
        <v>-0.85934750356006706</v>
      </c>
      <c r="E18" s="82"/>
      <c r="F18" s="59"/>
      <c r="G18" s="59"/>
      <c r="H18" s="59"/>
      <c r="I18" s="59"/>
      <c r="J18" s="59"/>
      <c r="K18" s="59"/>
    </row>
    <row r="19" spans="1:11" ht="19.5">
      <c r="A19" s="59"/>
      <c r="B19" s="80"/>
      <c r="C19" s="81" t="s">
        <v>284</v>
      </c>
      <c r="D19" s="197">
        <f>NORMSDIST(D17)</f>
        <v>0.85036941677863931</v>
      </c>
      <c r="E19" s="82"/>
      <c r="F19" s="59"/>
      <c r="G19" s="59"/>
      <c r="H19" s="59"/>
      <c r="I19" s="59"/>
      <c r="J19" s="59"/>
      <c r="K19" s="59"/>
    </row>
    <row r="20" spans="1:11" ht="19.5">
      <c r="A20" s="59"/>
      <c r="B20" s="80"/>
      <c r="C20" s="81" t="s">
        <v>285</v>
      </c>
      <c r="D20" s="197">
        <f>NORMSDIST(D18)</f>
        <v>0.19507441163184114</v>
      </c>
      <c r="E20" s="82"/>
      <c r="F20" s="59"/>
      <c r="G20" s="59"/>
      <c r="H20" s="59"/>
      <c r="I20" s="59"/>
      <c r="J20" s="59"/>
      <c r="K20" s="59"/>
    </row>
    <row r="21" spans="1:11" ht="15">
      <c r="A21" s="59"/>
      <c r="B21" s="80"/>
      <c r="C21" s="81"/>
      <c r="D21" s="198"/>
      <c r="E21" s="82"/>
      <c r="F21" s="59"/>
      <c r="G21" s="59"/>
      <c r="H21" s="59"/>
      <c r="I21" s="59"/>
      <c r="J21" s="59"/>
      <c r="K21" s="59"/>
    </row>
    <row r="22" spans="1:11" ht="15.75">
      <c r="A22" s="59"/>
      <c r="B22" s="80"/>
      <c r="C22" s="81" t="s">
        <v>281</v>
      </c>
      <c r="D22" s="199">
        <f>($D$7*$D$19)-(($D$8*EXP(-$D$10*$D$9)*$D$20))</f>
        <v>26.159841954491561</v>
      </c>
      <c r="E22" s="82"/>
      <c r="F22" s="59"/>
      <c r="G22" s="59"/>
      <c r="H22" s="59"/>
      <c r="I22" s="59"/>
      <c r="J22" s="59"/>
      <c r="K22" s="59"/>
    </row>
    <row r="23" spans="1:11" ht="15.75" thickBot="1">
      <c r="A23" s="59"/>
      <c r="B23" s="89"/>
      <c r="C23" s="90"/>
      <c r="D23" s="90"/>
      <c r="E23" s="91"/>
      <c r="F23" s="59"/>
      <c r="G23" s="59"/>
      <c r="H23" s="59"/>
      <c r="I23" s="59"/>
      <c r="J23" s="59"/>
      <c r="K23" s="59"/>
    </row>
    <row r="24" spans="1:11" ht="15">
      <c r="A24" s="59"/>
      <c r="B24" s="59"/>
      <c r="C24" s="59"/>
      <c r="D24" s="59"/>
      <c r="E24" s="59"/>
      <c r="F24" s="59"/>
      <c r="G24" s="59"/>
      <c r="H24" s="59"/>
      <c r="I24" s="59"/>
      <c r="J24" s="59"/>
      <c r="K24" s="59"/>
    </row>
    <row r="25" spans="1:11" ht="15">
      <c r="A25" s="59"/>
      <c r="B25" s="59"/>
      <c r="C25" s="59"/>
      <c r="D25" s="59"/>
      <c r="E25" s="59"/>
      <c r="F25" s="59"/>
      <c r="G25" s="59"/>
      <c r="H25" s="59"/>
      <c r="I25" s="59"/>
      <c r="J25" s="59"/>
      <c r="K25" s="59"/>
    </row>
    <row r="26" spans="1:11" ht="15">
      <c r="A26" s="59"/>
      <c r="B26" s="59"/>
      <c r="C26" s="59"/>
      <c r="D26" s="59"/>
      <c r="E26" s="59"/>
      <c r="F26" s="59"/>
      <c r="G26" s="59"/>
      <c r="H26" s="59"/>
      <c r="I26" s="59"/>
      <c r="J26" s="59"/>
      <c r="K26" s="59"/>
    </row>
    <row r="27" spans="1:11" ht="15">
      <c r="A27" s="59"/>
      <c r="B27" s="59"/>
      <c r="C27" s="59"/>
      <c r="D27" s="59"/>
      <c r="E27" s="59"/>
      <c r="F27" s="59"/>
      <c r="G27" s="59"/>
      <c r="H27" s="59"/>
      <c r="I27" s="59"/>
      <c r="J27" s="59"/>
      <c r="K27" s="59"/>
    </row>
    <row r="28" spans="1:11" ht="15">
      <c r="A28" s="59"/>
      <c r="B28" s="59"/>
      <c r="C28" s="59"/>
      <c r="D28" s="59"/>
      <c r="E28" s="59"/>
      <c r="F28" s="59"/>
      <c r="G28" s="59"/>
      <c r="H28" s="59"/>
      <c r="I28" s="59"/>
      <c r="J28" s="59"/>
      <c r="K28" s="59"/>
    </row>
    <row r="29" spans="1:11" ht="15">
      <c r="A29" s="59"/>
      <c r="B29" s="59"/>
      <c r="C29" s="59"/>
      <c r="D29" s="59"/>
      <c r="E29" s="59"/>
      <c r="F29" s="59"/>
      <c r="G29" s="59"/>
      <c r="H29" s="59"/>
      <c r="I29" s="59"/>
      <c r="J29" s="59"/>
      <c r="K29" s="59"/>
    </row>
    <row r="30" spans="1:11" ht="15">
      <c r="A30" s="59"/>
      <c r="B30" s="59"/>
      <c r="C30" s="59"/>
      <c r="D30" s="59"/>
      <c r="E30" s="59"/>
      <c r="F30" s="59"/>
      <c r="G30" s="59"/>
      <c r="H30" s="59"/>
      <c r="I30" s="59"/>
      <c r="J30" s="59"/>
      <c r="K30" s="59"/>
    </row>
    <row r="31" spans="1:11" ht="15">
      <c r="A31" s="59"/>
      <c r="B31" s="59"/>
      <c r="C31" s="59"/>
      <c r="D31" s="59"/>
      <c r="E31" s="59"/>
      <c r="F31" s="59"/>
      <c r="G31" s="59"/>
      <c r="H31" s="59"/>
      <c r="I31" s="59"/>
      <c r="J31" s="59"/>
      <c r="K31" s="59"/>
    </row>
    <row r="32" spans="1:11" ht="15">
      <c r="A32" s="59"/>
      <c r="B32" s="59"/>
      <c r="C32" s="59"/>
      <c r="D32" s="59"/>
      <c r="E32" s="59"/>
      <c r="F32" s="59"/>
      <c r="G32" s="59"/>
      <c r="H32" s="59"/>
      <c r="I32" s="59"/>
      <c r="J32" s="59"/>
      <c r="K32" s="59"/>
    </row>
    <row r="33" spans="1:11" ht="15">
      <c r="A33" s="59"/>
      <c r="B33" s="59"/>
      <c r="C33" s="59"/>
      <c r="D33" s="59"/>
      <c r="E33" s="59"/>
      <c r="F33" s="59"/>
      <c r="G33" s="59"/>
      <c r="H33" s="59"/>
      <c r="I33" s="59"/>
      <c r="J33" s="59"/>
      <c r="K33" s="59"/>
    </row>
    <row r="34" spans="1:11" ht="15">
      <c r="A34" s="59"/>
      <c r="B34" s="59"/>
      <c r="C34" s="59"/>
      <c r="D34" s="59"/>
      <c r="E34" s="59"/>
      <c r="F34" s="59"/>
      <c r="G34" s="59"/>
      <c r="H34" s="59"/>
      <c r="I34" s="59"/>
      <c r="J34" s="59"/>
      <c r="K34" s="59"/>
    </row>
    <row r="35" spans="1:11" ht="15">
      <c r="A35" s="59"/>
      <c r="B35" s="59"/>
      <c r="C35" s="59"/>
      <c r="D35" s="59"/>
      <c r="E35" s="59"/>
      <c r="F35" s="59"/>
      <c r="G35" s="59"/>
      <c r="H35" s="59"/>
      <c r="I35" s="59"/>
      <c r="J35" s="59"/>
      <c r="K35" s="59"/>
    </row>
    <row r="36" spans="1:11" ht="15">
      <c r="A36" s="59"/>
      <c r="B36" s="59"/>
      <c r="C36" s="59"/>
      <c r="D36" s="59"/>
      <c r="E36" s="59"/>
      <c r="F36" s="59"/>
      <c r="G36" s="59"/>
      <c r="H36" s="59"/>
      <c r="I36" s="59"/>
      <c r="J36" s="59"/>
      <c r="K36" s="59"/>
    </row>
  </sheetData>
  <mergeCells count="2">
    <mergeCell ref="C1:D1"/>
    <mergeCell ref="C2:G2"/>
  </mergeCells>
  <phoneticPr fontId="0" type="noConversion"/>
  <pageMargins left="0.75" right="0.75" top="1" bottom="1" header="0.5" footer="0.5"/>
  <pageSetup orientation="portrait" horizontalDpi="360" verticalDpi="36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11111221"/>
  <dimension ref="B1:J169"/>
  <sheetViews>
    <sheetView zoomScaleNormal="100" workbookViewId="0"/>
  </sheetViews>
  <sheetFormatPr defaultRowHeight="15"/>
  <cols>
    <col min="2" max="2" width="3.140625" customWidth="1"/>
    <col min="3" max="3" width="25" bestFit="1" customWidth="1"/>
    <col min="4" max="4" width="18.140625" style="58" bestFit="1" customWidth="1"/>
    <col min="5" max="5" width="15.5703125" style="58" bestFit="1" customWidth="1"/>
    <col min="6" max="7" width="21.42578125" bestFit="1" customWidth="1"/>
    <col min="8" max="8" width="3.140625" style="59" customWidth="1"/>
    <col min="9" max="9" width="3.140625" customWidth="1"/>
    <col min="10" max="10" width="15" bestFit="1" customWidth="1"/>
  </cols>
  <sheetData>
    <row r="1" spans="2:8" ht="18">
      <c r="C1" s="772" t="s">
        <v>441</v>
      </c>
      <c r="D1" s="772"/>
      <c r="E1" s="772"/>
      <c r="F1" s="772"/>
    </row>
    <row r="2" spans="2:8" ht="18" customHeight="1">
      <c r="C2" s="772" t="s">
        <v>442</v>
      </c>
      <c r="D2" s="772"/>
      <c r="E2" s="772"/>
      <c r="F2" s="772"/>
    </row>
    <row r="4" spans="2:8">
      <c r="C4" s="9" t="s">
        <v>34</v>
      </c>
      <c r="D4" s="203"/>
      <c r="E4" s="203"/>
      <c r="F4" s="59"/>
      <c r="G4" s="59"/>
    </row>
    <row r="5" spans="2:8" ht="15.75" thickBot="1">
      <c r="C5" s="17"/>
      <c r="D5" s="204"/>
      <c r="E5" s="203"/>
      <c r="F5" s="59"/>
      <c r="G5" s="59"/>
    </row>
    <row r="6" spans="2:8">
      <c r="B6" s="62"/>
      <c r="C6" s="205"/>
      <c r="D6" s="206"/>
      <c r="E6" s="206"/>
      <c r="F6" s="118"/>
      <c r="G6" s="118"/>
      <c r="H6" s="64"/>
    </row>
    <row r="7" spans="2:8">
      <c r="B7" s="65"/>
      <c r="C7" s="14" t="s">
        <v>49</v>
      </c>
      <c r="D7" s="520">
        <v>0.4</v>
      </c>
      <c r="E7" s="207"/>
      <c r="F7" s="121"/>
      <c r="G7" s="121"/>
      <c r="H7" s="105"/>
    </row>
    <row r="8" spans="2:8">
      <c r="B8" s="65"/>
      <c r="C8" s="49"/>
      <c r="D8" s="207"/>
      <c r="E8" s="207"/>
      <c r="F8" s="121"/>
      <c r="G8" s="121"/>
      <c r="H8" s="105"/>
    </row>
    <row r="9" spans="2:8">
      <c r="B9" s="65"/>
      <c r="C9" s="63" t="s">
        <v>35</v>
      </c>
      <c r="D9" s="519">
        <v>234300000</v>
      </c>
      <c r="E9" s="208"/>
      <c r="F9" s="734"/>
      <c r="G9" s="209"/>
      <c r="H9" s="105"/>
    </row>
    <row r="10" spans="2:8">
      <c r="B10" s="65"/>
      <c r="C10" s="63" t="s">
        <v>443</v>
      </c>
      <c r="D10" s="287">
        <v>165074000</v>
      </c>
      <c r="E10" s="208"/>
      <c r="F10" s="734"/>
      <c r="G10" s="209"/>
      <c r="H10" s="105"/>
    </row>
    <row r="11" spans="2:8">
      <c r="B11" s="65"/>
      <c r="C11" s="63" t="s">
        <v>77</v>
      </c>
      <c r="D11" s="288">
        <v>27991000</v>
      </c>
      <c r="E11" s="208"/>
      <c r="F11" s="734"/>
      <c r="G11" s="209"/>
      <c r="H11" s="105"/>
    </row>
    <row r="12" spans="2:8">
      <c r="B12" s="65"/>
      <c r="C12" s="63" t="s">
        <v>201</v>
      </c>
      <c r="D12" s="289">
        <v>7644000</v>
      </c>
      <c r="E12" s="208"/>
      <c r="F12" s="734"/>
      <c r="G12" s="209"/>
      <c r="H12" s="105"/>
    </row>
    <row r="13" spans="2:8">
      <c r="B13" s="65"/>
      <c r="C13" s="63" t="s">
        <v>202</v>
      </c>
      <c r="D13" s="522">
        <f>D9-D10-D11-D12</f>
        <v>33591000</v>
      </c>
      <c r="E13" s="210"/>
      <c r="F13" s="734"/>
      <c r="G13" s="290"/>
      <c r="H13" s="105"/>
    </row>
    <row r="14" spans="2:8">
      <c r="B14" s="65"/>
      <c r="C14" s="63" t="s">
        <v>203</v>
      </c>
      <c r="D14" s="289">
        <v>4212600</v>
      </c>
      <c r="E14" s="208"/>
      <c r="F14" s="734"/>
      <c r="G14" s="209"/>
      <c r="H14" s="105"/>
    </row>
    <row r="15" spans="2:8">
      <c r="B15" s="65"/>
      <c r="C15" s="63" t="s">
        <v>204</v>
      </c>
      <c r="D15" s="522">
        <f>D13-D14</f>
        <v>29378400</v>
      </c>
      <c r="E15" s="208"/>
      <c r="F15" s="734"/>
      <c r="G15" s="290"/>
      <c r="H15" s="105"/>
    </row>
    <row r="16" spans="2:8">
      <c r="B16" s="65"/>
      <c r="C16" s="63" t="str">
        <f>"Taxes ("&amp;D7*100&amp;"%)"</f>
        <v>Taxes (40%)</v>
      </c>
      <c r="D16" s="521">
        <f>D15*D7</f>
        <v>11751360</v>
      </c>
      <c r="E16" s="208"/>
      <c r="F16" s="209"/>
      <c r="G16" s="209"/>
      <c r="H16" s="105"/>
    </row>
    <row r="17" spans="2:10" ht="15.75" thickBot="1">
      <c r="B17" s="65"/>
      <c r="C17" s="63" t="s">
        <v>40</v>
      </c>
      <c r="D17" s="523">
        <f>D15-D16</f>
        <v>17627040</v>
      </c>
      <c r="E17" s="208"/>
      <c r="F17" s="209"/>
      <c r="G17" s="290"/>
      <c r="H17" s="105"/>
    </row>
    <row r="18" spans="2:10" ht="15.75" thickTop="1">
      <c r="B18" s="65"/>
      <c r="C18" s="63"/>
      <c r="D18" s="237"/>
      <c r="E18" s="208"/>
      <c r="F18" s="209"/>
      <c r="G18" s="209"/>
      <c r="H18" s="105"/>
    </row>
    <row r="19" spans="2:10">
      <c r="B19" s="65"/>
      <c r="C19" s="63" t="s">
        <v>395</v>
      </c>
      <c r="D19" s="237">
        <v>10576224</v>
      </c>
      <c r="E19" s="735"/>
      <c r="F19" s="209"/>
      <c r="G19" s="209"/>
      <c r="H19" s="105"/>
    </row>
    <row r="20" spans="2:10">
      <c r="B20" s="65"/>
      <c r="C20" s="63" t="s">
        <v>444</v>
      </c>
      <c r="D20" s="522">
        <f>D17-D19</f>
        <v>7050816</v>
      </c>
      <c r="E20" s="208"/>
      <c r="F20" s="209"/>
      <c r="G20" s="290"/>
      <c r="H20" s="105"/>
    </row>
    <row r="21" spans="2:10">
      <c r="B21" s="65"/>
      <c r="C21" s="63"/>
      <c r="D21" s="291"/>
      <c r="E21" s="208"/>
      <c r="F21" s="209"/>
      <c r="G21" s="209"/>
      <c r="H21" s="105"/>
    </row>
    <row r="22" spans="2:10">
      <c r="B22" s="65"/>
      <c r="C22" s="776" t="s">
        <v>445</v>
      </c>
      <c r="D22" s="776"/>
      <c r="E22" s="292"/>
      <c r="F22" s="775" t="s">
        <v>446</v>
      </c>
      <c r="G22" s="775"/>
      <c r="H22" s="105"/>
    </row>
    <row r="23" spans="2:10">
      <c r="B23" s="65"/>
      <c r="C23" s="63" t="s">
        <v>447</v>
      </c>
      <c r="D23" s="293"/>
      <c r="E23" s="290"/>
      <c r="F23" s="121" t="s">
        <v>349</v>
      </c>
      <c r="G23" s="71"/>
      <c r="H23" s="105"/>
    </row>
    <row r="24" spans="2:10">
      <c r="B24" s="65"/>
      <c r="C24" s="63" t="s">
        <v>448</v>
      </c>
      <c r="D24" s="236">
        <v>3650700</v>
      </c>
      <c r="E24" s="290"/>
      <c r="F24" s="121" t="s">
        <v>449</v>
      </c>
      <c r="G24" s="71">
        <v>7753000</v>
      </c>
      <c r="H24" s="105"/>
      <c r="J24" s="733"/>
    </row>
    <row r="25" spans="2:10">
      <c r="B25" s="65"/>
      <c r="C25" s="63" t="s">
        <v>450</v>
      </c>
      <c r="D25" s="287">
        <v>6567600</v>
      </c>
      <c r="E25" s="290"/>
      <c r="F25" s="121" t="s">
        <v>451</v>
      </c>
      <c r="G25" s="249">
        <v>15936300</v>
      </c>
      <c r="H25" s="105"/>
      <c r="J25" s="733"/>
    </row>
    <row r="26" spans="2:10">
      <c r="B26" s="65"/>
      <c r="C26" s="63" t="s">
        <v>452</v>
      </c>
      <c r="D26" s="294">
        <v>7363700</v>
      </c>
      <c r="E26" s="290"/>
      <c r="F26" s="121" t="s">
        <v>453</v>
      </c>
      <c r="G26" s="497">
        <f>SUM(G24:G25)</f>
        <v>23689300</v>
      </c>
      <c r="H26" s="105"/>
      <c r="J26" s="733"/>
    </row>
    <row r="27" spans="2:10">
      <c r="B27" s="65"/>
      <c r="C27" s="63" t="s">
        <v>454</v>
      </c>
      <c r="D27" s="524">
        <f>SUM(D24:D26)</f>
        <v>17582000</v>
      </c>
      <c r="E27" s="290"/>
      <c r="F27" s="121"/>
      <c r="G27" s="71"/>
      <c r="H27" s="105"/>
      <c r="J27" s="733"/>
    </row>
    <row r="28" spans="2:10">
      <c r="B28" s="65"/>
      <c r="C28" s="63"/>
      <c r="D28" s="236"/>
      <c r="E28" s="290"/>
      <c r="F28" s="121" t="s">
        <v>455</v>
      </c>
      <c r="G28" s="71">
        <v>40480000</v>
      </c>
      <c r="H28" s="105"/>
      <c r="J28" s="733"/>
    </row>
    <row r="29" spans="2:10">
      <c r="B29" s="65"/>
      <c r="C29" s="63" t="s">
        <v>208</v>
      </c>
      <c r="D29" s="236"/>
      <c r="E29" s="290"/>
      <c r="F29" s="121"/>
      <c r="G29" s="71"/>
      <c r="H29" s="105"/>
      <c r="J29" s="733"/>
    </row>
    <row r="30" spans="2:10">
      <c r="B30" s="65"/>
      <c r="C30" s="63" t="s">
        <v>456</v>
      </c>
      <c r="D30" s="236">
        <v>112756900</v>
      </c>
      <c r="E30" s="290"/>
      <c r="F30" s="121" t="s">
        <v>457</v>
      </c>
      <c r="G30" s="71"/>
      <c r="H30" s="105"/>
      <c r="J30" s="733"/>
    </row>
    <row r="31" spans="2:10">
      <c r="B31" s="65"/>
      <c r="C31" s="63"/>
      <c r="D31" s="236"/>
      <c r="E31" s="290"/>
      <c r="F31" s="121" t="s">
        <v>458</v>
      </c>
      <c r="G31" s="71">
        <v>6200000</v>
      </c>
      <c r="H31" s="105"/>
      <c r="J31" s="733"/>
    </row>
    <row r="32" spans="2:10">
      <c r="B32" s="65"/>
      <c r="C32" s="63"/>
      <c r="D32" s="236"/>
      <c r="E32" s="290"/>
      <c r="F32" s="121" t="s">
        <v>459</v>
      </c>
      <c r="G32" s="249">
        <v>59969600</v>
      </c>
      <c r="H32" s="105"/>
      <c r="J32" s="733"/>
    </row>
    <row r="33" spans="2:10">
      <c r="B33" s="65"/>
      <c r="C33" s="63"/>
      <c r="D33" s="236"/>
      <c r="E33" s="290"/>
      <c r="F33" s="121" t="s">
        <v>460</v>
      </c>
      <c r="G33" s="497">
        <f>SUM(G31:G32)</f>
        <v>66169600</v>
      </c>
      <c r="H33" s="105"/>
    </row>
    <row r="34" spans="2:10">
      <c r="B34" s="65"/>
      <c r="C34" s="63"/>
      <c r="D34" s="236"/>
      <c r="E34" s="290"/>
      <c r="F34" s="121"/>
      <c r="G34" s="71"/>
      <c r="H34" s="105"/>
    </row>
    <row r="35" spans="2:10" ht="15.75" thickBot="1">
      <c r="B35" s="65"/>
      <c r="C35" s="63" t="s">
        <v>376</v>
      </c>
      <c r="D35" s="525">
        <f>D27+D30</f>
        <v>130338900</v>
      </c>
      <c r="E35" s="290"/>
      <c r="F35" s="121" t="s">
        <v>461</v>
      </c>
      <c r="G35" s="496">
        <f>G26+G28+G33</f>
        <v>130338900</v>
      </c>
      <c r="H35" s="105"/>
      <c r="J35" s="368"/>
    </row>
    <row r="36" spans="2:10" ht="15.75" thickTop="1">
      <c r="B36" s="65"/>
      <c r="C36" s="63"/>
      <c r="D36" s="208"/>
      <c r="E36" s="209"/>
      <c r="F36" s="209"/>
      <c r="G36" s="295"/>
      <c r="H36" s="105"/>
    </row>
    <row r="37" spans="2:10">
      <c r="B37" s="65"/>
      <c r="C37" s="63" t="s">
        <v>309</v>
      </c>
      <c r="D37" s="296">
        <v>0.2</v>
      </c>
      <c r="E37" s="209"/>
      <c r="F37" s="209"/>
      <c r="G37" s="295"/>
      <c r="H37" s="105"/>
    </row>
    <row r="38" spans="2:10">
      <c r="B38" s="65"/>
      <c r="C38" s="63" t="s">
        <v>462</v>
      </c>
      <c r="D38" s="297">
        <v>30000000</v>
      </c>
      <c r="E38" s="209"/>
      <c r="F38" s="209"/>
      <c r="G38" s="295"/>
      <c r="H38" s="105"/>
    </row>
    <row r="39" spans="2:10" ht="15.75" thickBot="1">
      <c r="B39" s="72"/>
      <c r="C39" s="73"/>
      <c r="D39" s="214"/>
      <c r="E39" s="214"/>
      <c r="F39" s="133"/>
      <c r="G39" s="133"/>
      <c r="H39" s="74"/>
    </row>
    <row r="40" spans="2:10">
      <c r="C40" s="59"/>
      <c r="D40" s="203"/>
      <c r="E40" s="203"/>
      <c r="F40" s="59"/>
      <c r="G40" s="59"/>
    </row>
    <row r="41" spans="2:10">
      <c r="C41" s="9" t="s">
        <v>51</v>
      </c>
      <c r="D41" s="203"/>
      <c r="E41" s="203"/>
      <c r="F41" s="59"/>
      <c r="G41" s="59"/>
    </row>
    <row r="42" spans="2:10" ht="15.75" thickBot="1">
      <c r="C42" s="17"/>
      <c r="D42" s="203"/>
      <c r="E42" s="203"/>
      <c r="F42" s="59"/>
      <c r="G42" s="59"/>
    </row>
    <row r="43" spans="2:10">
      <c r="B43" s="215"/>
      <c r="C43" s="109"/>
      <c r="D43" s="216"/>
      <c r="E43" s="216"/>
      <c r="F43" s="217"/>
      <c r="G43" s="217"/>
      <c r="H43" s="137"/>
    </row>
    <row r="44" spans="2:10" ht="15.75">
      <c r="B44" s="171" t="s">
        <v>98</v>
      </c>
      <c r="C44" s="221" t="s">
        <v>463</v>
      </c>
      <c r="D44" s="298">
        <f>D27/G26</f>
        <v>0.7421916223780356</v>
      </c>
      <c r="E44" s="244"/>
      <c r="F44" s="243"/>
      <c r="G44" s="299"/>
      <c r="H44" s="141"/>
    </row>
    <row r="45" spans="2:10" ht="15.75">
      <c r="B45" s="300"/>
      <c r="C45" s="221" t="s">
        <v>464</v>
      </c>
      <c r="D45" s="298">
        <f>(D27-D26)/G26</f>
        <v>0.43134664173276543</v>
      </c>
      <c r="E45" s="244"/>
      <c r="F45" s="243"/>
      <c r="G45" s="301"/>
      <c r="H45" s="141"/>
    </row>
    <row r="46" spans="2:10" ht="15.75">
      <c r="B46" s="300"/>
      <c r="C46" s="221" t="s">
        <v>465</v>
      </c>
      <c r="D46" s="298">
        <f>D9/D35</f>
        <v>1.7976214315143062</v>
      </c>
      <c r="E46" s="244"/>
      <c r="F46" s="243"/>
      <c r="G46" s="301"/>
      <c r="H46" s="141"/>
    </row>
    <row r="47" spans="2:10" ht="15.75">
      <c r="B47" s="300"/>
      <c r="C47" s="221" t="s">
        <v>466</v>
      </c>
      <c r="D47" s="298">
        <f>D10/D26</f>
        <v>22.417263060689599</v>
      </c>
      <c r="E47" s="244"/>
      <c r="F47" s="243"/>
      <c r="G47" s="301"/>
      <c r="H47" s="141"/>
    </row>
    <row r="48" spans="2:10" ht="15.75">
      <c r="B48" s="300"/>
      <c r="C48" s="221" t="s">
        <v>467</v>
      </c>
      <c r="D48" s="298">
        <f>D9/D25</f>
        <v>35.675132468481635</v>
      </c>
      <c r="E48" s="244"/>
      <c r="F48" s="243"/>
      <c r="G48" s="301"/>
      <c r="H48" s="141"/>
    </row>
    <row r="49" spans="2:8" ht="15.75">
      <c r="B49" s="300"/>
      <c r="C49" s="221" t="s">
        <v>468</v>
      </c>
      <c r="D49" s="298">
        <f>(D35-G33)/D35</f>
        <v>0.49232654257478004</v>
      </c>
      <c r="E49" s="244"/>
      <c r="F49" s="243"/>
      <c r="G49" s="301"/>
      <c r="H49" s="141"/>
    </row>
    <row r="50" spans="2:8" ht="15.75">
      <c r="B50" s="300"/>
      <c r="C50" s="221" t="s">
        <v>469</v>
      </c>
      <c r="D50" s="298">
        <f>(G26+G28)/G33</f>
        <v>0.96977010590966239</v>
      </c>
      <c r="E50" s="244"/>
      <c r="F50" s="243"/>
      <c r="G50" s="301"/>
      <c r="H50" s="141"/>
    </row>
    <row r="51" spans="2:8" ht="15.75">
      <c r="B51" s="300"/>
      <c r="C51" s="221" t="s">
        <v>470</v>
      </c>
      <c r="D51" s="298">
        <f>D35/G33</f>
        <v>1.9697701059096624</v>
      </c>
      <c r="E51" s="244"/>
      <c r="F51" s="243"/>
      <c r="G51" s="301"/>
      <c r="H51" s="141"/>
    </row>
    <row r="52" spans="2:8" ht="15.75">
      <c r="B52" s="300"/>
      <c r="C52" s="221" t="s">
        <v>471</v>
      </c>
      <c r="D52" s="298">
        <f>D13/D14</f>
        <v>7.9739353368466031</v>
      </c>
      <c r="E52" s="244"/>
      <c r="F52" s="243"/>
      <c r="G52" s="301"/>
      <c r="H52" s="141"/>
    </row>
    <row r="53" spans="2:8" ht="15.75">
      <c r="B53" s="300"/>
      <c r="C53" s="221" t="s">
        <v>472</v>
      </c>
      <c r="D53" s="225">
        <f>D17/D9</f>
        <v>7.5232778489116511E-2</v>
      </c>
      <c r="E53" s="244"/>
      <c r="F53" s="243"/>
      <c r="G53" s="301"/>
      <c r="H53" s="141"/>
    </row>
    <row r="54" spans="2:8" ht="15.75">
      <c r="B54" s="300"/>
      <c r="C54" s="221" t="s">
        <v>473</v>
      </c>
      <c r="D54" s="225">
        <f>D17/D35</f>
        <v>0.13524005496440433</v>
      </c>
      <c r="E54" s="244"/>
      <c r="F54" s="243"/>
      <c r="G54" s="301"/>
      <c r="H54" s="141"/>
    </row>
    <row r="55" spans="2:8" ht="15.75">
      <c r="B55" s="300"/>
      <c r="C55" s="221" t="s">
        <v>474</v>
      </c>
      <c r="D55" s="225">
        <f>D17/G33</f>
        <v>0.2663918173904633</v>
      </c>
      <c r="E55" s="244"/>
      <c r="F55" s="243"/>
      <c r="G55" s="301"/>
      <c r="H55" s="141"/>
    </row>
    <row r="56" spans="2:8">
      <c r="B56" s="300"/>
      <c r="C56" s="221"/>
      <c r="D56" s="218"/>
      <c r="E56" s="244"/>
      <c r="F56" s="243"/>
      <c r="G56" s="301"/>
      <c r="H56" s="141"/>
    </row>
    <row r="57" spans="2:8">
      <c r="B57" s="171" t="s">
        <v>140</v>
      </c>
      <c r="C57" s="221" t="s">
        <v>308</v>
      </c>
      <c r="D57" s="219">
        <f>D20/D17</f>
        <v>0.4</v>
      </c>
      <c r="E57" s="244"/>
      <c r="F57" s="243"/>
      <c r="G57" s="301"/>
      <c r="H57" s="141"/>
    </row>
    <row r="58" spans="2:8" ht="15.75">
      <c r="B58" s="300"/>
      <c r="C58" s="221" t="s">
        <v>475</v>
      </c>
      <c r="D58" s="225">
        <f>(D55*D57)/(1-(D55*D57))</f>
        <v>0.11926524063823778</v>
      </c>
      <c r="E58" s="244"/>
      <c r="F58" s="243"/>
      <c r="G58" s="301"/>
      <c r="H58" s="141"/>
    </row>
    <row r="59" spans="2:8">
      <c r="B59" s="300"/>
      <c r="C59" s="221"/>
      <c r="D59" s="240"/>
      <c r="E59" s="244"/>
      <c r="F59" s="243"/>
      <c r="G59" s="301"/>
      <c r="H59" s="141"/>
    </row>
    <row r="60" spans="2:8">
      <c r="B60" s="300"/>
      <c r="C60" s="81" t="s">
        <v>35</v>
      </c>
      <c r="D60" s="302">
        <f>$D$9*(1+D58)</f>
        <v>262243845.88153911</v>
      </c>
      <c r="E60" s="244"/>
      <c r="F60" s="243"/>
      <c r="G60" s="301"/>
      <c r="H60" s="141"/>
    </row>
    <row r="61" spans="2:8">
      <c r="B61" s="300"/>
      <c r="C61" s="81" t="s">
        <v>443</v>
      </c>
      <c r="D61" s="303">
        <f>$D$10*(1+D58)</f>
        <v>184761590.33311644</v>
      </c>
      <c r="E61" s="244"/>
      <c r="F61" s="243"/>
      <c r="G61" s="301"/>
      <c r="H61" s="141"/>
    </row>
    <row r="62" spans="2:8">
      <c r="B62" s="300"/>
      <c r="C62" s="81" t="s">
        <v>77</v>
      </c>
      <c r="D62" s="303">
        <f>$D$11*(1+D58)</f>
        <v>31329353.350704912</v>
      </c>
      <c r="E62" s="244"/>
      <c r="F62" s="243"/>
      <c r="G62" s="301"/>
      <c r="H62" s="141"/>
    </row>
    <row r="63" spans="2:8">
      <c r="B63" s="300"/>
      <c r="C63" s="81" t="s">
        <v>201</v>
      </c>
      <c r="D63" s="276">
        <f>D12</f>
        <v>7644000</v>
      </c>
      <c r="E63" s="244"/>
      <c r="F63" s="243"/>
      <c r="G63" s="301"/>
      <c r="H63" s="141"/>
    </row>
    <row r="64" spans="2:8">
      <c r="B64" s="300"/>
      <c r="C64" s="81" t="s">
        <v>202</v>
      </c>
      <c r="D64" s="302">
        <f>D60-D61-D62-D63</f>
        <v>38508902.197717756</v>
      </c>
      <c r="E64" s="244"/>
      <c r="F64" s="243"/>
      <c r="G64" s="301"/>
      <c r="H64" s="141"/>
    </row>
    <row r="65" spans="2:8">
      <c r="B65" s="300"/>
      <c r="C65" s="81" t="s">
        <v>203</v>
      </c>
      <c r="D65" s="276">
        <f>D14</f>
        <v>4212600</v>
      </c>
      <c r="E65" s="244"/>
      <c r="F65" s="243"/>
      <c r="G65" s="301"/>
      <c r="H65" s="141"/>
    </row>
    <row r="66" spans="2:8">
      <c r="B66" s="300"/>
      <c r="C66" s="81" t="s">
        <v>204</v>
      </c>
      <c r="D66" s="302">
        <f>D64-D65</f>
        <v>34296302.197717756</v>
      </c>
      <c r="E66" s="244"/>
      <c r="F66" s="243"/>
      <c r="G66" s="301"/>
      <c r="H66" s="141"/>
    </row>
    <row r="67" spans="2:8">
      <c r="B67" s="300"/>
      <c r="C67" s="81" t="s">
        <v>205</v>
      </c>
      <c r="D67" s="303">
        <f>D66*0.4</f>
        <v>13718520.879087104</v>
      </c>
      <c r="E67" s="244"/>
      <c r="F67" s="243"/>
      <c r="G67" s="301"/>
      <c r="H67" s="141"/>
    </row>
    <row r="68" spans="2:8" ht="15.75" thickBot="1">
      <c r="B68" s="300"/>
      <c r="C68" s="81" t="s">
        <v>40</v>
      </c>
      <c r="D68" s="304">
        <f>D66-D67</f>
        <v>20577781.318630651</v>
      </c>
      <c r="E68" s="244"/>
      <c r="F68" s="243"/>
      <c r="G68" s="301"/>
      <c r="H68" s="141"/>
    </row>
    <row r="69" spans="2:8" ht="15.75" thickTop="1">
      <c r="B69" s="300"/>
      <c r="C69" s="81"/>
      <c r="D69" s="302"/>
      <c r="E69" s="244"/>
      <c r="F69" s="243"/>
      <c r="G69" s="301"/>
      <c r="H69" s="141"/>
    </row>
    <row r="70" spans="2:8">
      <c r="B70" s="300"/>
      <c r="C70" s="81" t="s">
        <v>395</v>
      </c>
      <c r="D70" s="302">
        <f>D68*(1-D57)</f>
        <v>12346668.79117839</v>
      </c>
      <c r="E70" s="244"/>
      <c r="F70" s="243"/>
      <c r="G70" s="301"/>
      <c r="H70" s="141"/>
    </row>
    <row r="71" spans="2:8">
      <c r="B71" s="300"/>
      <c r="C71" s="81" t="s">
        <v>444</v>
      </c>
      <c r="D71" s="303">
        <f>D68-D70</f>
        <v>8231112.5274522603</v>
      </c>
      <c r="E71" s="244"/>
      <c r="F71" s="243"/>
      <c r="G71" s="301"/>
      <c r="H71" s="141"/>
    </row>
    <row r="72" spans="2:8">
      <c r="B72" s="300"/>
      <c r="C72" s="221"/>
      <c r="D72" s="240"/>
      <c r="E72" s="244"/>
      <c r="F72" s="243"/>
      <c r="G72" s="301"/>
      <c r="H72" s="141"/>
    </row>
    <row r="73" spans="2:8">
      <c r="B73" s="300"/>
      <c r="C73" s="773" t="s">
        <v>445</v>
      </c>
      <c r="D73" s="773"/>
      <c r="E73" s="221"/>
      <c r="F73" s="774" t="s">
        <v>446</v>
      </c>
      <c r="G73" s="774"/>
      <c r="H73" s="141"/>
    </row>
    <row r="74" spans="2:8">
      <c r="B74" s="300"/>
      <c r="C74" s="81" t="s">
        <v>447</v>
      </c>
      <c r="D74" s="305"/>
      <c r="E74" s="306"/>
      <c r="F74" s="140" t="s">
        <v>349</v>
      </c>
      <c r="G74" s="307"/>
      <c r="H74" s="141"/>
    </row>
    <row r="75" spans="2:8">
      <c r="B75" s="300"/>
      <c r="C75" s="81" t="s">
        <v>448</v>
      </c>
      <c r="D75" s="302">
        <f>D24*(1+$D$58)</f>
        <v>4086101.6139980145</v>
      </c>
      <c r="E75" s="306"/>
      <c r="F75" s="140" t="s">
        <v>449</v>
      </c>
      <c r="G75" s="302">
        <f>G24*(1+$D$58)</f>
        <v>8677663.4106682576</v>
      </c>
      <c r="H75" s="141"/>
    </row>
    <row r="76" spans="2:8">
      <c r="B76" s="300"/>
      <c r="C76" s="81" t="s">
        <v>450</v>
      </c>
      <c r="D76" s="303">
        <f>D25*(1+$D$58)</f>
        <v>7350886.3944156906</v>
      </c>
      <c r="E76" s="306"/>
      <c r="F76" s="140" t="s">
        <v>451</v>
      </c>
      <c r="G76" s="276">
        <f>G25*(1+$D$58)</f>
        <v>17836946.654383149</v>
      </c>
      <c r="H76" s="141"/>
    </row>
    <row r="77" spans="2:8">
      <c r="B77" s="300"/>
      <c r="C77" s="81" t="s">
        <v>452</v>
      </c>
      <c r="D77" s="276">
        <f>D26*(1+$D$58)</f>
        <v>8241933.452487791</v>
      </c>
      <c r="E77" s="306"/>
      <c r="F77" s="140" t="s">
        <v>453</v>
      </c>
      <c r="G77" s="111">
        <f>G75+G76</f>
        <v>26514610.065051407</v>
      </c>
      <c r="H77" s="141"/>
    </row>
    <row r="78" spans="2:8">
      <c r="B78" s="300"/>
      <c r="C78" s="81" t="s">
        <v>454</v>
      </c>
      <c r="D78" s="302">
        <f>D75+D76+D77</f>
        <v>19678921.460901499</v>
      </c>
      <c r="E78" s="306"/>
      <c r="F78" s="140"/>
      <c r="G78" s="307"/>
      <c r="H78" s="141"/>
    </row>
    <row r="79" spans="2:8">
      <c r="B79" s="300"/>
      <c r="C79" s="81"/>
      <c r="D79" s="302"/>
      <c r="E79" s="306"/>
      <c r="F79" s="140" t="s">
        <v>455</v>
      </c>
      <c r="G79" s="518">
        <f>G28</f>
        <v>40480000</v>
      </c>
      <c r="H79" s="141"/>
    </row>
    <row r="80" spans="2:8">
      <c r="B80" s="300"/>
      <c r="C80" s="736"/>
      <c r="D80" s="737"/>
      <c r="E80" s="306"/>
      <c r="F80" s="140"/>
      <c r="G80" s="518"/>
      <c r="H80" s="141"/>
    </row>
    <row r="81" spans="2:8">
      <c r="B81" s="300"/>
      <c r="C81" s="736"/>
      <c r="D81" s="737"/>
      <c r="E81" s="306"/>
      <c r="F81" s="140" t="s">
        <v>457</v>
      </c>
      <c r="G81" s="518"/>
      <c r="H81" s="141"/>
    </row>
    <row r="82" spans="2:8">
      <c r="B82" s="300"/>
      <c r="C82" s="81"/>
      <c r="D82" s="302"/>
      <c r="E82" s="306"/>
      <c r="F82" s="140" t="s">
        <v>458</v>
      </c>
      <c r="G82" s="518">
        <f>G31</f>
        <v>6200000</v>
      </c>
      <c r="H82" s="141"/>
    </row>
    <row r="83" spans="2:8">
      <c r="B83" s="300"/>
      <c r="C83" s="81"/>
      <c r="D83" s="302"/>
      <c r="E83" s="306"/>
      <c r="F83" s="140" t="s">
        <v>459</v>
      </c>
      <c r="G83" s="260">
        <f>G32+D71</f>
        <v>68200712.52745226</v>
      </c>
      <c r="H83" s="141"/>
    </row>
    <row r="84" spans="2:8">
      <c r="B84" s="300"/>
      <c r="C84" s="81" t="s">
        <v>208</v>
      </c>
      <c r="D84" s="302"/>
      <c r="E84" s="306"/>
      <c r="F84" s="140" t="s">
        <v>460</v>
      </c>
      <c r="G84" s="111">
        <f>SUM(G82:G83)</f>
        <v>74400712.52745226</v>
      </c>
      <c r="H84" s="141"/>
    </row>
    <row r="85" spans="2:8">
      <c r="B85" s="300"/>
      <c r="C85" s="81" t="s">
        <v>456</v>
      </c>
      <c r="D85" s="302">
        <f>D30*(1+$D$58)</f>
        <v>126204878.8121217</v>
      </c>
      <c r="E85" s="306"/>
      <c r="F85" s="140"/>
      <c r="G85" s="307"/>
      <c r="H85" s="141"/>
    </row>
    <row r="86" spans="2:8" ht="15.75" thickBot="1">
      <c r="B86" s="300"/>
      <c r="C86" s="81" t="s">
        <v>476</v>
      </c>
      <c r="D86" s="304">
        <f>D85+D78</f>
        <v>145883800.27302319</v>
      </c>
      <c r="E86" s="306"/>
      <c r="F86" s="140" t="s">
        <v>461</v>
      </c>
      <c r="G86" s="283">
        <f>G84+G79+G77</f>
        <v>141395322.59250367</v>
      </c>
      <c r="H86" s="141"/>
    </row>
    <row r="87" spans="2:8" ht="15.75" thickTop="1">
      <c r="B87" s="300"/>
      <c r="C87" s="221"/>
      <c r="D87" s="240"/>
      <c r="E87" s="244"/>
      <c r="F87" s="243"/>
      <c r="G87" s="301"/>
      <c r="H87" s="141"/>
    </row>
    <row r="88" spans="2:8" ht="15.75">
      <c r="B88" s="300"/>
      <c r="C88" s="221" t="s">
        <v>477</v>
      </c>
      <c r="D88" s="308">
        <f>D86-G86</f>
        <v>4488477.6805195212</v>
      </c>
      <c r="E88" s="309"/>
      <c r="F88" s="243"/>
      <c r="G88" s="301"/>
      <c r="H88" s="141"/>
    </row>
    <row r="89" spans="2:8">
      <c r="B89" s="300"/>
      <c r="C89" s="221"/>
      <c r="D89" s="240"/>
      <c r="E89" s="244"/>
      <c r="F89" s="243"/>
      <c r="G89" s="301"/>
      <c r="H89" s="141"/>
    </row>
    <row r="90" spans="2:8" ht="15.75">
      <c r="B90" s="300"/>
      <c r="C90" s="221" t="s">
        <v>463</v>
      </c>
      <c r="D90" s="298">
        <f>D78/G77</f>
        <v>0.74219162237803571</v>
      </c>
      <c r="E90" s="244"/>
      <c r="F90" s="243"/>
      <c r="G90" s="301"/>
      <c r="H90" s="141"/>
    </row>
    <row r="91" spans="2:8" ht="15.75">
      <c r="B91" s="300"/>
      <c r="C91" s="221" t="s">
        <v>464</v>
      </c>
      <c r="D91" s="298">
        <f>(D78-D77)/G77</f>
        <v>0.43134664173276555</v>
      </c>
      <c r="E91" s="244"/>
      <c r="F91" s="243"/>
      <c r="G91" s="301"/>
      <c r="H91" s="141"/>
    </row>
    <row r="92" spans="2:8" ht="15.75">
      <c r="B92" s="300"/>
      <c r="C92" s="221" t="s">
        <v>465</v>
      </c>
      <c r="D92" s="298">
        <f>D60/D86</f>
        <v>1.7976214315143064</v>
      </c>
      <c r="E92" s="244"/>
      <c r="F92" s="243"/>
      <c r="G92" s="301"/>
      <c r="H92" s="141"/>
    </row>
    <row r="93" spans="2:8" ht="15.75">
      <c r="B93" s="300"/>
      <c r="C93" s="221" t="s">
        <v>466</v>
      </c>
      <c r="D93" s="298">
        <f>D61/D77</f>
        <v>22.417263060689599</v>
      </c>
      <c r="E93" s="244"/>
      <c r="F93" s="243"/>
      <c r="G93" s="301"/>
      <c r="H93" s="141"/>
    </row>
    <row r="94" spans="2:8" ht="15.75">
      <c r="B94" s="300"/>
      <c r="C94" s="221" t="s">
        <v>467</v>
      </c>
      <c r="D94" s="298">
        <f>D60/D76</f>
        <v>35.675132468481635</v>
      </c>
      <c r="E94" s="244"/>
      <c r="F94" s="243"/>
      <c r="G94" s="301"/>
      <c r="H94" s="141"/>
    </row>
    <row r="95" spans="2:8" ht="15.75">
      <c r="B95" s="300"/>
      <c r="C95" s="221" t="s">
        <v>468</v>
      </c>
      <c r="D95" s="298">
        <f>(D86-G84)/D86</f>
        <v>0.49000017556294473</v>
      </c>
      <c r="E95" s="244"/>
      <c r="F95" s="243"/>
      <c r="G95" s="301"/>
      <c r="H95" s="141"/>
    </row>
    <row r="96" spans="2:8" ht="15.75">
      <c r="B96" s="300"/>
      <c r="C96" s="221" t="s">
        <v>469</v>
      </c>
      <c r="D96" s="298">
        <f>(G77+G79)/G84</f>
        <v>0.90045656539017471</v>
      </c>
      <c r="E96" s="244"/>
      <c r="F96" s="243"/>
      <c r="G96" s="301"/>
      <c r="H96" s="141"/>
    </row>
    <row r="97" spans="2:8" ht="15.75">
      <c r="B97" s="300"/>
      <c r="C97" s="221" t="s">
        <v>470</v>
      </c>
      <c r="D97" s="298">
        <f>D86/G84</f>
        <v>1.9607849887082092</v>
      </c>
      <c r="E97" s="244"/>
      <c r="F97" s="243"/>
      <c r="G97" s="301"/>
      <c r="H97" s="141"/>
    </row>
    <row r="98" spans="2:8" ht="15.75">
      <c r="B98" s="300"/>
      <c r="C98" s="221" t="s">
        <v>471</v>
      </c>
      <c r="D98" s="298">
        <f>D64/D65</f>
        <v>9.1413621510985514</v>
      </c>
      <c r="E98" s="244"/>
      <c r="F98" s="243"/>
      <c r="G98" s="301"/>
      <c r="H98" s="141"/>
    </row>
    <row r="99" spans="2:8" ht="15.75">
      <c r="B99" s="300"/>
      <c r="C99" s="221" t="s">
        <v>472</v>
      </c>
      <c r="D99" s="225">
        <f>D68/D60</f>
        <v>7.8468119049497367E-2</v>
      </c>
      <c r="E99" s="244"/>
      <c r="F99" s="243"/>
      <c r="G99" s="301"/>
      <c r="H99" s="141"/>
    </row>
    <row r="100" spans="2:8" ht="15.75">
      <c r="B100" s="300"/>
      <c r="C100" s="221" t="s">
        <v>473</v>
      </c>
      <c r="D100" s="225">
        <f>D68/D86</f>
        <v>0.14105597249399249</v>
      </c>
      <c r="E100" s="244"/>
      <c r="F100" s="243"/>
      <c r="G100" s="301"/>
      <c r="H100" s="141"/>
    </row>
    <row r="101" spans="2:8" ht="15.75">
      <c r="B101" s="300"/>
      <c r="C101" s="221" t="s">
        <v>474</v>
      </c>
      <c r="D101" s="225">
        <f>D68/G84</f>
        <v>0.27658043343385846</v>
      </c>
      <c r="E101" s="244"/>
      <c r="F101" s="243"/>
      <c r="G101" s="301"/>
      <c r="H101" s="141"/>
    </row>
    <row r="102" spans="2:8">
      <c r="B102" s="300"/>
      <c r="C102" s="221"/>
      <c r="D102" s="240"/>
      <c r="E102" s="244"/>
      <c r="F102" s="243"/>
      <c r="G102" s="301"/>
      <c r="H102" s="141"/>
    </row>
    <row r="103" spans="2:8">
      <c r="B103" s="171" t="s">
        <v>250</v>
      </c>
      <c r="C103" s="81" t="s">
        <v>35</v>
      </c>
      <c r="D103" s="302">
        <f>$D$9*(1+$D$37)</f>
        <v>281160000</v>
      </c>
      <c r="E103" s="244"/>
      <c r="F103" s="243"/>
      <c r="G103" s="301"/>
      <c r="H103" s="141"/>
    </row>
    <row r="104" spans="2:8">
      <c r="B104" s="238"/>
      <c r="C104" s="81" t="s">
        <v>443</v>
      </c>
      <c r="D104" s="303">
        <f>$D$10*(1+$D$37)</f>
        <v>198088800</v>
      </c>
      <c r="E104" s="244"/>
      <c r="F104" s="243"/>
      <c r="G104" s="301"/>
      <c r="H104" s="141"/>
    </row>
    <row r="105" spans="2:8">
      <c r="B105" s="238"/>
      <c r="C105" s="81" t="s">
        <v>77</v>
      </c>
      <c r="D105" s="303">
        <f>$D$11*(1+$D$37)</f>
        <v>33589200</v>
      </c>
      <c r="E105" s="244"/>
      <c r="F105" s="243"/>
      <c r="G105" s="301"/>
      <c r="H105" s="141"/>
    </row>
    <row r="106" spans="2:8">
      <c r="B106" s="238"/>
      <c r="C106" s="81" t="s">
        <v>201</v>
      </c>
      <c r="D106" s="276">
        <f>D12</f>
        <v>7644000</v>
      </c>
      <c r="E106" s="244"/>
      <c r="F106" s="243"/>
      <c r="G106" s="301"/>
      <c r="H106" s="141"/>
    </row>
    <row r="107" spans="2:8">
      <c r="B107" s="238"/>
      <c r="C107" s="81" t="s">
        <v>202</v>
      </c>
      <c r="D107" s="302">
        <f>D103-D104-D105-D106</f>
        <v>41838000</v>
      </c>
      <c r="E107" s="244"/>
      <c r="F107" s="243"/>
      <c r="G107" s="301"/>
      <c r="H107" s="141"/>
    </row>
    <row r="108" spans="2:8">
      <c r="B108" s="238"/>
      <c r="C108" s="81" t="s">
        <v>203</v>
      </c>
      <c r="D108" s="276">
        <f>D14</f>
        <v>4212600</v>
      </c>
      <c r="E108" s="244"/>
      <c r="F108" s="243"/>
      <c r="G108" s="301"/>
      <c r="H108" s="141"/>
    </row>
    <row r="109" spans="2:8">
      <c r="B109" s="238"/>
      <c r="C109" s="81" t="s">
        <v>204</v>
      </c>
      <c r="D109" s="302">
        <f>D107-D108</f>
        <v>37625400</v>
      </c>
      <c r="E109" s="244"/>
      <c r="F109" s="243"/>
      <c r="G109" s="301"/>
      <c r="H109" s="141"/>
    </row>
    <row r="110" spans="2:8">
      <c r="B110" s="238"/>
      <c r="C110" s="81" t="s">
        <v>205</v>
      </c>
      <c r="D110" s="303">
        <f>D109*0.4</f>
        <v>15050160</v>
      </c>
      <c r="E110" s="244"/>
      <c r="F110" s="243"/>
      <c r="G110" s="301"/>
      <c r="H110" s="141"/>
    </row>
    <row r="111" spans="2:8" ht="15.75" thickBot="1">
      <c r="B111" s="238"/>
      <c r="C111" s="81" t="s">
        <v>40</v>
      </c>
      <c r="D111" s="304">
        <f>D109-D110</f>
        <v>22575240</v>
      </c>
      <c r="E111" s="244"/>
      <c r="F111" s="243"/>
      <c r="G111" s="301"/>
      <c r="H111" s="141"/>
    </row>
    <row r="112" spans="2:8" ht="15.75" thickTop="1">
      <c r="B112" s="238"/>
      <c r="C112" s="81"/>
      <c r="D112" s="302"/>
      <c r="E112" s="244"/>
      <c r="F112" s="243"/>
      <c r="G112" s="301"/>
      <c r="H112" s="141"/>
    </row>
    <row r="113" spans="2:8">
      <c r="B113" s="238"/>
      <c r="C113" s="81" t="s">
        <v>395</v>
      </c>
      <c r="D113" s="302">
        <f>D111*(1-D57)</f>
        <v>13545144</v>
      </c>
      <c r="E113" s="244"/>
      <c r="F113" s="243"/>
      <c r="G113" s="301"/>
      <c r="H113" s="141"/>
    </row>
    <row r="114" spans="2:8">
      <c r="B114" s="238"/>
      <c r="C114" s="81" t="s">
        <v>444</v>
      </c>
      <c r="D114" s="303">
        <f>D111-D113</f>
        <v>9030096</v>
      </c>
      <c r="E114" s="244"/>
      <c r="F114" s="243"/>
      <c r="G114" s="301"/>
      <c r="H114" s="141"/>
    </row>
    <row r="115" spans="2:8">
      <c r="B115" s="238"/>
      <c r="C115" s="221"/>
      <c r="D115" s="240"/>
      <c r="E115" s="244"/>
      <c r="F115" s="243"/>
      <c r="G115" s="301"/>
      <c r="H115" s="141"/>
    </row>
    <row r="116" spans="2:8">
      <c r="B116" s="238"/>
      <c r="C116" s="773" t="s">
        <v>445</v>
      </c>
      <c r="D116" s="773"/>
      <c r="E116" s="221"/>
      <c r="F116" s="774" t="s">
        <v>446</v>
      </c>
      <c r="G116" s="774"/>
      <c r="H116" s="141"/>
    </row>
    <row r="117" spans="2:8">
      <c r="B117" s="238"/>
      <c r="C117" s="81" t="s">
        <v>447</v>
      </c>
      <c r="D117" s="305"/>
      <c r="E117" s="306"/>
      <c r="F117" s="140" t="s">
        <v>349</v>
      </c>
      <c r="G117" s="307"/>
      <c r="H117" s="141"/>
    </row>
    <row r="118" spans="2:8">
      <c r="B118" s="238"/>
      <c r="C118" s="81" t="s">
        <v>448</v>
      </c>
      <c r="D118" s="302">
        <f>D24*(1+$D$37)</f>
        <v>4380840</v>
      </c>
      <c r="E118" s="306"/>
      <c r="F118" s="140" t="s">
        <v>449</v>
      </c>
      <c r="G118" s="111">
        <f>G24*(1+D37)</f>
        <v>9303600</v>
      </c>
      <c r="H118" s="141"/>
    </row>
    <row r="119" spans="2:8">
      <c r="B119" s="238"/>
      <c r="C119" s="81" t="s">
        <v>450</v>
      </c>
      <c r="D119" s="303">
        <f>D25*(1+$D$37)</f>
        <v>7881120</v>
      </c>
      <c r="E119" s="306"/>
      <c r="F119" s="140" t="s">
        <v>451</v>
      </c>
      <c r="G119" s="260">
        <f>G25*(1+D37)</f>
        <v>19123560</v>
      </c>
      <c r="H119" s="141"/>
    </row>
    <row r="120" spans="2:8">
      <c r="B120" s="238"/>
      <c r="C120" s="81" t="s">
        <v>452</v>
      </c>
      <c r="D120" s="276">
        <f>D26*(1+$D$37)</f>
        <v>8836440</v>
      </c>
      <c r="E120" s="306"/>
      <c r="F120" s="140" t="s">
        <v>453</v>
      </c>
      <c r="G120" s="111">
        <f>G118+G119</f>
        <v>28427160</v>
      </c>
      <c r="H120" s="141"/>
    </row>
    <row r="121" spans="2:8">
      <c r="B121" s="238"/>
      <c r="C121" s="81" t="s">
        <v>454</v>
      </c>
      <c r="D121" s="302">
        <f>D118+D119+D120</f>
        <v>21098400</v>
      </c>
      <c r="E121" s="306"/>
      <c r="F121" s="140"/>
      <c r="G121" s="307"/>
      <c r="H121" s="141"/>
    </row>
    <row r="122" spans="2:8">
      <c r="B122" s="238"/>
      <c r="C122" s="81"/>
      <c r="D122" s="302"/>
      <c r="E122" s="306"/>
      <c r="F122" s="140" t="s">
        <v>455</v>
      </c>
      <c r="G122" s="518">
        <f>G28</f>
        <v>40480000</v>
      </c>
      <c r="H122" s="141"/>
    </row>
    <row r="123" spans="2:8">
      <c r="B123" s="238"/>
      <c r="C123" s="736"/>
      <c r="D123" s="737"/>
      <c r="E123" s="306"/>
      <c r="F123" s="140"/>
      <c r="G123" s="518"/>
      <c r="H123" s="141"/>
    </row>
    <row r="124" spans="2:8">
      <c r="B124" s="238"/>
      <c r="C124" s="736"/>
      <c r="D124" s="737"/>
      <c r="E124" s="306"/>
      <c r="F124" s="140" t="s">
        <v>457</v>
      </c>
      <c r="G124" s="518"/>
      <c r="H124" s="141"/>
    </row>
    <row r="125" spans="2:8">
      <c r="B125" s="238"/>
      <c r="C125" s="81"/>
      <c r="D125" s="302"/>
      <c r="E125" s="306"/>
      <c r="F125" s="140" t="s">
        <v>458</v>
      </c>
      <c r="G125" s="518">
        <f>G31</f>
        <v>6200000</v>
      </c>
      <c r="H125" s="141"/>
    </row>
    <row r="126" spans="2:8">
      <c r="B126" s="238"/>
      <c r="C126" s="81"/>
      <c r="D126" s="302"/>
      <c r="E126" s="306"/>
      <c r="F126" s="140" t="s">
        <v>459</v>
      </c>
      <c r="G126" s="260">
        <f>G32+D114</f>
        <v>68999696</v>
      </c>
      <c r="H126" s="141"/>
    </row>
    <row r="127" spans="2:8">
      <c r="B127" s="238"/>
      <c r="C127" s="81" t="s">
        <v>208</v>
      </c>
      <c r="D127" s="302"/>
      <c r="E127" s="306"/>
      <c r="F127" s="140" t="s">
        <v>460</v>
      </c>
      <c r="G127" s="111">
        <f>SUM(G125:G126)</f>
        <v>75199696</v>
      </c>
      <c r="H127" s="141"/>
    </row>
    <row r="128" spans="2:8">
      <c r="B128" s="238"/>
      <c r="C128" s="81" t="s">
        <v>456</v>
      </c>
      <c r="D128" s="302">
        <f>D30*(1+$D$37)</f>
        <v>135308280</v>
      </c>
      <c r="E128" s="306"/>
      <c r="F128" s="140"/>
      <c r="G128" s="307"/>
      <c r="H128" s="141"/>
    </row>
    <row r="129" spans="2:8" ht="15.75" thickBot="1">
      <c r="B129" s="238"/>
      <c r="C129" s="81" t="s">
        <v>476</v>
      </c>
      <c r="D129" s="304">
        <f>D128+D121</f>
        <v>156406680</v>
      </c>
      <c r="E129" s="306"/>
      <c r="F129" s="140" t="s">
        <v>461</v>
      </c>
      <c r="G129" s="283">
        <f>G127+G122+G120</f>
        <v>144106856</v>
      </c>
      <c r="H129" s="141"/>
    </row>
    <row r="130" spans="2:8" ht="15.75" thickTop="1">
      <c r="B130" s="238"/>
      <c r="C130" s="221"/>
      <c r="D130" s="240"/>
      <c r="E130" s="244"/>
      <c r="F130" s="243"/>
      <c r="G130" s="301"/>
      <c r="H130" s="141"/>
    </row>
    <row r="131" spans="2:8" ht="15.75">
      <c r="B131" s="238"/>
      <c r="C131" s="221" t="s">
        <v>477</v>
      </c>
      <c r="D131" s="308">
        <f>D129-G129</f>
        <v>12299824</v>
      </c>
      <c r="E131" s="309"/>
      <c r="F131" s="243"/>
      <c r="G131" s="301"/>
      <c r="H131" s="141"/>
    </row>
    <row r="132" spans="2:8">
      <c r="B132" s="238"/>
      <c r="C132" s="221"/>
      <c r="D132" s="240"/>
      <c r="E132" s="244"/>
      <c r="F132" s="243"/>
      <c r="G132" s="301"/>
      <c r="H132" s="141"/>
    </row>
    <row r="133" spans="2:8">
      <c r="B133" s="238"/>
      <c r="C133" s="221"/>
      <c r="D133" s="240"/>
      <c r="E133" s="244"/>
      <c r="F133" s="243"/>
      <c r="G133" s="301"/>
      <c r="H133" s="141"/>
    </row>
    <row r="134" spans="2:8">
      <c r="B134" s="171" t="s">
        <v>276</v>
      </c>
      <c r="C134" s="221" t="s">
        <v>478</v>
      </c>
      <c r="D134" s="240"/>
      <c r="E134" s="517">
        <f>D38</f>
        <v>30000000</v>
      </c>
      <c r="F134" s="243"/>
      <c r="G134" s="301"/>
      <c r="H134" s="141"/>
    </row>
    <row r="135" spans="2:8">
      <c r="B135" s="238"/>
      <c r="C135" s="221"/>
      <c r="D135" s="240"/>
      <c r="E135" s="310"/>
      <c r="F135" s="243"/>
      <c r="G135" s="301"/>
      <c r="H135" s="141"/>
    </row>
    <row r="136" spans="2:8">
      <c r="B136" s="238"/>
      <c r="C136" s="221" t="s">
        <v>479</v>
      </c>
      <c r="D136" s="240"/>
      <c r="E136" s="310"/>
      <c r="F136" s="220">
        <f>D12/D30</f>
        <v>6.7791860187713562E-2</v>
      </c>
      <c r="G136" s="301"/>
      <c r="H136" s="141"/>
    </row>
    <row r="137" spans="2:8">
      <c r="B137" s="238"/>
      <c r="C137" s="221" t="s">
        <v>480</v>
      </c>
      <c r="D137" s="309"/>
      <c r="E137" s="310"/>
      <c r="F137" s="311">
        <f>E134+D30</f>
        <v>142756900</v>
      </c>
      <c r="G137" s="301"/>
      <c r="H137" s="141"/>
    </row>
    <row r="138" spans="2:8">
      <c r="B138" s="238"/>
      <c r="C138" s="221" t="s">
        <v>481</v>
      </c>
      <c r="D138" s="240"/>
      <c r="E138" s="310"/>
      <c r="F138" s="302">
        <f>F137*F136</f>
        <v>9677755.8056314066</v>
      </c>
      <c r="G138" s="301"/>
      <c r="H138" s="141"/>
    </row>
    <row r="139" spans="2:8">
      <c r="B139" s="238"/>
      <c r="C139" s="221"/>
      <c r="D139" s="240"/>
      <c r="E139" s="310"/>
      <c r="F139" s="243"/>
      <c r="G139" s="301"/>
      <c r="H139" s="141"/>
    </row>
    <row r="140" spans="2:8">
      <c r="B140" s="238"/>
      <c r="C140" s="81" t="s">
        <v>35</v>
      </c>
      <c r="D140" s="311">
        <f>D103</f>
        <v>281160000</v>
      </c>
      <c r="E140" s="310"/>
      <c r="F140" s="243"/>
      <c r="G140" s="301"/>
      <c r="H140" s="141"/>
    </row>
    <row r="141" spans="2:8">
      <c r="B141" s="238"/>
      <c r="C141" s="81" t="s">
        <v>443</v>
      </c>
      <c r="D141" s="312">
        <f>D104</f>
        <v>198088800</v>
      </c>
      <c r="E141" s="310"/>
      <c r="F141" s="243"/>
      <c r="G141" s="301"/>
      <c r="H141" s="141"/>
    </row>
    <row r="142" spans="2:8">
      <c r="B142" s="238"/>
      <c r="C142" s="81" t="s">
        <v>77</v>
      </c>
      <c r="D142" s="312">
        <f>D105</f>
        <v>33589200</v>
      </c>
      <c r="E142" s="310"/>
      <c r="F142" s="243"/>
      <c r="G142" s="301"/>
      <c r="H142" s="141"/>
    </row>
    <row r="143" spans="2:8">
      <c r="B143" s="238"/>
      <c r="C143" s="81" t="s">
        <v>201</v>
      </c>
      <c r="D143" s="313">
        <f>F138</f>
        <v>9677755.8056314066</v>
      </c>
      <c r="E143" s="310"/>
      <c r="F143" s="243"/>
      <c r="G143" s="301"/>
      <c r="H143" s="141"/>
    </row>
    <row r="144" spans="2:8">
      <c r="B144" s="238"/>
      <c r="C144" s="81" t="s">
        <v>202</v>
      </c>
      <c r="D144" s="311">
        <f>D140-D141-D142-D143</f>
        <v>39804244.194368593</v>
      </c>
      <c r="E144" s="310"/>
      <c r="F144" s="243"/>
      <c r="G144" s="301"/>
      <c r="H144" s="141"/>
    </row>
    <row r="145" spans="2:8">
      <c r="B145" s="238"/>
      <c r="C145" s="81" t="s">
        <v>203</v>
      </c>
      <c r="D145" s="313">
        <f>D108</f>
        <v>4212600</v>
      </c>
      <c r="E145" s="310"/>
      <c r="F145" s="243"/>
      <c r="G145" s="301"/>
      <c r="H145" s="141"/>
    </row>
    <row r="146" spans="2:8">
      <c r="B146" s="238"/>
      <c r="C146" s="81" t="s">
        <v>204</v>
      </c>
      <c r="D146" s="311">
        <f>D144-D145</f>
        <v>35591644.194368593</v>
      </c>
      <c r="E146" s="310"/>
      <c r="F146" s="243"/>
      <c r="G146" s="301"/>
      <c r="H146" s="141"/>
    </row>
    <row r="147" spans="2:8">
      <c r="B147" s="238"/>
      <c r="C147" s="81" t="s">
        <v>205</v>
      </c>
      <c r="D147" s="313">
        <f>D146*0.4</f>
        <v>14236657.677747438</v>
      </c>
      <c r="E147" s="310"/>
      <c r="F147" s="243"/>
      <c r="G147" s="301"/>
      <c r="H147" s="141"/>
    </row>
    <row r="148" spans="2:8">
      <c r="B148" s="238"/>
      <c r="C148" s="81" t="s">
        <v>40</v>
      </c>
      <c r="D148" s="311">
        <f>D146-D147</f>
        <v>21354986.516621158</v>
      </c>
      <c r="E148" s="310"/>
      <c r="F148" s="243"/>
      <c r="G148" s="301"/>
      <c r="H148" s="141"/>
    </row>
    <row r="149" spans="2:8">
      <c r="B149" s="238"/>
      <c r="C149" s="81"/>
      <c r="D149" s="311"/>
      <c r="E149" s="310"/>
      <c r="F149" s="243"/>
      <c r="G149" s="301"/>
      <c r="H149" s="141"/>
    </row>
    <row r="150" spans="2:8">
      <c r="B150" s="238"/>
      <c r="C150" s="81" t="s">
        <v>395</v>
      </c>
      <c r="D150" s="311">
        <f>D148-D151</f>
        <v>12812991.909972694</v>
      </c>
      <c r="E150" s="310"/>
      <c r="F150" s="243"/>
      <c r="G150" s="301"/>
      <c r="H150" s="141"/>
    </row>
    <row r="151" spans="2:8">
      <c r="B151" s="238"/>
      <c r="C151" s="81" t="s">
        <v>444</v>
      </c>
      <c r="D151" s="312">
        <f>D148*D57</f>
        <v>8541994.6066484638</v>
      </c>
      <c r="E151" s="310"/>
      <c r="F151" s="243"/>
      <c r="G151" s="301"/>
      <c r="H151" s="141"/>
    </row>
    <row r="152" spans="2:8">
      <c r="B152" s="238"/>
      <c r="C152" s="221"/>
      <c r="D152" s="240"/>
      <c r="E152" s="244"/>
      <c r="F152" s="243"/>
      <c r="G152" s="301"/>
      <c r="H152" s="141"/>
    </row>
    <row r="153" spans="2:8">
      <c r="B153" s="238"/>
      <c r="C153" s="773" t="s">
        <v>445</v>
      </c>
      <c r="D153" s="773"/>
      <c r="E153" s="221"/>
      <c r="F153" s="774" t="s">
        <v>446</v>
      </c>
      <c r="G153" s="774"/>
      <c r="H153" s="141"/>
    </row>
    <row r="154" spans="2:8">
      <c r="B154" s="238"/>
      <c r="C154" s="81" t="s">
        <v>447</v>
      </c>
      <c r="D154" s="305"/>
      <c r="E154" s="306"/>
      <c r="F154" s="140" t="s">
        <v>349</v>
      </c>
      <c r="G154" s="307"/>
      <c r="H154" s="141"/>
    </row>
    <row r="155" spans="2:8">
      <c r="B155" s="238"/>
      <c r="C155" s="81" t="s">
        <v>448</v>
      </c>
      <c r="D155" s="302">
        <f>D118</f>
        <v>4380840</v>
      </c>
      <c r="E155" s="306"/>
      <c r="F155" s="140" t="s">
        <v>449</v>
      </c>
      <c r="G155" s="302">
        <f>G118</f>
        <v>9303600</v>
      </c>
      <c r="H155" s="141"/>
    </row>
    <row r="156" spans="2:8">
      <c r="B156" s="238"/>
      <c r="C156" s="81" t="s">
        <v>450</v>
      </c>
      <c r="D156" s="303">
        <f>D119</f>
        <v>7881120</v>
      </c>
      <c r="E156" s="306"/>
      <c r="F156" s="140" t="s">
        <v>451</v>
      </c>
      <c r="G156" s="260">
        <f>G119</f>
        <v>19123560</v>
      </c>
      <c r="H156" s="141"/>
    </row>
    <row r="157" spans="2:8">
      <c r="B157" s="238"/>
      <c r="C157" s="81" t="s">
        <v>452</v>
      </c>
      <c r="D157" s="276">
        <f>D120</f>
        <v>8836440</v>
      </c>
      <c r="E157" s="306"/>
      <c r="F157" s="140" t="s">
        <v>453</v>
      </c>
      <c r="G157" s="111">
        <f>G155+G156</f>
        <v>28427160</v>
      </c>
      <c r="H157" s="141"/>
    </row>
    <row r="158" spans="2:8">
      <c r="B158" s="238"/>
      <c r="C158" s="81" t="s">
        <v>454</v>
      </c>
      <c r="D158" s="302">
        <f>D155+D156+D157</f>
        <v>21098400</v>
      </c>
      <c r="E158" s="306"/>
      <c r="F158" s="140"/>
      <c r="G158" s="307"/>
      <c r="H158" s="141"/>
    </row>
    <row r="159" spans="2:8">
      <c r="B159" s="238"/>
      <c r="C159" s="81"/>
      <c r="D159" s="302"/>
      <c r="E159" s="306"/>
      <c r="F159" s="140" t="s">
        <v>455</v>
      </c>
      <c r="G159" s="518">
        <f>G122</f>
        <v>40480000</v>
      </c>
      <c r="H159" s="141"/>
    </row>
    <row r="160" spans="2:8">
      <c r="B160" s="238"/>
      <c r="C160" s="736"/>
      <c r="D160" s="737"/>
      <c r="E160" s="306"/>
      <c r="F160" s="140"/>
      <c r="G160" s="518"/>
      <c r="H160" s="141"/>
    </row>
    <row r="161" spans="2:8">
      <c r="B161" s="238"/>
      <c r="C161" s="736"/>
      <c r="D161" s="737"/>
      <c r="E161" s="306"/>
      <c r="F161" s="140" t="s">
        <v>457</v>
      </c>
      <c r="G161" s="518"/>
      <c r="H161" s="141"/>
    </row>
    <row r="162" spans="2:8">
      <c r="B162" s="238"/>
      <c r="C162" s="738"/>
      <c r="D162" s="739"/>
      <c r="E162" s="306"/>
      <c r="F162" s="140" t="s">
        <v>458</v>
      </c>
      <c r="G162" s="518">
        <f>G125</f>
        <v>6200000</v>
      </c>
      <c r="H162" s="141"/>
    </row>
    <row r="163" spans="2:8">
      <c r="B163" s="238"/>
      <c r="C163" s="81" t="s">
        <v>208</v>
      </c>
      <c r="D163" s="302"/>
      <c r="E163" s="306"/>
      <c r="F163" s="140" t="s">
        <v>459</v>
      </c>
      <c r="G163" s="260">
        <f>D151+G32</f>
        <v>68511594.60664846</v>
      </c>
      <c r="H163" s="141"/>
    </row>
    <row r="164" spans="2:8">
      <c r="B164" s="238"/>
      <c r="C164" s="81" t="s">
        <v>456</v>
      </c>
      <c r="D164" s="302">
        <f>D30+E134</f>
        <v>142756900</v>
      </c>
      <c r="E164" s="306"/>
      <c r="F164" s="140" t="s">
        <v>460</v>
      </c>
      <c r="G164" s="111">
        <f>SUM(G162:G163)</f>
        <v>74711594.60664846</v>
      </c>
      <c r="H164" s="141"/>
    </row>
    <row r="165" spans="2:8">
      <c r="B165" s="238"/>
      <c r="C165" s="736"/>
      <c r="D165" s="737"/>
      <c r="E165" s="306"/>
      <c r="F165" s="140"/>
      <c r="G165" s="307"/>
      <c r="H165" s="141"/>
    </row>
    <row r="166" spans="2:8" ht="15.75" thickBot="1">
      <c r="B166" s="238"/>
      <c r="C166" s="81" t="s">
        <v>476</v>
      </c>
      <c r="D166" s="304">
        <f>D164+D158</f>
        <v>163855300</v>
      </c>
      <c r="E166" s="306"/>
      <c r="F166" s="140" t="s">
        <v>461</v>
      </c>
      <c r="G166" s="283">
        <f>G164+G159+G157</f>
        <v>143618754.60664845</v>
      </c>
      <c r="H166" s="141"/>
    </row>
    <row r="167" spans="2:8" ht="15.75" thickTop="1">
      <c r="B167" s="238"/>
      <c r="C167" s="221"/>
      <c r="D167" s="240"/>
      <c r="E167" s="244"/>
      <c r="F167" s="243"/>
      <c r="G167" s="301"/>
      <c r="H167" s="141"/>
    </row>
    <row r="168" spans="2:8" ht="15.75">
      <c r="B168" s="238"/>
      <c r="C168" s="221" t="s">
        <v>477</v>
      </c>
      <c r="D168" s="308">
        <f>D166-G166</f>
        <v>20236545.393351555</v>
      </c>
      <c r="E168" s="309"/>
      <c r="F168" s="243"/>
      <c r="G168" s="301"/>
      <c r="H168" s="141"/>
    </row>
    <row r="169" spans="2:8" ht="15.75" thickBot="1">
      <c r="B169" s="246"/>
      <c r="C169" s="90"/>
      <c r="D169" s="229"/>
      <c r="E169" s="230"/>
      <c r="F169" s="231"/>
      <c r="G169" s="314"/>
      <c r="H169" s="164"/>
    </row>
  </sheetData>
  <mergeCells count="10">
    <mergeCell ref="C1:F1"/>
    <mergeCell ref="C153:D153"/>
    <mergeCell ref="F153:G153"/>
    <mergeCell ref="F22:G22"/>
    <mergeCell ref="C22:D22"/>
    <mergeCell ref="C116:D116"/>
    <mergeCell ref="F116:G116"/>
    <mergeCell ref="C2:F2"/>
    <mergeCell ref="C73:D73"/>
    <mergeCell ref="F73:G73"/>
  </mergeCells>
  <phoneticPr fontId="0" type="noConversion"/>
  <pageMargins left="0.75" right="0.75" top="1" bottom="1" header="0.5" footer="0.5"/>
  <pageSetup scale="70" orientation="portrait" horizontalDpi="300" r:id="rId1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>
  <sheetPr codeName="Sheet1"/>
  <dimension ref="A1:AK84"/>
  <sheetViews>
    <sheetView workbookViewId="0"/>
  </sheetViews>
  <sheetFormatPr defaultRowHeight="12.75"/>
  <cols>
    <col min="1" max="1" width="12" customWidth="1"/>
    <col min="2" max="2" width="3.140625" customWidth="1"/>
    <col min="3" max="3" width="26.28515625" customWidth="1"/>
    <col min="4" max="4" width="12.85546875" bestFit="1" customWidth="1"/>
    <col min="5" max="5" width="3.140625" customWidth="1"/>
    <col min="7" max="7" width="11" bestFit="1" customWidth="1"/>
  </cols>
  <sheetData>
    <row r="1" spans="2:7" ht="18">
      <c r="C1" s="7" t="s">
        <v>685</v>
      </c>
      <c r="D1" s="7"/>
      <c r="E1" s="7"/>
      <c r="F1" s="58"/>
      <c r="G1" s="58"/>
    </row>
    <row r="2" spans="2:7" ht="18">
      <c r="C2" s="772" t="s">
        <v>127</v>
      </c>
      <c r="D2" s="772"/>
      <c r="E2" s="7"/>
      <c r="F2" s="58"/>
      <c r="G2" s="58"/>
    </row>
    <row r="4" spans="2:7" ht="15">
      <c r="C4" s="9" t="s">
        <v>34</v>
      </c>
      <c r="D4" s="59"/>
      <c r="E4" s="59"/>
    </row>
    <row r="5" spans="2:7" ht="15.75" thickBot="1">
      <c r="C5" s="60"/>
      <c r="D5" s="61"/>
      <c r="E5" s="59"/>
    </row>
    <row r="6" spans="2:7" ht="15">
      <c r="B6" s="62"/>
      <c r="C6" s="49"/>
      <c r="D6" s="63"/>
      <c r="E6" s="64"/>
    </row>
    <row r="7" spans="2:7" ht="15">
      <c r="B7" s="65"/>
      <c r="C7" s="63" t="s">
        <v>114</v>
      </c>
      <c r="D7" s="66">
        <v>17.5</v>
      </c>
      <c r="E7" s="67"/>
    </row>
    <row r="8" spans="2:7" ht="15">
      <c r="B8" s="65"/>
      <c r="C8" s="63" t="s">
        <v>115</v>
      </c>
      <c r="D8" s="68">
        <v>1.75</v>
      </c>
      <c r="E8" s="69"/>
    </row>
    <row r="9" spans="2:7" ht="15">
      <c r="B9" s="65"/>
      <c r="C9" s="63" t="s">
        <v>116</v>
      </c>
      <c r="D9" s="68">
        <v>45</v>
      </c>
      <c r="E9" s="69"/>
    </row>
    <row r="10" spans="2:7" ht="15">
      <c r="B10" s="65"/>
      <c r="C10" s="63" t="s">
        <v>117</v>
      </c>
      <c r="D10" s="166">
        <v>20</v>
      </c>
      <c r="E10" s="69"/>
    </row>
    <row r="11" spans="2:7" ht="15">
      <c r="B11" s="65"/>
      <c r="C11" s="63" t="s">
        <v>118</v>
      </c>
      <c r="D11" s="70">
        <v>0.05</v>
      </c>
      <c r="E11" s="69"/>
    </row>
    <row r="12" spans="2:7" ht="15">
      <c r="B12" s="65"/>
      <c r="C12" s="63" t="s">
        <v>119</v>
      </c>
      <c r="D12" s="746">
        <f>1000/D9*D19</f>
        <v>680.55555555555554</v>
      </c>
      <c r="E12" s="67"/>
    </row>
    <row r="13" spans="2:7" ht="15">
      <c r="B13" s="65"/>
      <c r="C13" s="63" t="s">
        <v>120</v>
      </c>
      <c r="D13" s="70">
        <v>0.08</v>
      </c>
      <c r="E13" s="69"/>
    </row>
    <row r="14" spans="2:7" ht="15.75" thickBot="1">
      <c r="B14" s="72"/>
      <c r="C14" s="73"/>
      <c r="D14" s="73"/>
      <c r="E14" s="74"/>
    </row>
    <row r="15" spans="2:7" ht="15">
      <c r="C15" s="59"/>
      <c r="D15" s="59"/>
      <c r="E15" s="59"/>
    </row>
    <row r="16" spans="2:7" ht="15">
      <c r="C16" s="9" t="s">
        <v>51</v>
      </c>
      <c r="D16" s="59"/>
      <c r="E16" s="59"/>
    </row>
    <row r="17" spans="1:37" ht="13.5" thickBot="1">
      <c r="F17" s="75"/>
    </row>
    <row r="18" spans="1:37" ht="15">
      <c r="A18" s="59"/>
      <c r="B18" s="76"/>
      <c r="C18" s="77"/>
      <c r="D18" s="78"/>
      <c r="E18" s="79"/>
      <c r="F18" s="59"/>
      <c r="G18" s="59"/>
      <c r="H18" s="59"/>
      <c r="I18" s="59"/>
      <c r="J18" s="59"/>
      <c r="K18" s="59"/>
      <c r="L18" s="59"/>
      <c r="M18" s="59"/>
      <c r="N18" s="59"/>
      <c r="O18" s="59"/>
      <c r="P18" s="59"/>
      <c r="Q18" s="59"/>
      <c r="R18" s="59"/>
      <c r="S18" s="59"/>
      <c r="T18" s="59"/>
      <c r="U18" s="59"/>
      <c r="V18" s="59"/>
      <c r="W18" s="59"/>
      <c r="X18" s="59"/>
      <c r="Y18" s="59"/>
      <c r="Z18" s="59"/>
      <c r="AA18" s="59"/>
      <c r="AB18" s="59"/>
      <c r="AC18" s="59"/>
      <c r="AD18" s="59"/>
      <c r="AE18" s="59"/>
      <c r="AF18" s="59"/>
      <c r="AG18" s="59"/>
      <c r="AH18" s="59"/>
      <c r="AI18" s="59"/>
      <c r="AJ18" s="59"/>
    </row>
    <row r="19" spans="1:37" ht="15.75">
      <c r="A19" s="59"/>
      <c r="B19" s="80"/>
      <c r="C19" s="81" t="s">
        <v>121</v>
      </c>
      <c r="D19" s="37">
        <f>D8*D7</f>
        <v>30.625</v>
      </c>
      <c r="E19" s="82"/>
      <c r="F19" s="59"/>
      <c r="G19" s="59"/>
      <c r="H19" s="59"/>
      <c r="I19" s="59"/>
      <c r="J19" s="59"/>
      <c r="K19" s="59"/>
      <c r="L19" s="59"/>
      <c r="M19" s="59"/>
      <c r="N19" s="59"/>
      <c r="O19" s="59"/>
      <c r="P19" s="59"/>
      <c r="Q19" s="59"/>
      <c r="R19" s="59"/>
      <c r="S19" s="59"/>
      <c r="T19" s="59"/>
      <c r="U19" s="59"/>
      <c r="V19" s="59"/>
      <c r="W19" s="59"/>
      <c r="X19" s="59"/>
      <c r="Y19" s="59"/>
      <c r="Z19" s="59"/>
      <c r="AA19" s="59"/>
      <c r="AB19" s="59"/>
      <c r="AC19" s="59"/>
      <c r="AD19" s="59"/>
      <c r="AE19" s="59"/>
      <c r="AF19" s="59"/>
      <c r="AG19" s="59"/>
      <c r="AH19" s="59"/>
      <c r="AI19" s="59"/>
      <c r="AJ19" s="59"/>
    </row>
    <row r="20" spans="1:37" ht="15">
      <c r="A20" s="59"/>
      <c r="B20" s="80"/>
      <c r="C20" s="81"/>
      <c r="D20" s="83"/>
      <c r="E20" s="82"/>
      <c r="F20" s="59"/>
      <c r="G20" s="59"/>
      <c r="H20" s="59"/>
      <c r="I20" s="59"/>
      <c r="J20" s="59"/>
      <c r="K20" s="59"/>
      <c r="L20" s="59"/>
      <c r="M20" s="59"/>
      <c r="N20" s="59"/>
      <c r="O20" s="59"/>
      <c r="P20" s="59"/>
      <c r="Q20" s="59"/>
      <c r="R20" s="59"/>
      <c r="S20" s="59"/>
      <c r="T20" s="59"/>
      <c r="U20" s="59"/>
      <c r="V20" s="59"/>
      <c r="W20" s="59"/>
      <c r="X20" s="59"/>
      <c r="Y20" s="59"/>
      <c r="Z20" s="59"/>
      <c r="AA20" s="59"/>
      <c r="AB20" s="59"/>
      <c r="AC20" s="59"/>
      <c r="AD20" s="59"/>
      <c r="AE20" s="59"/>
      <c r="AF20" s="59"/>
      <c r="AG20" s="59"/>
      <c r="AH20" s="59"/>
      <c r="AI20" s="59"/>
      <c r="AJ20" s="59"/>
    </row>
    <row r="21" spans="1:37" ht="15">
      <c r="A21" s="59"/>
      <c r="B21" s="80"/>
      <c r="C21" s="81" t="s">
        <v>122</v>
      </c>
      <c r="D21" s="84">
        <f>-PV(D13/2,D10*2,D11*1000/2,1000)</f>
        <v>703.10839174860291</v>
      </c>
      <c r="E21" s="82"/>
      <c r="F21" s="59"/>
      <c r="G21" s="59"/>
      <c r="H21" s="59"/>
      <c r="I21" s="59"/>
      <c r="J21" s="59"/>
      <c r="K21" s="59"/>
      <c r="L21" s="59"/>
      <c r="M21" s="59"/>
      <c r="N21" s="59"/>
      <c r="O21" s="59"/>
      <c r="P21" s="59"/>
      <c r="Q21" s="59"/>
      <c r="R21" s="59"/>
      <c r="S21" s="59"/>
      <c r="T21" s="59"/>
      <c r="U21" s="59"/>
      <c r="V21" s="59"/>
      <c r="W21" s="59"/>
      <c r="X21" s="59"/>
      <c r="Y21" s="59"/>
      <c r="Z21" s="59"/>
      <c r="AA21" s="59"/>
      <c r="AB21" s="59"/>
      <c r="AC21" s="59"/>
      <c r="AD21" s="59"/>
      <c r="AE21" s="59"/>
      <c r="AF21" s="59"/>
      <c r="AG21" s="59"/>
      <c r="AH21" s="59"/>
      <c r="AI21" s="59"/>
      <c r="AJ21" s="59"/>
    </row>
    <row r="22" spans="1:37" ht="15">
      <c r="A22" s="59"/>
      <c r="B22" s="80"/>
      <c r="C22" s="81"/>
      <c r="D22" s="85"/>
      <c r="E22" s="82"/>
      <c r="F22" s="59"/>
      <c r="G22" s="59"/>
      <c r="H22" s="59"/>
      <c r="I22" s="59"/>
      <c r="J22" s="59"/>
      <c r="K22" s="59"/>
      <c r="L22" s="59"/>
      <c r="M22" s="59"/>
      <c r="N22" s="59"/>
      <c r="O22" s="59"/>
      <c r="P22" s="59"/>
      <c r="Q22" s="59"/>
      <c r="R22" s="59"/>
      <c r="S22" s="59"/>
      <c r="T22" s="59"/>
      <c r="U22" s="59"/>
      <c r="V22" s="59"/>
      <c r="W22" s="59"/>
      <c r="X22" s="59"/>
      <c r="Y22" s="59"/>
      <c r="Z22" s="59"/>
      <c r="AA22" s="59"/>
      <c r="AB22" s="59"/>
      <c r="AC22" s="59"/>
      <c r="AD22" s="59"/>
      <c r="AE22" s="59"/>
      <c r="AF22" s="59"/>
      <c r="AG22" s="59"/>
      <c r="AH22" s="59"/>
      <c r="AI22" s="59"/>
      <c r="AJ22" s="59"/>
    </row>
    <row r="23" spans="1:37" ht="15.75">
      <c r="A23" s="59"/>
      <c r="B23" s="80"/>
      <c r="C23" s="81" t="s">
        <v>123</v>
      </c>
      <c r="D23" s="37">
        <f>MAX(D21,D12)</f>
        <v>703.10839174860291</v>
      </c>
      <c r="E23" s="82"/>
      <c r="F23" s="59"/>
      <c r="G23" s="59"/>
      <c r="H23" s="59"/>
      <c r="I23" s="59"/>
      <c r="J23" s="59"/>
      <c r="K23" s="59"/>
      <c r="L23" s="59"/>
      <c r="M23" s="59"/>
      <c r="N23" s="59"/>
      <c r="O23" s="59"/>
      <c r="P23" s="59"/>
      <c r="Q23" s="59"/>
      <c r="R23" s="59"/>
      <c r="S23" s="59"/>
      <c r="T23" s="59"/>
      <c r="U23" s="59"/>
      <c r="V23" s="59"/>
      <c r="W23" s="59"/>
      <c r="X23" s="59"/>
      <c r="Y23" s="59"/>
      <c r="Z23" s="59"/>
      <c r="AA23" s="59"/>
      <c r="AB23" s="59"/>
      <c r="AC23" s="59"/>
      <c r="AD23" s="59"/>
      <c r="AE23" s="59"/>
      <c r="AF23" s="59"/>
      <c r="AG23" s="59"/>
      <c r="AH23" s="59"/>
      <c r="AI23" s="59"/>
      <c r="AJ23" s="59"/>
    </row>
    <row r="24" spans="1:37" ht="15">
      <c r="A24" s="59"/>
      <c r="B24" s="80"/>
      <c r="C24" s="81"/>
      <c r="D24" s="81"/>
      <c r="E24" s="82"/>
      <c r="F24" s="59"/>
      <c r="G24" s="59"/>
      <c r="H24" s="59"/>
      <c r="I24" s="59"/>
      <c r="J24" s="59"/>
      <c r="K24" s="59"/>
      <c r="L24" s="59"/>
      <c r="M24" s="59"/>
      <c r="N24" s="59"/>
      <c r="O24" s="59"/>
      <c r="P24" s="59"/>
      <c r="Q24" s="59"/>
      <c r="R24" s="59"/>
      <c r="S24" s="59"/>
      <c r="T24" s="59"/>
      <c r="U24" s="59"/>
      <c r="V24" s="59"/>
      <c r="W24" s="59"/>
      <c r="X24" s="59"/>
      <c r="Y24" s="59"/>
      <c r="Z24" s="59"/>
      <c r="AA24" s="59"/>
      <c r="AB24" s="59"/>
      <c r="AC24" s="59"/>
      <c r="AD24" s="59"/>
      <c r="AE24" s="59"/>
      <c r="AF24" s="59"/>
      <c r="AG24" s="59"/>
      <c r="AH24" s="59"/>
      <c r="AI24" s="59"/>
      <c r="AJ24" s="59"/>
    </row>
    <row r="25" spans="1:37" ht="15.75">
      <c r="A25" s="59"/>
      <c r="B25" s="80"/>
      <c r="C25" s="81" t="s">
        <v>124</v>
      </c>
      <c r="D25" s="86">
        <f>1000/D9</f>
        <v>22.222222222222221</v>
      </c>
      <c r="E25" s="82"/>
      <c r="F25" s="59"/>
      <c r="G25" s="747"/>
      <c r="H25" s="59"/>
      <c r="I25" s="59"/>
      <c r="J25" s="59"/>
      <c r="K25" s="59"/>
      <c r="L25" s="59"/>
      <c r="M25" s="59"/>
      <c r="N25" s="59"/>
      <c r="O25" s="59"/>
      <c r="P25" s="59"/>
      <c r="Q25" s="59"/>
      <c r="R25" s="59"/>
      <c r="S25" s="59"/>
      <c r="T25" s="59"/>
      <c r="U25" s="59"/>
      <c r="V25" s="59"/>
      <c r="W25" s="59"/>
      <c r="X25" s="59"/>
      <c r="Y25" s="59"/>
      <c r="Z25" s="59"/>
      <c r="AA25" s="59"/>
      <c r="AB25" s="59"/>
      <c r="AC25" s="59"/>
      <c r="AD25" s="59"/>
      <c r="AE25" s="59"/>
      <c r="AF25" s="59"/>
      <c r="AG25" s="59"/>
      <c r="AH25" s="59"/>
      <c r="AI25" s="59"/>
      <c r="AJ25" s="59"/>
    </row>
    <row r="26" spans="1:37" ht="15">
      <c r="A26" s="59"/>
      <c r="B26" s="80"/>
      <c r="C26" s="81"/>
      <c r="D26" s="81"/>
      <c r="E26" s="82"/>
      <c r="F26" s="59"/>
      <c r="G26" s="59"/>
      <c r="H26" s="59"/>
      <c r="I26" s="59"/>
      <c r="J26" s="59"/>
      <c r="K26" s="59"/>
      <c r="L26" s="59"/>
      <c r="M26" s="59"/>
      <c r="N26" s="59"/>
      <c r="O26" s="59"/>
      <c r="P26" s="59"/>
      <c r="Q26" s="59"/>
      <c r="R26" s="59"/>
      <c r="S26" s="59"/>
      <c r="T26" s="59"/>
      <c r="U26" s="59"/>
      <c r="V26" s="59"/>
      <c r="W26" s="59"/>
      <c r="X26" s="59"/>
      <c r="Y26" s="59"/>
      <c r="Z26" s="59"/>
      <c r="AA26" s="59"/>
      <c r="AB26" s="59"/>
      <c r="AC26" s="59"/>
      <c r="AD26" s="59"/>
      <c r="AE26" s="59"/>
      <c r="AF26" s="59"/>
      <c r="AG26" s="59"/>
      <c r="AH26" s="59"/>
      <c r="AI26" s="59"/>
      <c r="AJ26" s="59"/>
    </row>
    <row r="27" spans="1:37" ht="15.75">
      <c r="A27" s="59"/>
      <c r="B27" s="80"/>
      <c r="C27" s="81" t="s">
        <v>125</v>
      </c>
      <c r="D27" s="44">
        <f>(D9-D19)/D19</f>
        <v>0.46938775510204084</v>
      </c>
      <c r="E27" s="82"/>
      <c r="F27" s="59"/>
      <c r="G27" s="59"/>
      <c r="H27" s="59"/>
      <c r="I27" s="59"/>
      <c r="J27" s="59"/>
      <c r="K27" s="59"/>
      <c r="L27" s="59"/>
      <c r="M27" s="59"/>
      <c r="N27" s="59"/>
      <c r="O27" s="59"/>
      <c r="P27" s="59"/>
      <c r="Q27" s="59"/>
      <c r="R27" s="59"/>
      <c r="S27" s="59"/>
      <c r="T27" s="59"/>
      <c r="U27" s="59"/>
      <c r="V27" s="59"/>
      <c r="W27" s="59"/>
      <c r="X27" s="59"/>
      <c r="Y27" s="59"/>
      <c r="Z27" s="59"/>
      <c r="AA27" s="59"/>
      <c r="AB27" s="59"/>
      <c r="AC27" s="59"/>
      <c r="AD27" s="59"/>
      <c r="AE27" s="59"/>
      <c r="AF27" s="59"/>
      <c r="AG27" s="59"/>
      <c r="AH27" s="59"/>
      <c r="AI27" s="59"/>
      <c r="AJ27" s="59"/>
    </row>
    <row r="28" spans="1:37" ht="15.75">
      <c r="A28" s="59"/>
      <c r="B28" s="80"/>
      <c r="C28" s="81"/>
      <c r="D28" s="87"/>
      <c r="E28" s="82"/>
      <c r="F28" s="59"/>
      <c r="G28" s="59"/>
      <c r="H28" s="59"/>
      <c r="I28" s="59"/>
      <c r="J28" s="59"/>
      <c r="K28" s="59"/>
      <c r="L28" s="59"/>
      <c r="M28" s="59"/>
      <c r="N28" s="59"/>
      <c r="O28" s="59"/>
      <c r="P28" s="59"/>
      <c r="Q28" s="59"/>
      <c r="R28" s="59"/>
      <c r="S28" s="59"/>
      <c r="T28" s="59"/>
      <c r="U28" s="59"/>
      <c r="V28" s="59"/>
      <c r="W28" s="59"/>
      <c r="X28" s="59"/>
      <c r="Y28" s="59"/>
      <c r="Z28" s="59"/>
      <c r="AA28" s="59"/>
      <c r="AB28" s="59"/>
      <c r="AC28" s="59"/>
      <c r="AD28" s="59"/>
      <c r="AE28" s="59"/>
      <c r="AF28" s="59"/>
      <c r="AG28" s="59"/>
      <c r="AH28" s="59"/>
      <c r="AI28" s="59"/>
      <c r="AJ28" s="59"/>
    </row>
    <row r="29" spans="1:37" ht="15.75">
      <c r="A29" s="59"/>
      <c r="B29" s="80"/>
      <c r="C29" s="81" t="s">
        <v>126</v>
      </c>
      <c r="D29" s="88">
        <f>1000-D23</f>
        <v>296.89160825139709</v>
      </c>
      <c r="E29" s="82"/>
      <c r="F29" s="59"/>
      <c r="G29" s="59"/>
      <c r="H29" s="59"/>
      <c r="I29" s="59"/>
      <c r="J29" s="59"/>
      <c r="K29" s="59"/>
      <c r="L29" s="59"/>
      <c r="M29" s="59"/>
      <c r="N29" s="59"/>
      <c r="O29" s="59"/>
      <c r="P29" s="59"/>
      <c r="Q29" s="59"/>
      <c r="R29" s="59"/>
      <c r="S29" s="59"/>
      <c r="T29" s="59"/>
      <c r="U29" s="59"/>
      <c r="V29" s="59"/>
      <c r="W29" s="59"/>
      <c r="X29" s="59"/>
      <c r="Y29" s="59"/>
      <c r="Z29" s="59"/>
      <c r="AA29" s="59"/>
      <c r="AB29" s="59"/>
      <c r="AC29" s="59"/>
      <c r="AD29" s="59"/>
      <c r="AE29" s="59"/>
      <c r="AF29" s="59"/>
      <c r="AG29" s="59"/>
      <c r="AH29" s="59"/>
      <c r="AI29" s="59"/>
      <c r="AJ29" s="59"/>
    </row>
    <row r="30" spans="1:37" ht="15.75" thickBot="1">
      <c r="A30" s="59"/>
      <c r="B30" s="89"/>
      <c r="C30" s="90"/>
      <c r="D30" s="90"/>
      <c r="E30" s="91"/>
      <c r="F30" s="59"/>
      <c r="G30" s="59"/>
      <c r="H30" s="59"/>
      <c r="I30" s="59"/>
      <c r="J30" s="59"/>
      <c r="K30" s="59"/>
      <c r="L30" s="59"/>
      <c r="M30" s="59"/>
      <c r="N30" s="59"/>
      <c r="O30" s="59"/>
      <c r="P30" s="59"/>
      <c r="Q30" s="59"/>
      <c r="R30" s="59"/>
      <c r="S30" s="59"/>
      <c r="T30" s="59"/>
      <c r="U30" s="59"/>
      <c r="V30" s="59"/>
      <c r="W30" s="59"/>
      <c r="X30" s="59"/>
      <c r="Y30" s="59"/>
      <c r="Z30" s="59"/>
      <c r="AA30" s="59"/>
      <c r="AB30" s="59"/>
      <c r="AC30" s="59"/>
      <c r="AD30" s="59"/>
      <c r="AE30" s="59"/>
      <c r="AF30" s="59"/>
      <c r="AG30" s="59"/>
      <c r="AH30" s="59"/>
      <c r="AI30" s="59"/>
      <c r="AJ30" s="59"/>
    </row>
    <row r="31" spans="1:37" ht="15">
      <c r="A31" s="59"/>
      <c r="B31" s="59"/>
      <c r="C31" s="59"/>
      <c r="D31" s="59"/>
      <c r="E31" s="59"/>
      <c r="F31" s="59"/>
      <c r="G31" s="59"/>
      <c r="H31" s="59"/>
      <c r="I31" s="59"/>
      <c r="J31" s="59"/>
      <c r="K31" s="59"/>
      <c r="L31" s="59"/>
      <c r="M31" s="59"/>
      <c r="N31" s="59"/>
      <c r="O31" s="59"/>
      <c r="P31" s="59"/>
      <c r="Q31" s="59"/>
      <c r="R31" s="59"/>
      <c r="S31" s="59"/>
      <c r="T31" s="59"/>
      <c r="U31" s="59"/>
      <c r="V31" s="59"/>
      <c r="W31" s="59"/>
      <c r="X31" s="59"/>
      <c r="Y31" s="59"/>
      <c r="Z31" s="59"/>
      <c r="AA31" s="59"/>
      <c r="AB31" s="59"/>
      <c r="AC31" s="59"/>
      <c r="AD31" s="59"/>
      <c r="AE31" s="59"/>
      <c r="AF31" s="59"/>
      <c r="AG31" s="59"/>
      <c r="AH31" s="59"/>
      <c r="AI31" s="59"/>
      <c r="AJ31" s="59"/>
    </row>
    <row r="32" spans="1:37" ht="15">
      <c r="A32" s="59"/>
      <c r="B32" s="59"/>
      <c r="C32" s="59"/>
      <c r="D32" s="59"/>
      <c r="E32" s="59"/>
      <c r="F32" s="59"/>
      <c r="G32" s="59"/>
      <c r="H32" s="59"/>
      <c r="I32" s="59"/>
      <c r="J32" s="59"/>
      <c r="K32" s="59"/>
      <c r="L32" s="59"/>
      <c r="M32" s="59"/>
      <c r="N32" s="59"/>
      <c r="O32" s="59"/>
      <c r="P32" s="59"/>
      <c r="Q32" s="59"/>
      <c r="R32" s="59"/>
      <c r="S32" s="59"/>
      <c r="T32" s="59"/>
      <c r="U32" s="59"/>
      <c r="V32" s="59"/>
      <c r="W32" s="59"/>
      <c r="X32" s="59"/>
      <c r="Y32" s="59"/>
      <c r="Z32" s="59"/>
      <c r="AA32" s="59"/>
      <c r="AB32" s="59"/>
      <c r="AC32" s="59"/>
      <c r="AD32" s="59"/>
      <c r="AE32" s="59"/>
      <c r="AF32" s="59"/>
      <c r="AG32" s="59"/>
      <c r="AH32" s="59"/>
      <c r="AI32" s="59"/>
      <c r="AJ32" s="59"/>
      <c r="AK32" s="59"/>
    </row>
    <row r="33" spans="1:37" ht="15">
      <c r="A33" s="59"/>
      <c r="B33" s="59"/>
      <c r="C33" s="59"/>
      <c r="D33" s="59"/>
      <c r="E33" s="59"/>
      <c r="F33" s="59"/>
      <c r="G33" s="59"/>
      <c r="H33" s="59"/>
      <c r="I33" s="59"/>
      <c r="J33" s="59"/>
      <c r="K33" s="59"/>
      <c r="L33" s="59"/>
      <c r="M33" s="59"/>
      <c r="N33" s="59"/>
      <c r="O33" s="59"/>
      <c r="P33" s="59"/>
      <c r="Q33" s="59"/>
      <c r="R33" s="59"/>
      <c r="S33" s="59"/>
      <c r="T33" s="59"/>
      <c r="U33" s="59"/>
      <c r="V33" s="59"/>
      <c r="W33" s="59"/>
      <c r="X33" s="59"/>
      <c r="Y33" s="59"/>
      <c r="Z33" s="59"/>
      <c r="AA33" s="59"/>
      <c r="AB33" s="59"/>
      <c r="AC33" s="59"/>
      <c r="AD33" s="59"/>
      <c r="AE33" s="59"/>
      <c r="AF33" s="59"/>
      <c r="AG33" s="59"/>
      <c r="AH33" s="59"/>
      <c r="AI33" s="59"/>
      <c r="AJ33" s="59"/>
      <c r="AK33" s="59"/>
    </row>
    <row r="34" spans="1:37" ht="15">
      <c r="A34" s="59"/>
      <c r="B34" s="59"/>
      <c r="C34" s="59"/>
      <c r="D34" s="59"/>
      <c r="E34" s="59"/>
      <c r="F34" s="59"/>
      <c r="G34" s="59"/>
      <c r="H34" s="59"/>
      <c r="I34" s="59"/>
      <c r="J34" s="59"/>
      <c r="K34" s="59"/>
      <c r="L34" s="59"/>
      <c r="M34" s="59"/>
      <c r="N34" s="59"/>
      <c r="O34" s="59"/>
      <c r="P34" s="59"/>
      <c r="Q34" s="59"/>
      <c r="R34" s="59"/>
      <c r="S34" s="59"/>
      <c r="T34" s="59"/>
      <c r="U34" s="59"/>
      <c r="V34" s="59"/>
      <c r="W34" s="59"/>
      <c r="X34" s="59"/>
      <c r="Y34" s="59"/>
      <c r="Z34" s="59"/>
      <c r="AA34" s="59"/>
      <c r="AB34" s="59"/>
      <c r="AC34" s="59"/>
      <c r="AD34" s="59"/>
      <c r="AE34" s="59"/>
      <c r="AF34" s="59"/>
      <c r="AG34" s="59"/>
      <c r="AH34" s="59"/>
      <c r="AI34" s="59"/>
      <c r="AJ34" s="59"/>
      <c r="AK34" s="59"/>
    </row>
    <row r="35" spans="1:37" ht="15">
      <c r="A35" s="59"/>
      <c r="B35" s="59"/>
      <c r="C35" s="59"/>
      <c r="D35" s="59"/>
      <c r="E35" s="59"/>
      <c r="F35" s="59"/>
      <c r="G35" s="59"/>
      <c r="H35" s="59"/>
      <c r="I35" s="59"/>
      <c r="J35" s="59"/>
      <c r="K35" s="59"/>
      <c r="L35" s="59"/>
      <c r="M35" s="59"/>
      <c r="N35" s="59"/>
      <c r="O35" s="59"/>
      <c r="P35" s="59"/>
      <c r="Q35" s="59"/>
      <c r="R35" s="59"/>
      <c r="S35" s="59"/>
      <c r="T35" s="59"/>
      <c r="U35" s="59"/>
      <c r="V35" s="59"/>
      <c r="W35" s="59"/>
      <c r="X35" s="59"/>
      <c r="Y35" s="59"/>
      <c r="Z35" s="59"/>
      <c r="AA35" s="59"/>
      <c r="AB35" s="59"/>
      <c r="AC35" s="59"/>
      <c r="AD35" s="59"/>
      <c r="AE35" s="59"/>
      <c r="AF35" s="59"/>
      <c r="AG35" s="59"/>
      <c r="AH35" s="59"/>
      <c r="AI35" s="59"/>
      <c r="AJ35" s="59"/>
      <c r="AK35" s="59"/>
    </row>
    <row r="36" spans="1:37" ht="15">
      <c r="A36" s="59"/>
      <c r="B36" s="59"/>
      <c r="C36" s="59"/>
      <c r="D36" s="59"/>
      <c r="E36" s="59"/>
      <c r="F36" s="59"/>
      <c r="G36" s="59"/>
      <c r="H36" s="59"/>
      <c r="I36" s="59"/>
      <c r="J36" s="59"/>
      <c r="K36" s="59"/>
      <c r="L36" s="59"/>
      <c r="M36" s="59"/>
      <c r="N36" s="59"/>
      <c r="O36" s="59"/>
      <c r="P36" s="59"/>
      <c r="Q36" s="59"/>
      <c r="R36" s="59"/>
      <c r="S36" s="59"/>
      <c r="T36" s="59"/>
      <c r="U36" s="59"/>
      <c r="V36" s="59"/>
      <c r="W36" s="59"/>
      <c r="X36" s="59"/>
      <c r="Y36" s="59"/>
      <c r="Z36" s="59"/>
      <c r="AA36" s="59"/>
      <c r="AB36" s="59"/>
      <c r="AC36" s="59"/>
      <c r="AD36" s="59"/>
      <c r="AE36" s="59"/>
      <c r="AF36" s="59"/>
      <c r="AG36" s="59"/>
      <c r="AH36" s="59"/>
      <c r="AI36" s="59"/>
      <c r="AJ36" s="59"/>
      <c r="AK36" s="59"/>
    </row>
    <row r="37" spans="1:37" ht="15">
      <c r="A37" s="59"/>
      <c r="B37" s="59"/>
      <c r="C37" s="59"/>
      <c r="D37" s="59"/>
      <c r="E37" s="59"/>
      <c r="F37" s="59"/>
      <c r="G37" s="59"/>
      <c r="H37" s="59"/>
      <c r="I37" s="59"/>
      <c r="J37" s="59"/>
      <c r="K37" s="59"/>
      <c r="L37" s="59"/>
      <c r="M37" s="59"/>
      <c r="N37" s="59"/>
      <c r="O37" s="59"/>
      <c r="P37" s="59"/>
      <c r="Q37" s="59"/>
      <c r="R37" s="59"/>
      <c r="S37" s="59"/>
      <c r="T37" s="59"/>
      <c r="U37" s="59"/>
      <c r="V37" s="59"/>
      <c r="W37" s="59"/>
      <c r="X37" s="59"/>
      <c r="Y37" s="59"/>
      <c r="Z37" s="59"/>
      <c r="AA37" s="59"/>
      <c r="AB37" s="59"/>
      <c r="AC37" s="59"/>
      <c r="AD37" s="59"/>
      <c r="AE37" s="59"/>
      <c r="AF37" s="59"/>
      <c r="AG37" s="59"/>
      <c r="AH37" s="59"/>
      <c r="AI37" s="59"/>
      <c r="AJ37" s="59"/>
      <c r="AK37" s="59"/>
    </row>
    <row r="38" spans="1:37" ht="15">
      <c r="A38" s="59"/>
      <c r="B38" s="59"/>
      <c r="C38" s="59"/>
      <c r="D38" s="59"/>
      <c r="E38" s="59"/>
      <c r="F38" s="59"/>
      <c r="G38" s="59"/>
      <c r="H38" s="59"/>
      <c r="I38" s="59"/>
      <c r="J38" s="59"/>
      <c r="K38" s="59"/>
      <c r="L38" s="59"/>
      <c r="M38" s="59"/>
      <c r="N38" s="59"/>
      <c r="O38" s="59"/>
      <c r="P38" s="59"/>
      <c r="Q38" s="59"/>
      <c r="R38" s="59"/>
      <c r="S38" s="59"/>
      <c r="T38" s="59"/>
      <c r="U38" s="59"/>
      <c r="V38" s="59"/>
      <c r="W38" s="59"/>
      <c r="X38" s="59"/>
      <c r="Y38" s="59"/>
      <c r="Z38" s="59"/>
      <c r="AA38" s="59"/>
      <c r="AB38" s="59"/>
      <c r="AC38" s="59"/>
      <c r="AD38" s="59"/>
      <c r="AE38" s="59"/>
      <c r="AF38" s="59"/>
      <c r="AG38" s="59"/>
      <c r="AH38" s="59"/>
      <c r="AI38" s="59"/>
      <c r="AJ38" s="59"/>
      <c r="AK38" s="59"/>
    </row>
    <row r="39" spans="1:37" ht="15">
      <c r="A39" s="59"/>
      <c r="B39" s="59"/>
      <c r="C39" s="59"/>
      <c r="D39" s="59"/>
      <c r="E39" s="59"/>
      <c r="F39" s="59"/>
      <c r="G39" s="59"/>
      <c r="H39" s="59"/>
      <c r="I39" s="59"/>
      <c r="J39" s="59"/>
      <c r="K39" s="59"/>
      <c r="L39" s="59"/>
      <c r="M39" s="59"/>
      <c r="N39" s="59"/>
      <c r="O39" s="59"/>
      <c r="P39" s="59"/>
      <c r="Q39" s="59"/>
      <c r="R39" s="59"/>
      <c r="S39" s="59"/>
      <c r="T39" s="59"/>
      <c r="U39" s="59"/>
      <c r="V39" s="59"/>
      <c r="W39" s="59"/>
      <c r="X39" s="59"/>
      <c r="Y39" s="59"/>
      <c r="Z39" s="59"/>
      <c r="AA39" s="59"/>
      <c r="AB39" s="59"/>
      <c r="AC39" s="59"/>
      <c r="AD39" s="59"/>
      <c r="AE39" s="59"/>
      <c r="AF39" s="59"/>
      <c r="AG39" s="59"/>
      <c r="AH39" s="59"/>
      <c r="AI39" s="59"/>
      <c r="AJ39" s="59"/>
      <c r="AK39" s="59"/>
    </row>
    <row r="40" spans="1:37" ht="15">
      <c r="A40" s="59"/>
      <c r="B40" s="59"/>
      <c r="C40" s="59"/>
      <c r="D40" s="59"/>
      <c r="E40" s="59"/>
      <c r="F40" s="59"/>
      <c r="G40" s="59"/>
      <c r="H40" s="59"/>
      <c r="I40" s="59"/>
      <c r="J40" s="59"/>
      <c r="K40" s="59"/>
      <c r="L40" s="59"/>
      <c r="M40" s="59"/>
      <c r="N40" s="59"/>
      <c r="O40" s="59"/>
      <c r="P40" s="59"/>
      <c r="Q40" s="59"/>
      <c r="R40" s="59"/>
      <c r="S40" s="59"/>
      <c r="T40" s="59"/>
      <c r="U40" s="59"/>
      <c r="V40" s="59"/>
      <c r="W40" s="59"/>
      <c r="X40" s="59"/>
      <c r="Y40" s="59"/>
      <c r="Z40" s="59"/>
      <c r="AA40" s="59"/>
      <c r="AB40" s="59"/>
      <c r="AC40" s="59"/>
      <c r="AD40" s="59"/>
      <c r="AE40" s="59"/>
      <c r="AF40" s="59"/>
      <c r="AG40" s="59"/>
      <c r="AH40" s="59"/>
      <c r="AI40" s="59"/>
      <c r="AJ40" s="59"/>
      <c r="AK40" s="59"/>
    </row>
    <row r="41" spans="1:37" ht="15">
      <c r="A41" s="59"/>
      <c r="B41" s="59"/>
      <c r="C41" s="59"/>
      <c r="D41" s="59"/>
      <c r="E41" s="59"/>
      <c r="F41" s="59"/>
      <c r="G41" s="59"/>
      <c r="H41" s="59"/>
      <c r="I41" s="59"/>
      <c r="J41" s="59"/>
      <c r="K41" s="59"/>
      <c r="L41" s="59"/>
      <c r="M41" s="59"/>
      <c r="N41" s="59"/>
      <c r="O41" s="59"/>
      <c r="P41" s="59"/>
      <c r="Q41" s="59"/>
      <c r="R41" s="59"/>
      <c r="S41" s="59"/>
      <c r="T41" s="59"/>
      <c r="U41" s="59"/>
      <c r="V41" s="59"/>
      <c r="W41" s="59"/>
      <c r="X41" s="59"/>
      <c r="Y41" s="59"/>
      <c r="Z41" s="59"/>
      <c r="AA41" s="59"/>
      <c r="AB41" s="59"/>
      <c r="AC41" s="59"/>
      <c r="AD41" s="59"/>
      <c r="AE41" s="59"/>
      <c r="AF41" s="59"/>
      <c r="AG41" s="59"/>
      <c r="AH41" s="59"/>
      <c r="AI41" s="59"/>
      <c r="AJ41" s="59"/>
      <c r="AK41" s="59"/>
    </row>
    <row r="42" spans="1:37" ht="15">
      <c r="A42" s="59"/>
      <c r="B42" s="59"/>
      <c r="C42" s="59"/>
      <c r="D42" s="59"/>
      <c r="E42" s="59"/>
      <c r="F42" s="59"/>
      <c r="G42" s="59"/>
      <c r="H42" s="59"/>
      <c r="I42" s="59"/>
      <c r="J42" s="59"/>
      <c r="K42" s="59"/>
      <c r="L42" s="59"/>
      <c r="M42" s="59"/>
      <c r="N42" s="59"/>
      <c r="O42" s="59"/>
      <c r="P42" s="59"/>
      <c r="Q42" s="59"/>
      <c r="R42" s="59"/>
      <c r="S42" s="59"/>
      <c r="T42" s="59"/>
      <c r="U42" s="59"/>
      <c r="V42" s="59"/>
      <c r="W42" s="59"/>
      <c r="X42" s="59"/>
      <c r="Y42" s="59"/>
      <c r="Z42" s="59"/>
      <c r="AA42" s="59"/>
      <c r="AB42" s="59"/>
      <c r="AC42" s="59"/>
      <c r="AD42" s="59"/>
      <c r="AE42" s="59"/>
      <c r="AF42" s="59"/>
      <c r="AG42" s="59"/>
      <c r="AH42" s="59"/>
      <c r="AI42" s="59"/>
      <c r="AJ42" s="59"/>
      <c r="AK42" s="59"/>
    </row>
    <row r="43" spans="1:37" ht="15">
      <c r="A43" s="59"/>
      <c r="B43" s="59"/>
      <c r="C43" s="59"/>
      <c r="D43" s="59"/>
      <c r="E43" s="59"/>
      <c r="F43" s="59"/>
      <c r="G43" s="59"/>
      <c r="H43" s="59"/>
      <c r="I43" s="59"/>
      <c r="J43" s="59"/>
      <c r="K43" s="59"/>
      <c r="L43" s="59"/>
      <c r="M43" s="59"/>
      <c r="N43" s="59"/>
      <c r="O43" s="59"/>
      <c r="P43" s="59"/>
      <c r="Q43" s="59"/>
      <c r="R43" s="59"/>
      <c r="S43" s="59"/>
      <c r="T43" s="59"/>
      <c r="U43" s="59"/>
      <c r="V43" s="59"/>
      <c r="W43" s="59"/>
      <c r="X43" s="59"/>
      <c r="Y43" s="59"/>
      <c r="Z43" s="59"/>
      <c r="AA43" s="59"/>
      <c r="AB43" s="59"/>
      <c r="AC43" s="59"/>
      <c r="AD43" s="59"/>
      <c r="AE43" s="59"/>
      <c r="AF43" s="59"/>
      <c r="AG43" s="59"/>
      <c r="AH43" s="59"/>
      <c r="AI43" s="59"/>
      <c r="AJ43" s="59"/>
      <c r="AK43" s="59"/>
    </row>
    <row r="44" spans="1:37" ht="15">
      <c r="A44" s="59"/>
      <c r="B44" s="59"/>
      <c r="C44" s="59"/>
      <c r="D44" s="59"/>
      <c r="E44" s="59"/>
      <c r="F44" s="59"/>
      <c r="G44" s="59"/>
      <c r="H44" s="59"/>
      <c r="I44" s="59"/>
      <c r="J44" s="59"/>
      <c r="K44" s="59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</row>
    <row r="45" spans="1:37" ht="15">
      <c r="A45" s="59"/>
      <c r="B45" s="59"/>
      <c r="C45" s="59"/>
      <c r="D45" s="59"/>
      <c r="E45" s="59"/>
      <c r="F45" s="59"/>
      <c r="G45" s="59"/>
      <c r="H45" s="59"/>
      <c r="I45" s="59"/>
      <c r="J45" s="59"/>
      <c r="K45" s="59"/>
      <c r="L45" s="59"/>
      <c r="M45" s="59"/>
      <c r="N45" s="59"/>
      <c r="O45" s="59"/>
      <c r="P45" s="59"/>
      <c r="Q45" s="59"/>
      <c r="R45" s="59"/>
      <c r="S45" s="59"/>
      <c r="T45" s="59"/>
      <c r="U45" s="59"/>
      <c r="V45" s="59"/>
      <c r="W45" s="59"/>
      <c r="X45" s="59"/>
      <c r="Y45" s="59"/>
      <c r="Z45" s="59"/>
      <c r="AA45" s="59"/>
      <c r="AB45" s="59"/>
      <c r="AC45" s="59"/>
      <c r="AD45" s="59"/>
      <c r="AE45" s="59"/>
      <c r="AF45" s="59"/>
      <c r="AG45" s="59"/>
      <c r="AH45" s="59"/>
      <c r="AI45" s="59"/>
      <c r="AJ45" s="59"/>
      <c r="AK45" s="59"/>
    </row>
    <row r="46" spans="1:37" ht="15">
      <c r="A46" s="59"/>
      <c r="B46" s="59"/>
      <c r="C46" s="59"/>
      <c r="D46" s="59"/>
      <c r="E46" s="59"/>
      <c r="F46" s="59"/>
      <c r="G46" s="59"/>
      <c r="H46" s="59"/>
      <c r="I46" s="59"/>
      <c r="J46" s="59"/>
      <c r="K46" s="59"/>
      <c r="L46" s="59"/>
      <c r="M46" s="59"/>
      <c r="N46" s="59"/>
      <c r="O46" s="59"/>
      <c r="P46" s="59"/>
      <c r="Q46" s="59"/>
      <c r="R46" s="59"/>
      <c r="S46" s="59"/>
      <c r="T46" s="59"/>
      <c r="U46" s="59"/>
      <c r="V46" s="59"/>
      <c r="W46" s="59"/>
      <c r="X46" s="59"/>
      <c r="Y46" s="59"/>
      <c r="Z46" s="59"/>
      <c r="AA46" s="59"/>
      <c r="AB46" s="59"/>
      <c r="AC46" s="59"/>
      <c r="AD46" s="59"/>
      <c r="AE46" s="59"/>
      <c r="AF46" s="59"/>
      <c r="AG46" s="59"/>
      <c r="AH46" s="59"/>
      <c r="AI46" s="59"/>
      <c r="AJ46" s="59"/>
      <c r="AK46" s="59"/>
    </row>
    <row r="47" spans="1:37" ht="15">
      <c r="A47" s="59"/>
      <c r="B47" s="59"/>
      <c r="C47" s="59"/>
      <c r="D47" s="59"/>
      <c r="E47" s="59"/>
      <c r="F47" s="59"/>
      <c r="G47" s="59"/>
      <c r="H47" s="59"/>
      <c r="I47" s="59"/>
      <c r="J47" s="59"/>
      <c r="K47" s="59"/>
      <c r="L47" s="59"/>
      <c r="M47" s="59"/>
      <c r="N47" s="59"/>
      <c r="O47" s="59"/>
      <c r="P47" s="59"/>
      <c r="Q47" s="59"/>
      <c r="R47" s="59"/>
      <c r="S47" s="59"/>
      <c r="T47" s="59"/>
      <c r="U47" s="59"/>
      <c r="V47" s="59"/>
      <c r="W47" s="59"/>
      <c r="X47" s="59"/>
      <c r="Y47" s="59"/>
      <c r="Z47" s="59"/>
      <c r="AA47" s="59"/>
      <c r="AB47" s="59"/>
      <c r="AC47" s="59"/>
      <c r="AD47" s="59"/>
      <c r="AE47" s="59"/>
      <c r="AF47" s="59"/>
      <c r="AG47" s="59"/>
      <c r="AH47" s="59"/>
      <c r="AI47" s="59"/>
      <c r="AJ47" s="59"/>
      <c r="AK47" s="59"/>
    </row>
    <row r="48" spans="1:37" ht="15">
      <c r="A48" s="59"/>
      <c r="B48" s="59"/>
      <c r="C48" s="59"/>
      <c r="D48" s="59"/>
      <c r="E48" s="59"/>
      <c r="F48" s="59"/>
      <c r="G48" s="59"/>
      <c r="H48" s="59"/>
      <c r="I48" s="59"/>
      <c r="J48" s="59"/>
      <c r="K48" s="59"/>
      <c r="L48" s="59"/>
      <c r="M48" s="59"/>
      <c r="N48" s="59"/>
      <c r="O48" s="59"/>
      <c r="P48" s="59"/>
      <c r="Q48" s="59"/>
      <c r="R48" s="59"/>
      <c r="S48" s="59"/>
      <c r="T48" s="59"/>
      <c r="U48" s="59"/>
      <c r="V48" s="59"/>
      <c r="W48" s="59"/>
      <c r="X48" s="59"/>
      <c r="Y48" s="59"/>
      <c r="Z48" s="59"/>
      <c r="AA48" s="59"/>
      <c r="AB48" s="59"/>
      <c r="AC48" s="59"/>
      <c r="AD48" s="59"/>
      <c r="AE48" s="59"/>
      <c r="AF48" s="59"/>
      <c r="AG48" s="59"/>
      <c r="AH48" s="59"/>
      <c r="AI48" s="59"/>
      <c r="AJ48" s="59"/>
      <c r="AK48" s="59"/>
    </row>
    <row r="49" spans="1:37" ht="15">
      <c r="A49" s="59"/>
      <c r="B49" s="59"/>
      <c r="C49" s="59"/>
      <c r="D49" s="59"/>
      <c r="E49" s="59"/>
      <c r="F49" s="59"/>
      <c r="G49" s="59"/>
      <c r="H49" s="59"/>
      <c r="I49" s="59"/>
      <c r="J49" s="59"/>
      <c r="K49" s="59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  <c r="W49" s="59"/>
      <c r="X49" s="59"/>
      <c r="Y49" s="59"/>
      <c r="Z49" s="59"/>
      <c r="AA49" s="59"/>
      <c r="AB49" s="59"/>
      <c r="AC49" s="59"/>
      <c r="AD49" s="59"/>
      <c r="AE49" s="59"/>
      <c r="AF49" s="59"/>
      <c r="AG49" s="59"/>
      <c r="AH49" s="59"/>
      <c r="AI49" s="59"/>
      <c r="AJ49" s="59"/>
      <c r="AK49" s="59"/>
    </row>
    <row r="50" spans="1:37" ht="15">
      <c r="A50" s="59"/>
      <c r="B50" s="59"/>
      <c r="C50" s="59"/>
      <c r="D50" s="59"/>
      <c r="E50" s="59"/>
      <c r="F50" s="59"/>
      <c r="G50" s="59"/>
      <c r="H50" s="59"/>
      <c r="I50" s="59"/>
      <c r="J50" s="59"/>
      <c r="K50" s="59"/>
      <c r="L50" s="59"/>
      <c r="M50" s="59"/>
      <c r="N50" s="59"/>
      <c r="O50" s="59"/>
      <c r="P50" s="59"/>
      <c r="Q50" s="59"/>
      <c r="R50" s="59"/>
      <c r="S50" s="59"/>
      <c r="T50" s="59"/>
      <c r="U50" s="59"/>
      <c r="V50" s="59"/>
      <c r="W50" s="59"/>
      <c r="X50" s="59"/>
      <c r="Y50" s="59"/>
      <c r="Z50" s="59"/>
      <c r="AA50" s="59"/>
      <c r="AB50" s="59"/>
      <c r="AC50" s="59"/>
      <c r="AD50" s="59"/>
      <c r="AE50" s="59"/>
      <c r="AF50" s="59"/>
      <c r="AG50" s="59"/>
      <c r="AH50" s="59"/>
      <c r="AI50" s="59"/>
      <c r="AJ50" s="59"/>
      <c r="AK50" s="59"/>
    </row>
    <row r="51" spans="1:37" ht="15">
      <c r="A51" s="59"/>
      <c r="B51" s="59"/>
      <c r="C51" s="59"/>
      <c r="D51" s="59"/>
      <c r="E51" s="59"/>
      <c r="F51" s="59"/>
      <c r="G51" s="59"/>
      <c r="H51" s="59"/>
      <c r="I51" s="59"/>
      <c r="J51" s="59"/>
      <c r="K51" s="59"/>
      <c r="L51" s="59"/>
      <c r="M51" s="59"/>
      <c r="N51" s="59"/>
      <c r="O51" s="59"/>
      <c r="P51" s="59"/>
      <c r="Q51" s="59"/>
      <c r="R51" s="59"/>
      <c r="S51" s="59"/>
      <c r="T51" s="59"/>
      <c r="U51" s="59"/>
      <c r="V51" s="59"/>
      <c r="W51" s="59"/>
      <c r="X51" s="59"/>
      <c r="Y51" s="59"/>
      <c r="Z51" s="59"/>
      <c r="AA51" s="59"/>
      <c r="AB51" s="59"/>
      <c r="AC51" s="59"/>
      <c r="AD51" s="59"/>
      <c r="AE51" s="59"/>
      <c r="AF51" s="59"/>
      <c r="AG51" s="59"/>
      <c r="AH51" s="59"/>
      <c r="AI51" s="59"/>
      <c r="AJ51" s="59"/>
      <c r="AK51" s="59"/>
    </row>
    <row r="52" spans="1:37" ht="15">
      <c r="A52" s="59"/>
      <c r="B52" s="59"/>
      <c r="C52" s="59"/>
      <c r="D52" s="59"/>
      <c r="E52" s="59"/>
      <c r="F52" s="59"/>
      <c r="G52" s="59"/>
      <c r="H52" s="59"/>
      <c r="I52" s="59"/>
      <c r="J52" s="59"/>
      <c r="K52" s="59"/>
      <c r="L52" s="59"/>
      <c r="M52" s="59"/>
      <c r="N52" s="59"/>
      <c r="O52" s="59"/>
      <c r="P52" s="59"/>
      <c r="Q52" s="59"/>
      <c r="R52" s="59"/>
      <c r="S52" s="59"/>
      <c r="T52" s="59"/>
      <c r="U52" s="59"/>
      <c r="V52" s="59"/>
      <c r="W52" s="59"/>
      <c r="X52" s="59"/>
      <c r="Y52" s="59"/>
      <c r="Z52" s="59"/>
      <c r="AA52" s="59"/>
      <c r="AB52" s="59"/>
      <c r="AC52" s="59"/>
      <c r="AD52" s="59"/>
      <c r="AE52" s="59"/>
      <c r="AF52" s="59"/>
      <c r="AG52" s="59"/>
      <c r="AH52" s="59"/>
      <c r="AI52" s="59"/>
      <c r="AJ52" s="59"/>
      <c r="AK52" s="59"/>
    </row>
    <row r="53" spans="1:37" ht="15">
      <c r="A53" s="59"/>
      <c r="B53" s="59"/>
      <c r="C53" s="59"/>
      <c r="D53" s="59"/>
      <c r="E53" s="59"/>
      <c r="F53" s="59"/>
      <c r="G53" s="59"/>
      <c r="H53" s="59"/>
      <c r="I53" s="59"/>
      <c r="J53" s="59"/>
      <c r="K53" s="59"/>
      <c r="L53" s="59"/>
      <c r="M53" s="59"/>
      <c r="N53" s="59"/>
      <c r="O53" s="59"/>
      <c r="P53" s="59"/>
      <c r="Q53" s="59"/>
      <c r="R53" s="59"/>
      <c r="S53" s="59"/>
      <c r="T53" s="59"/>
      <c r="U53" s="59"/>
      <c r="V53" s="59"/>
      <c r="W53" s="59"/>
      <c r="X53" s="59"/>
      <c r="Y53" s="59"/>
      <c r="Z53" s="59"/>
      <c r="AA53" s="59"/>
      <c r="AB53" s="59"/>
      <c r="AC53" s="59"/>
      <c r="AD53" s="59"/>
      <c r="AE53" s="59"/>
      <c r="AF53" s="59"/>
      <c r="AG53" s="59"/>
      <c r="AH53" s="59"/>
      <c r="AI53" s="59"/>
      <c r="AJ53" s="59"/>
      <c r="AK53" s="59"/>
    </row>
    <row r="54" spans="1:37" ht="15">
      <c r="A54" s="59"/>
      <c r="B54" s="59"/>
      <c r="C54" s="59"/>
      <c r="D54" s="59"/>
      <c r="E54" s="59"/>
      <c r="F54" s="59"/>
      <c r="G54" s="59"/>
      <c r="H54" s="59"/>
      <c r="I54" s="59"/>
      <c r="J54" s="59"/>
      <c r="K54" s="59"/>
      <c r="L54" s="59"/>
      <c r="M54" s="59"/>
      <c r="N54" s="59"/>
      <c r="O54" s="59"/>
      <c r="P54" s="59"/>
      <c r="Q54" s="59"/>
      <c r="R54" s="59"/>
      <c r="S54" s="59"/>
      <c r="T54" s="59"/>
      <c r="U54" s="59"/>
      <c r="V54" s="59"/>
      <c r="W54" s="59"/>
      <c r="X54" s="59"/>
      <c r="Y54" s="59"/>
      <c r="Z54" s="59"/>
      <c r="AA54" s="59"/>
      <c r="AB54" s="59"/>
      <c r="AC54" s="59"/>
      <c r="AD54" s="59"/>
      <c r="AE54" s="59"/>
      <c r="AF54" s="59"/>
      <c r="AG54" s="59"/>
      <c r="AH54" s="59"/>
      <c r="AI54" s="59"/>
      <c r="AJ54" s="59"/>
      <c r="AK54" s="59"/>
    </row>
    <row r="55" spans="1:37" ht="15">
      <c r="A55" s="59"/>
      <c r="B55" s="59"/>
      <c r="C55" s="59"/>
      <c r="D55" s="59"/>
      <c r="E55" s="59"/>
      <c r="F55" s="59"/>
      <c r="G55" s="59"/>
      <c r="H55" s="59"/>
      <c r="I55" s="59"/>
      <c r="J55" s="59"/>
      <c r="K55" s="59"/>
      <c r="L55" s="59"/>
      <c r="M55" s="59"/>
      <c r="N55" s="59"/>
      <c r="O55" s="59"/>
      <c r="P55" s="59"/>
      <c r="Q55" s="59"/>
      <c r="R55" s="59"/>
      <c r="S55" s="59"/>
      <c r="T55" s="59"/>
      <c r="U55" s="59"/>
      <c r="V55" s="59"/>
      <c r="W55" s="59"/>
      <c r="X55" s="59"/>
      <c r="Y55" s="59"/>
      <c r="Z55" s="59"/>
      <c r="AA55" s="59"/>
      <c r="AB55" s="59"/>
      <c r="AC55" s="59"/>
      <c r="AD55" s="59"/>
      <c r="AE55" s="59"/>
      <c r="AF55" s="59"/>
      <c r="AG55" s="59"/>
      <c r="AH55" s="59"/>
      <c r="AI55" s="59"/>
      <c r="AJ55" s="59"/>
      <c r="AK55" s="59"/>
    </row>
    <row r="56" spans="1:37" ht="15">
      <c r="A56" s="59"/>
      <c r="B56" s="59"/>
      <c r="C56" s="59"/>
      <c r="D56" s="59"/>
      <c r="E56" s="59"/>
      <c r="F56" s="59"/>
      <c r="G56" s="59"/>
      <c r="H56" s="59"/>
      <c r="I56" s="59"/>
      <c r="J56" s="59"/>
      <c r="K56" s="59"/>
      <c r="L56" s="59"/>
      <c r="M56" s="59"/>
      <c r="N56" s="59"/>
      <c r="O56" s="59"/>
      <c r="P56" s="59"/>
      <c r="Q56" s="59"/>
      <c r="R56" s="59"/>
      <c r="S56" s="59"/>
      <c r="T56" s="59"/>
      <c r="U56" s="59"/>
      <c r="V56" s="59"/>
      <c r="W56" s="59"/>
      <c r="X56" s="59"/>
      <c r="Y56" s="59"/>
      <c r="Z56" s="59"/>
      <c r="AA56" s="59"/>
      <c r="AB56" s="59"/>
      <c r="AC56" s="59"/>
      <c r="AD56" s="59"/>
      <c r="AE56" s="59"/>
      <c r="AF56" s="59"/>
      <c r="AG56" s="59"/>
      <c r="AH56" s="59"/>
      <c r="AI56" s="59"/>
      <c r="AJ56" s="59"/>
      <c r="AK56" s="59"/>
    </row>
    <row r="57" spans="1:37" ht="15">
      <c r="A57" s="59"/>
      <c r="B57" s="59"/>
      <c r="C57" s="59"/>
      <c r="D57" s="59"/>
      <c r="E57" s="59"/>
      <c r="F57" s="59"/>
      <c r="G57" s="59"/>
      <c r="H57" s="59"/>
      <c r="I57" s="59"/>
      <c r="J57" s="59"/>
      <c r="K57" s="59"/>
      <c r="L57" s="59"/>
      <c r="M57" s="59"/>
      <c r="N57" s="59"/>
      <c r="O57" s="59"/>
      <c r="P57" s="59"/>
      <c r="Q57" s="59"/>
      <c r="R57" s="59"/>
      <c r="S57" s="59"/>
      <c r="T57" s="59"/>
      <c r="U57" s="59"/>
      <c r="V57" s="59"/>
      <c r="W57" s="59"/>
      <c r="X57" s="59"/>
      <c r="Y57" s="59"/>
      <c r="Z57" s="59"/>
      <c r="AA57" s="59"/>
      <c r="AB57" s="59"/>
      <c r="AC57" s="59"/>
      <c r="AD57" s="59"/>
      <c r="AE57" s="59"/>
      <c r="AF57" s="59"/>
      <c r="AG57" s="59"/>
      <c r="AH57" s="59"/>
      <c r="AI57" s="59"/>
      <c r="AJ57" s="59"/>
      <c r="AK57" s="59"/>
    </row>
    <row r="58" spans="1:37" ht="15">
      <c r="A58" s="59"/>
      <c r="B58" s="59"/>
      <c r="C58" s="59"/>
      <c r="D58" s="59"/>
      <c r="E58" s="59"/>
      <c r="F58" s="59"/>
      <c r="G58" s="59"/>
      <c r="H58" s="59"/>
      <c r="I58" s="59"/>
      <c r="J58" s="59"/>
      <c r="K58" s="59"/>
      <c r="L58" s="59"/>
      <c r="M58" s="59"/>
      <c r="N58" s="59"/>
      <c r="O58" s="59"/>
      <c r="P58" s="59"/>
      <c r="Q58" s="59"/>
      <c r="R58" s="59"/>
      <c r="S58" s="59"/>
      <c r="T58" s="59"/>
      <c r="U58" s="59"/>
      <c r="V58" s="59"/>
      <c r="W58" s="59"/>
      <c r="X58" s="59"/>
      <c r="Y58" s="59"/>
      <c r="Z58" s="59"/>
      <c r="AA58" s="59"/>
      <c r="AB58" s="59"/>
      <c r="AC58" s="59"/>
      <c r="AD58" s="59"/>
      <c r="AE58" s="59"/>
      <c r="AF58" s="59"/>
      <c r="AG58" s="59"/>
      <c r="AH58" s="59"/>
      <c r="AI58" s="59"/>
      <c r="AJ58" s="59"/>
      <c r="AK58" s="59"/>
    </row>
    <row r="59" spans="1:37" ht="15">
      <c r="A59" s="59"/>
      <c r="B59" s="59"/>
      <c r="C59" s="59"/>
      <c r="D59" s="59"/>
      <c r="E59" s="59"/>
      <c r="F59" s="59"/>
      <c r="G59" s="59"/>
      <c r="H59" s="59"/>
      <c r="I59" s="59"/>
      <c r="J59" s="59"/>
      <c r="K59" s="59"/>
      <c r="L59" s="59"/>
      <c r="M59" s="59"/>
      <c r="N59" s="59"/>
      <c r="O59" s="59"/>
      <c r="P59" s="59"/>
      <c r="Q59" s="59"/>
      <c r="R59" s="59"/>
      <c r="S59" s="59"/>
      <c r="T59" s="59"/>
      <c r="U59" s="59"/>
      <c r="V59" s="59"/>
      <c r="W59" s="59"/>
      <c r="X59" s="59"/>
      <c r="Y59" s="59"/>
      <c r="Z59" s="59"/>
      <c r="AA59" s="59"/>
      <c r="AB59" s="59"/>
      <c r="AC59" s="59"/>
      <c r="AD59" s="59"/>
      <c r="AE59" s="59"/>
      <c r="AF59" s="59"/>
      <c r="AG59" s="59"/>
      <c r="AH59" s="59"/>
      <c r="AI59" s="59"/>
      <c r="AJ59" s="59"/>
      <c r="AK59" s="59"/>
    </row>
    <row r="60" spans="1:37" ht="15">
      <c r="A60" s="59"/>
      <c r="B60" s="59"/>
      <c r="C60" s="59"/>
      <c r="D60" s="59"/>
      <c r="E60" s="59"/>
      <c r="F60" s="59"/>
      <c r="G60" s="59"/>
      <c r="H60" s="59"/>
      <c r="I60" s="59"/>
      <c r="J60" s="59"/>
      <c r="K60" s="59"/>
      <c r="L60" s="59"/>
      <c r="M60" s="59"/>
      <c r="N60" s="59"/>
      <c r="O60" s="59"/>
      <c r="P60" s="59"/>
      <c r="Q60" s="59"/>
      <c r="R60" s="59"/>
      <c r="S60" s="59"/>
      <c r="T60" s="59"/>
      <c r="U60" s="59"/>
      <c r="V60" s="59"/>
      <c r="W60" s="59"/>
      <c r="X60" s="59"/>
      <c r="Y60" s="59"/>
      <c r="Z60" s="59"/>
      <c r="AA60" s="59"/>
      <c r="AB60" s="59"/>
      <c r="AC60" s="59"/>
      <c r="AD60" s="59"/>
      <c r="AE60" s="59"/>
      <c r="AF60" s="59"/>
      <c r="AG60" s="59"/>
      <c r="AH60" s="59"/>
      <c r="AI60" s="59"/>
      <c r="AJ60" s="59"/>
      <c r="AK60" s="59"/>
    </row>
    <row r="61" spans="1:37" ht="15">
      <c r="A61" s="59"/>
      <c r="B61" s="59"/>
      <c r="C61" s="59"/>
      <c r="D61" s="59"/>
      <c r="E61" s="59"/>
      <c r="F61" s="59"/>
      <c r="G61" s="59"/>
      <c r="H61" s="59"/>
      <c r="I61" s="59"/>
      <c r="J61" s="59"/>
      <c r="K61" s="59"/>
      <c r="L61" s="59"/>
      <c r="M61" s="59"/>
      <c r="N61" s="59"/>
      <c r="O61" s="59"/>
      <c r="P61" s="59"/>
      <c r="Q61" s="59"/>
      <c r="R61" s="59"/>
      <c r="S61" s="59"/>
      <c r="T61" s="59"/>
      <c r="U61" s="59"/>
      <c r="V61" s="59"/>
      <c r="W61" s="59"/>
      <c r="X61" s="59"/>
      <c r="Y61" s="59"/>
      <c r="Z61" s="59"/>
      <c r="AA61" s="59"/>
      <c r="AB61" s="59"/>
      <c r="AC61" s="59"/>
      <c r="AD61" s="59"/>
      <c r="AE61" s="59"/>
      <c r="AF61" s="59"/>
      <c r="AG61" s="59"/>
      <c r="AH61" s="59"/>
      <c r="AI61" s="59"/>
      <c r="AJ61" s="59"/>
      <c r="AK61" s="59"/>
    </row>
    <row r="62" spans="1:37" ht="15">
      <c r="A62" s="59"/>
      <c r="B62" s="59"/>
      <c r="C62" s="59"/>
      <c r="D62" s="59"/>
      <c r="E62" s="59"/>
      <c r="F62" s="59"/>
      <c r="G62" s="59"/>
      <c r="H62" s="59"/>
      <c r="I62" s="59"/>
      <c r="J62" s="59"/>
      <c r="K62" s="59"/>
      <c r="L62" s="59"/>
      <c r="M62" s="59"/>
      <c r="N62" s="59"/>
      <c r="O62" s="59"/>
      <c r="P62" s="59"/>
      <c r="Q62" s="59"/>
      <c r="R62" s="59"/>
      <c r="S62" s="59"/>
      <c r="T62" s="59"/>
      <c r="U62" s="59"/>
      <c r="V62" s="59"/>
      <c r="W62" s="59"/>
      <c r="X62" s="59"/>
      <c r="Y62" s="59"/>
      <c r="Z62" s="59"/>
      <c r="AA62" s="59"/>
      <c r="AB62" s="59"/>
      <c r="AC62" s="59"/>
      <c r="AD62" s="59"/>
      <c r="AE62" s="59"/>
      <c r="AF62" s="59"/>
      <c r="AG62" s="59"/>
      <c r="AH62" s="59"/>
      <c r="AI62" s="59"/>
      <c r="AJ62" s="59"/>
      <c r="AK62" s="59"/>
    </row>
    <row r="63" spans="1:37" ht="15">
      <c r="A63" s="59"/>
      <c r="B63" s="59"/>
      <c r="C63" s="59"/>
      <c r="D63" s="59"/>
      <c r="E63" s="59"/>
      <c r="F63" s="59"/>
      <c r="G63" s="59"/>
      <c r="H63" s="59"/>
      <c r="I63" s="59"/>
      <c r="J63" s="59"/>
      <c r="K63" s="59"/>
      <c r="L63" s="59"/>
      <c r="M63" s="59"/>
      <c r="N63" s="59"/>
      <c r="O63" s="59"/>
      <c r="P63" s="59"/>
      <c r="Q63" s="59"/>
      <c r="R63" s="59"/>
      <c r="S63" s="59"/>
      <c r="T63" s="59"/>
      <c r="U63" s="59"/>
      <c r="V63" s="59"/>
      <c r="W63" s="59"/>
      <c r="X63" s="59"/>
      <c r="Y63" s="59"/>
      <c r="Z63" s="59"/>
      <c r="AA63" s="59"/>
      <c r="AB63" s="59"/>
      <c r="AC63" s="59"/>
      <c r="AD63" s="59"/>
      <c r="AE63" s="59"/>
      <c r="AF63" s="59"/>
      <c r="AG63" s="59"/>
      <c r="AH63" s="59"/>
      <c r="AI63" s="59"/>
      <c r="AJ63" s="59"/>
      <c r="AK63" s="59"/>
    </row>
    <row r="64" spans="1:37" ht="15">
      <c r="A64" s="59"/>
      <c r="B64" s="59"/>
      <c r="C64" s="59"/>
      <c r="D64" s="59"/>
      <c r="E64" s="59"/>
      <c r="F64" s="59"/>
      <c r="G64" s="59"/>
      <c r="H64" s="59"/>
      <c r="I64" s="59"/>
      <c r="J64" s="59"/>
      <c r="K64" s="59"/>
      <c r="L64" s="59"/>
      <c r="M64" s="59"/>
      <c r="N64" s="59"/>
      <c r="O64" s="59"/>
      <c r="P64" s="59"/>
      <c r="Q64" s="59"/>
      <c r="R64" s="59"/>
      <c r="S64" s="59"/>
      <c r="T64" s="59"/>
      <c r="U64" s="59"/>
      <c r="V64" s="59"/>
      <c r="W64" s="59"/>
      <c r="X64" s="59"/>
      <c r="Y64" s="59"/>
      <c r="Z64" s="59"/>
      <c r="AA64" s="59"/>
      <c r="AB64" s="59"/>
      <c r="AC64" s="59"/>
      <c r="AD64" s="59"/>
      <c r="AE64" s="59"/>
      <c r="AF64" s="59"/>
      <c r="AG64" s="59"/>
      <c r="AH64" s="59"/>
      <c r="AI64" s="59"/>
      <c r="AJ64" s="59"/>
      <c r="AK64" s="59"/>
    </row>
    <row r="65" spans="1:37" ht="15">
      <c r="A65" s="59"/>
      <c r="B65" s="59"/>
      <c r="C65" s="59"/>
      <c r="D65" s="59"/>
      <c r="E65" s="59"/>
      <c r="F65" s="59"/>
      <c r="G65" s="59"/>
      <c r="H65" s="59"/>
      <c r="I65" s="59"/>
      <c r="J65" s="59"/>
      <c r="K65" s="59"/>
      <c r="L65" s="59"/>
      <c r="M65" s="59"/>
      <c r="N65" s="59"/>
      <c r="O65" s="59"/>
      <c r="P65" s="59"/>
      <c r="Q65" s="59"/>
      <c r="R65" s="59"/>
      <c r="S65" s="59"/>
      <c r="T65" s="59"/>
      <c r="U65" s="59"/>
      <c r="V65" s="59"/>
      <c r="W65" s="59"/>
      <c r="X65" s="59"/>
      <c r="Y65" s="59"/>
      <c r="Z65" s="59"/>
      <c r="AA65" s="59"/>
      <c r="AB65" s="59"/>
      <c r="AC65" s="59"/>
      <c r="AD65" s="59"/>
      <c r="AE65" s="59"/>
      <c r="AF65" s="59"/>
      <c r="AG65" s="59"/>
      <c r="AH65" s="59"/>
      <c r="AI65" s="59"/>
      <c r="AJ65" s="59"/>
      <c r="AK65" s="59"/>
    </row>
    <row r="66" spans="1:37" ht="15">
      <c r="A66" s="59"/>
      <c r="B66" s="59"/>
      <c r="C66" s="59"/>
      <c r="D66" s="59"/>
      <c r="E66" s="59"/>
      <c r="F66" s="59"/>
      <c r="G66" s="59"/>
      <c r="H66" s="59"/>
      <c r="I66" s="59"/>
      <c r="J66" s="59"/>
      <c r="K66" s="59"/>
      <c r="L66" s="59"/>
      <c r="M66" s="59"/>
      <c r="N66" s="59"/>
      <c r="O66" s="59"/>
      <c r="P66" s="59"/>
      <c r="Q66" s="59"/>
      <c r="R66" s="59"/>
      <c r="S66" s="59"/>
      <c r="T66" s="59"/>
      <c r="U66" s="59"/>
      <c r="V66" s="59"/>
      <c r="W66" s="59"/>
      <c r="X66" s="59"/>
      <c r="Y66" s="59"/>
      <c r="Z66" s="59"/>
      <c r="AA66" s="59"/>
      <c r="AB66" s="59"/>
      <c r="AC66" s="59"/>
      <c r="AD66" s="59"/>
      <c r="AE66" s="59"/>
      <c r="AF66" s="59"/>
      <c r="AG66" s="59"/>
      <c r="AH66" s="59"/>
      <c r="AI66" s="59"/>
      <c r="AJ66" s="59"/>
      <c r="AK66" s="59"/>
    </row>
    <row r="67" spans="1:37" ht="15">
      <c r="A67" s="59"/>
      <c r="B67" s="59"/>
      <c r="C67" s="59"/>
      <c r="D67" s="59"/>
      <c r="E67" s="59"/>
      <c r="F67" s="59"/>
      <c r="G67" s="59"/>
      <c r="H67" s="59"/>
      <c r="I67" s="59"/>
      <c r="J67" s="59"/>
      <c r="K67" s="59"/>
      <c r="L67" s="59"/>
      <c r="M67" s="59"/>
      <c r="N67" s="59"/>
      <c r="O67" s="59"/>
      <c r="P67" s="59"/>
      <c r="Q67" s="59"/>
      <c r="R67" s="59"/>
      <c r="S67" s="59"/>
      <c r="T67" s="59"/>
      <c r="U67" s="59"/>
      <c r="V67" s="59"/>
      <c r="W67" s="59"/>
      <c r="X67" s="59"/>
      <c r="Y67" s="59"/>
      <c r="Z67" s="59"/>
      <c r="AA67" s="59"/>
      <c r="AB67" s="59"/>
      <c r="AC67" s="59"/>
      <c r="AD67" s="59"/>
      <c r="AE67" s="59"/>
      <c r="AF67" s="59"/>
      <c r="AG67" s="59"/>
      <c r="AH67" s="59"/>
      <c r="AI67" s="59"/>
      <c r="AJ67" s="59"/>
      <c r="AK67" s="59"/>
    </row>
    <row r="68" spans="1:37" ht="15">
      <c r="A68" s="59"/>
      <c r="B68" s="59"/>
      <c r="C68" s="59"/>
      <c r="D68" s="59"/>
      <c r="E68" s="59"/>
      <c r="F68" s="59"/>
      <c r="G68" s="59"/>
      <c r="H68" s="59"/>
      <c r="I68" s="59"/>
      <c r="J68" s="59"/>
      <c r="K68" s="59"/>
      <c r="L68" s="59"/>
      <c r="M68" s="59"/>
      <c r="N68" s="59"/>
      <c r="O68" s="59"/>
      <c r="P68" s="59"/>
      <c r="Q68" s="59"/>
      <c r="R68" s="59"/>
      <c r="S68" s="59"/>
      <c r="T68" s="59"/>
      <c r="U68" s="59"/>
      <c r="V68" s="59"/>
      <c r="W68" s="59"/>
      <c r="X68" s="59"/>
      <c r="Y68" s="59"/>
      <c r="Z68" s="59"/>
      <c r="AA68" s="59"/>
      <c r="AB68" s="59"/>
      <c r="AC68" s="59"/>
      <c r="AD68" s="59"/>
      <c r="AE68" s="59"/>
      <c r="AF68" s="59"/>
      <c r="AG68" s="59"/>
      <c r="AH68" s="59"/>
      <c r="AI68" s="59"/>
      <c r="AJ68" s="59"/>
      <c r="AK68" s="59"/>
    </row>
    <row r="69" spans="1:37" ht="15">
      <c r="A69" s="59"/>
      <c r="B69" s="59"/>
      <c r="C69" s="59"/>
      <c r="D69" s="59"/>
      <c r="E69" s="59"/>
      <c r="F69" s="59"/>
      <c r="G69" s="59"/>
      <c r="H69" s="59"/>
      <c r="I69" s="59"/>
      <c r="J69" s="59"/>
      <c r="K69" s="59"/>
      <c r="L69" s="59"/>
      <c r="M69" s="59"/>
      <c r="N69" s="59"/>
      <c r="O69" s="59"/>
      <c r="P69" s="59"/>
      <c r="Q69" s="59"/>
      <c r="R69" s="59"/>
      <c r="S69" s="59"/>
      <c r="T69" s="59"/>
      <c r="U69" s="59"/>
      <c r="V69" s="59"/>
      <c r="W69" s="59"/>
      <c r="X69" s="59"/>
      <c r="Y69" s="59"/>
      <c r="Z69" s="59"/>
      <c r="AA69" s="59"/>
      <c r="AB69" s="59"/>
      <c r="AC69" s="59"/>
      <c r="AD69" s="59"/>
      <c r="AE69" s="59"/>
      <c r="AF69" s="59"/>
      <c r="AG69" s="59"/>
      <c r="AH69" s="59"/>
      <c r="AI69" s="59"/>
      <c r="AJ69" s="59"/>
      <c r="AK69" s="59"/>
    </row>
    <row r="70" spans="1:37" ht="15">
      <c r="A70" s="59"/>
      <c r="B70" s="59"/>
      <c r="C70" s="59"/>
      <c r="D70" s="59"/>
      <c r="E70" s="59"/>
      <c r="F70" s="59"/>
      <c r="G70" s="59"/>
      <c r="H70" s="59"/>
      <c r="I70" s="59"/>
      <c r="J70" s="59"/>
      <c r="K70" s="59"/>
      <c r="L70" s="59"/>
      <c r="M70" s="59"/>
      <c r="N70" s="59"/>
      <c r="O70" s="59"/>
      <c r="P70" s="59"/>
      <c r="Q70" s="59"/>
      <c r="R70" s="59"/>
      <c r="S70" s="59"/>
      <c r="T70" s="59"/>
      <c r="U70" s="59"/>
      <c r="V70" s="59"/>
      <c r="W70" s="59"/>
      <c r="X70" s="59"/>
      <c r="Y70" s="59"/>
      <c r="Z70" s="59"/>
      <c r="AA70" s="59"/>
      <c r="AB70" s="59"/>
      <c r="AC70" s="59"/>
      <c r="AD70" s="59"/>
      <c r="AE70" s="59"/>
      <c r="AF70" s="59"/>
      <c r="AG70" s="59"/>
      <c r="AH70" s="59"/>
      <c r="AI70" s="59"/>
      <c r="AJ70" s="59"/>
      <c r="AK70" s="59"/>
    </row>
    <row r="71" spans="1:37" ht="15">
      <c r="A71" s="59"/>
      <c r="B71" s="59"/>
      <c r="C71" s="59"/>
      <c r="D71" s="59"/>
      <c r="E71" s="59"/>
      <c r="F71" s="59"/>
      <c r="G71" s="59"/>
      <c r="H71" s="59"/>
      <c r="I71" s="59"/>
      <c r="J71" s="59"/>
      <c r="K71" s="59"/>
      <c r="L71" s="59"/>
      <c r="M71" s="59"/>
      <c r="N71" s="59"/>
      <c r="O71" s="59"/>
      <c r="P71" s="59"/>
      <c r="Q71" s="59"/>
      <c r="R71" s="59"/>
      <c r="S71" s="59"/>
      <c r="T71" s="59"/>
      <c r="U71" s="59"/>
      <c r="V71" s="59"/>
      <c r="W71" s="59"/>
      <c r="X71" s="59"/>
      <c r="Y71" s="59"/>
      <c r="Z71" s="59"/>
      <c r="AA71" s="59"/>
      <c r="AB71" s="59"/>
      <c r="AC71" s="59"/>
      <c r="AD71" s="59"/>
      <c r="AE71" s="59"/>
      <c r="AF71" s="59"/>
      <c r="AG71" s="59"/>
      <c r="AH71" s="59"/>
      <c r="AI71" s="59"/>
      <c r="AJ71" s="59"/>
      <c r="AK71" s="59"/>
    </row>
    <row r="72" spans="1:37" ht="15">
      <c r="A72" s="59"/>
      <c r="B72" s="59"/>
      <c r="C72" s="59"/>
      <c r="D72" s="59"/>
      <c r="E72" s="59"/>
      <c r="F72" s="59"/>
      <c r="G72" s="59"/>
      <c r="H72" s="59"/>
      <c r="I72" s="59"/>
      <c r="J72" s="59"/>
      <c r="K72" s="59"/>
      <c r="L72" s="59"/>
      <c r="M72" s="59"/>
      <c r="N72" s="59"/>
      <c r="O72" s="59"/>
      <c r="P72" s="59"/>
      <c r="Q72" s="59"/>
      <c r="R72" s="59"/>
      <c r="S72" s="59"/>
      <c r="T72" s="59"/>
      <c r="U72" s="59"/>
      <c r="V72" s="59"/>
      <c r="W72" s="59"/>
      <c r="X72" s="59"/>
      <c r="Y72" s="59"/>
      <c r="Z72" s="59"/>
      <c r="AA72" s="59"/>
      <c r="AB72" s="59"/>
      <c r="AC72" s="59"/>
      <c r="AD72" s="59"/>
      <c r="AE72" s="59"/>
      <c r="AF72" s="59"/>
      <c r="AG72" s="59"/>
      <c r="AH72" s="59"/>
      <c r="AI72" s="59"/>
      <c r="AJ72" s="59"/>
      <c r="AK72" s="59"/>
    </row>
    <row r="73" spans="1:37" ht="15">
      <c r="A73" s="59"/>
      <c r="B73" s="59"/>
      <c r="C73" s="59"/>
      <c r="D73" s="59"/>
      <c r="E73" s="59"/>
      <c r="F73" s="59"/>
      <c r="G73" s="59"/>
      <c r="H73" s="59"/>
      <c r="I73" s="59"/>
      <c r="J73" s="59"/>
      <c r="K73" s="59"/>
      <c r="L73" s="59"/>
      <c r="M73" s="59"/>
      <c r="N73" s="59"/>
      <c r="O73" s="59"/>
      <c r="P73" s="59"/>
      <c r="Q73" s="59"/>
      <c r="R73" s="59"/>
      <c r="S73" s="59"/>
      <c r="T73" s="59"/>
      <c r="U73" s="59"/>
      <c r="V73" s="59"/>
      <c r="W73" s="59"/>
      <c r="X73" s="59"/>
      <c r="Y73" s="59"/>
      <c r="Z73" s="59"/>
      <c r="AA73" s="59"/>
      <c r="AB73" s="59"/>
      <c r="AC73" s="59"/>
      <c r="AD73" s="59"/>
      <c r="AE73" s="59"/>
      <c r="AF73" s="59"/>
      <c r="AG73" s="59"/>
      <c r="AH73" s="59"/>
      <c r="AI73" s="59"/>
      <c r="AJ73" s="59"/>
      <c r="AK73" s="59"/>
    </row>
    <row r="74" spans="1:37" ht="15">
      <c r="A74" s="59"/>
      <c r="B74" s="59"/>
      <c r="C74" s="59"/>
      <c r="D74" s="59"/>
      <c r="E74" s="59"/>
      <c r="F74" s="59"/>
      <c r="G74" s="59"/>
      <c r="H74" s="59"/>
      <c r="I74" s="59"/>
      <c r="J74" s="59"/>
      <c r="K74" s="59"/>
      <c r="L74" s="59"/>
      <c r="M74" s="59"/>
      <c r="N74" s="59"/>
      <c r="O74" s="59"/>
      <c r="P74" s="59"/>
      <c r="Q74" s="59"/>
      <c r="R74" s="59"/>
      <c r="S74" s="59"/>
      <c r="T74" s="59"/>
      <c r="U74" s="59"/>
      <c r="V74" s="59"/>
      <c r="W74" s="59"/>
      <c r="X74" s="59"/>
      <c r="Y74" s="59"/>
      <c r="Z74" s="59"/>
      <c r="AA74" s="59"/>
      <c r="AB74" s="59"/>
      <c r="AC74" s="59"/>
      <c r="AD74" s="59"/>
      <c r="AE74" s="59"/>
      <c r="AF74" s="59"/>
      <c r="AG74" s="59"/>
      <c r="AH74" s="59"/>
      <c r="AI74" s="59"/>
      <c r="AJ74" s="59"/>
      <c r="AK74" s="59"/>
    </row>
    <row r="75" spans="1:37" ht="15">
      <c r="A75" s="59"/>
      <c r="B75" s="59"/>
      <c r="C75" s="59"/>
      <c r="D75" s="59"/>
      <c r="E75" s="59"/>
      <c r="F75" s="59"/>
      <c r="G75" s="59"/>
      <c r="H75" s="59"/>
      <c r="I75" s="59"/>
      <c r="J75" s="59"/>
      <c r="K75" s="59"/>
      <c r="L75" s="59"/>
      <c r="M75" s="59"/>
      <c r="N75" s="59"/>
      <c r="O75" s="59"/>
      <c r="P75" s="59"/>
      <c r="Q75" s="59"/>
      <c r="R75" s="59"/>
      <c r="S75" s="59"/>
      <c r="T75" s="59"/>
      <c r="U75" s="59"/>
      <c r="V75" s="59"/>
      <c r="W75" s="59"/>
      <c r="X75" s="59"/>
      <c r="Y75" s="59"/>
      <c r="Z75" s="59"/>
      <c r="AA75" s="59"/>
      <c r="AB75" s="59"/>
      <c r="AC75" s="59"/>
      <c r="AD75" s="59"/>
      <c r="AE75" s="59"/>
      <c r="AF75" s="59"/>
      <c r="AG75" s="59"/>
      <c r="AH75" s="59"/>
      <c r="AI75" s="59"/>
      <c r="AJ75" s="59"/>
      <c r="AK75" s="59"/>
    </row>
    <row r="76" spans="1:37" ht="15">
      <c r="A76" s="59"/>
      <c r="B76" s="59"/>
      <c r="C76" s="59"/>
      <c r="D76" s="59"/>
      <c r="E76" s="59"/>
      <c r="F76" s="59"/>
      <c r="G76" s="59"/>
      <c r="H76" s="59"/>
      <c r="I76" s="59"/>
      <c r="J76" s="59"/>
      <c r="K76" s="59"/>
      <c r="L76" s="59"/>
      <c r="M76" s="59"/>
      <c r="N76" s="59"/>
      <c r="O76" s="59"/>
      <c r="P76" s="59"/>
      <c r="Q76" s="59"/>
      <c r="R76" s="59"/>
      <c r="S76" s="59"/>
      <c r="T76" s="59"/>
      <c r="U76" s="59"/>
      <c r="V76" s="59"/>
      <c r="W76" s="59"/>
      <c r="X76" s="59"/>
      <c r="Y76" s="59"/>
      <c r="Z76" s="59"/>
      <c r="AA76" s="59"/>
      <c r="AB76" s="59"/>
      <c r="AC76" s="59"/>
      <c r="AD76" s="59"/>
      <c r="AE76" s="59"/>
      <c r="AF76" s="59"/>
      <c r="AG76" s="59"/>
      <c r="AH76" s="59"/>
      <c r="AI76" s="59"/>
      <c r="AJ76" s="59"/>
      <c r="AK76" s="59"/>
    </row>
    <row r="77" spans="1:37" ht="15">
      <c r="A77" s="59"/>
      <c r="B77" s="59"/>
      <c r="C77" s="59"/>
      <c r="D77" s="59"/>
      <c r="E77" s="59"/>
      <c r="F77" s="59"/>
      <c r="G77" s="59"/>
      <c r="H77" s="59"/>
      <c r="I77" s="59"/>
      <c r="J77" s="59"/>
      <c r="K77" s="59"/>
      <c r="L77" s="59"/>
      <c r="M77" s="59"/>
      <c r="N77" s="59"/>
      <c r="O77" s="59"/>
      <c r="P77" s="59"/>
      <c r="Q77" s="59"/>
      <c r="R77" s="59"/>
      <c r="S77" s="59"/>
      <c r="T77" s="59"/>
      <c r="U77" s="59"/>
      <c r="V77" s="59"/>
      <c r="W77" s="59"/>
      <c r="X77" s="59"/>
      <c r="Y77" s="59"/>
      <c r="Z77" s="59"/>
      <c r="AA77" s="59"/>
      <c r="AB77" s="59"/>
      <c r="AC77" s="59"/>
      <c r="AD77" s="59"/>
      <c r="AE77" s="59"/>
      <c r="AF77" s="59"/>
      <c r="AG77" s="59"/>
      <c r="AH77" s="59"/>
      <c r="AI77" s="59"/>
      <c r="AJ77" s="59"/>
      <c r="AK77" s="59"/>
    </row>
    <row r="78" spans="1:37" ht="15">
      <c r="A78" s="59"/>
      <c r="B78" s="59"/>
      <c r="C78" s="59"/>
      <c r="D78" s="59"/>
      <c r="E78" s="59"/>
      <c r="F78" s="59"/>
      <c r="G78" s="59"/>
      <c r="H78" s="59"/>
      <c r="I78" s="59"/>
      <c r="J78" s="59"/>
      <c r="K78" s="59"/>
      <c r="L78" s="59"/>
      <c r="M78" s="59"/>
      <c r="N78" s="59"/>
      <c r="O78" s="59"/>
      <c r="P78" s="59"/>
      <c r="Q78" s="59"/>
      <c r="R78" s="59"/>
      <c r="S78" s="59"/>
      <c r="T78" s="59"/>
      <c r="U78" s="59"/>
      <c r="V78" s="59"/>
      <c r="W78" s="59"/>
      <c r="X78" s="59"/>
      <c r="Y78" s="59"/>
      <c r="Z78" s="59"/>
      <c r="AA78" s="59"/>
      <c r="AB78" s="59"/>
      <c r="AC78" s="59"/>
      <c r="AD78" s="59"/>
      <c r="AE78" s="59"/>
      <c r="AF78" s="59"/>
      <c r="AG78" s="59"/>
      <c r="AH78" s="59"/>
      <c r="AI78" s="59"/>
      <c r="AJ78" s="59"/>
      <c r="AK78" s="59"/>
    </row>
    <row r="79" spans="1:37" ht="15">
      <c r="A79" s="59"/>
      <c r="B79" s="59"/>
      <c r="C79" s="59"/>
      <c r="D79" s="59"/>
      <c r="E79" s="59"/>
      <c r="F79" s="59"/>
      <c r="G79" s="59"/>
      <c r="H79" s="59"/>
      <c r="I79" s="59"/>
      <c r="J79" s="59"/>
      <c r="K79" s="59"/>
      <c r="L79" s="59"/>
      <c r="M79" s="59"/>
      <c r="N79" s="59"/>
      <c r="O79" s="59"/>
      <c r="P79" s="59"/>
      <c r="Q79" s="59"/>
      <c r="R79" s="59"/>
      <c r="S79" s="59"/>
      <c r="T79" s="59"/>
      <c r="U79" s="59"/>
      <c r="V79" s="59"/>
      <c r="W79" s="59"/>
      <c r="X79" s="59"/>
      <c r="Y79" s="59"/>
      <c r="Z79" s="59"/>
      <c r="AA79" s="59"/>
      <c r="AB79" s="59"/>
      <c r="AC79" s="59"/>
      <c r="AD79" s="59"/>
      <c r="AE79" s="59"/>
      <c r="AF79" s="59"/>
      <c r="AG79" s="59"/>
      <c r="AH79" s="59"/>
      <c r="AI79" s="59"/>
      <c r="AJ79" s="59"/>
      <c r="AK79" s="59"/>
    </row>
    <row r="80" spans="1:37" ht="15">
      <c r="A80" s="59"/>
      <c r="B80" s="59"/>
      <c r="C80" s="59"/>
      <c r="D80" s="59"/>
      <c r="E80" s="59"/>
      <c r="F80" s="59"/>
      <c r="G80" s="59"/>
      <c r="H80" s="59"/>
      <c r="I80" s="59"/>
      <c r="J80" s="59"/>
      <c r="K80" s="59"/>
      <c r="L80" s="59"/>
      <c r="M80" s="59"/>
      <c r="N80" s="59"/>
      <c r="O80" s="59"/>
      <c r="P80" s="59"/>
      <c r="Q80" s="59"/>
      <c r="R80" s="59"/>
      <c r="S80" s="59"/>
      <c r="T80" s="59"/>
      <c r="U80" s="59"/>
      <c r="V80" s="59"/>
      <c r="W80" s="59"/>
      <c r="X80" s="59"/>
      <c r="Y80" s="59"/>
      <c r="Z80" s="59"/>
      <c r="AA80" s="59"/>
      <c r="AB80" s="59"/>
      <c r="AC80" s="59"/>
      <c r="AD80" s="59"/>
      <c r="AE80" s="59"/>
      <c r="AF80" s="59"/>
      <c r="AG80" s="59"/>
      <c r="AH80" s="59"/>
      <c r="AI80" s="59"/>
      <c r="AJ80" s="59"/>
      <c r="AK80" s="59"/>
    </row>
    <row r="81" spans="1:37" ht="15">
      <c r="A81" s="59"/>
      <c r="B81" s="59"/>
      <c r="C81" s="59"/>
      <c r="D81" s="59"/>
      <c r="E81" s="59"/>
      <c r="F81" s="59"/>
      <c r="G81" s="59"/>
      <c r="H81" s="59"/>
      <c r="I81" s="59"/>
      <c r="J81" s="59"/>
      <c r="K81" s="59"/>
      <c r="L81" s="59"/>
      <c r="M81" s="59"/>
      <c r="N81" s="59"/>
      <c r="O81" s="59"/>
      <c r="P81" s="59"/>
      <c r="Q81" s="59"/>
      <c r="R81" s="59"/>
      <c r="S81" s="59"/>
      <c r="T81" s="59"/>
      <c r="U81" s="59"/>
      <c r="V81" s="59"/>
      <c r="W81" s="59"/>
      <c r="X81" s="59"/>
      <c r="Y81" s="59"/>
      <c r="Z81" s="59"/>
      <c r="AA81" s="59"/>
      <c r="AB81" s="59"/>
      <c r="AC81" s="59"/>
      <c r="AD81" s="59"/>
      <c r="AE81" s="59"/>
      <c r="AF81" s="59"/>
      <c r="AG81" s="59"/>
      <c r="AH81" s="59"/>
      <c r="AI81" s="59"/>
      <c r="AJ81" s="59"/>
      <c r="AK81" s="59"/>
    </row>
    <row r="82" spans="1:37" ht="15">
      <c r="A82" s="59"/>
      <c r="B82" s="59"/>
      <c r="C82" s="59"/>
      <c r="D82" s="59"/>
      <c r="E82" s="59"/>
      <c r="F82" s="59"/>
      <c r="G82" s="59"/>
      <c r="H82" s="59"/>
      <c r="I82" s="59"/>
      <c r="J82" s="59"/>
      <c r="K82" s="59"/>
      <c r="L82" s="59"/>
      <c r="M82" s="59"/>
      <c r="N82" s="59"/>
      <c r="O82" s="59"/>
      <c r="P82" s="59"/>
      <c r="Q82" s="59"/>
      <c r="R82" s="59"/>
      <c r="S82" s="59"/>
      <c r="T82" s="59"/>
      <c r="U82" s="59"/>
      <c r="V82" s="59"/>
      <c r="W82" s="59"/>
      <c r="X82" s="59"/>
      <c r="Y82" s="59"/>
      <c r="Z82" s="59"/>
      <c r="AA82" s="59"/>
      <c r="AB82" s="59"/>
      <c r="AC82" s="59"/>
      <c r="AD82" s="59"/>
      <c r="AE82" s="59"/>
      <c r="AF82" s="59"/>
      <c r="AG82" s="59"/>
      <c r="AH82" s="59"/>
      <c r="AI82" s="59"/>
      <c r="AJ82" s="59"/>
      <c r="AK82" s="59"/>
    </row>
    <row r="83" spans="1:37" ht="15">
      <c r="A83" s="59"/>
      <c r="B83" s="59"/>
      <c r="C83" s="59"/>
      <c r="D83" s="59"/>
      <c r="E83" s="59"/>
      <c r="F83" s="59"/>
      <c r="G83" s="59"/>
      <c r="H83" s="59"/>
      <c r="I83" s="59"/>
      <c r="J83" s="59"/>
      <c r="K83" s="59"/>
      <c r="L83" s="59"/>
      <c r="M83" s="59"/>
      <c r="N83" s="59"/>
      <c r="O83" s="59"/>
      <c r="P83" s="59"/>
      <c r="Q83" s="59"/>
      <c r="R83" s="59"/>
      <c r="S83" s="59"/>
      <c r="T83" s="59"/>
      <c r="U83" s="59"/>
      <c r="V83" s="59"/>
      <c r="W83" s="59"/>
      <c r="X83" s="59"/>
      <c r="Y83" s="59"/>
      <c r="Z83" s="59"/>
      <c r="AA83" s="59"/>
      <c r="AB83" s="59"/>
      <c r="AC83" s="59"/>
      <c r="AD83" s="59"/>
      <c r="AE83" s="59"/>
      <c r="AF83" s="59"/>
      <c r="AG83" s="59"/>
      <c r="AH83" s="59"/>
      <c r="AI83" s="59"/>
      <c r="AJ83" s="59"/>
      <c r="AK83" s="59"/>
    </row>
    <row r="84" spans="1:37" ht="15">
      <c r="A84" s="59"/>
      <c r="B84" s="59"/>
      <c r="C84" s="59"/>
      <c r="D84" s="59"/>
      <c r="E84" s="59"/>
      <c r="F84" s="59"/>
      <c r="G84" s="59"/>
      <c r="H84" s="59"/>
      <c r="I84" s="59"/>
      <c r="J84" s="59"/>
      <c r="K84" s="59"/>
      <c r="L84" s="59"/>
      <c r="M84" s="59"/>
      <c r="N84" s="59"/>
      <c r="O84" s="59"/>
      <c r="P84" s="59"/>
      <c r="Q84" s="59"/>
      <c r="R84" s="59"/>
      <c r="S84" s="59"/>
      <c r="T84" s="59"/>
      <c r="U84" s="59"/>
      <c r="V84" s="59"/>
      <c r="W84" s="59"/>
      <c r="X84" s="59"/>
      <c r="Y84" s="59"/>
      <c r="Z84" s="59"/>
      <c r="AA84" s="59"/>
      <c r="AB84" s="59"/>
      <c r="AC84" s="59"/>
      <c r="AD84" s="59"/>
      <c r="AE84" s="59"/>
      <c r="AF84" s="59"/>
      <c r="AG84" s="59"/>
      <c r="AH84" s="59"/>
      <c r="AI84" s="59"/>
      <c r="AJ84" s="59"/>
      <c r="AK84" s="59"/>
    </row>
  </sheetData>
  <mergeCells count="1">
    <mergeCell ref="C2:D2"/>
  </mergeCells>
  <phoneticPr fontId="0" type="noConversion"/>
  <pageMargins left="0.75" right="0.75" top="1" bottom="1" header="0.5" footer="0.5"/>
  <pageSetup orientation="portrait" horizontalDpi="300" r:id="rId1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>
  <sheetPr codeName="Sheet2"/>
  <dimension ref="A1:AK77"/>
  <sheetViews>
    <sheetView workbookViewId="0"/>
  </sheetViews>
  <sheetFormatPr defaultRowHeight="12.75"/>
  <cols>
    <col min="1" max="1" width="12" customWidth="1"/>
    <col min="2" max="2" width="3.140625" customWidth="1"/>
    <col min="3" max="3" width="26.28515625" customWidth="1"/>
    <col min="4" max="4" width="15.7109375" customWidth="1"/>
    <col min="5" max="5" width="3.140625" customWidth="1"/>
  </cols>
  <sheetData>
    <row r="1" spans="2:7" ht="18">
      <c r="C1" s="7" t="s">
        <v>725</v>
      </c>
      <c r="D1" s="7"/>
      <c r="E1" s="7"/>
      <c r="F1" s="58"/>
      <c r="G1" s="58"/>
    </row>
    <row r="2" spans="2:7" ht="18">
      <c r="C2" s="772" t="s">
        <v>272</v>
      </c>
      <c r="D2" s="772"/>
      <c r="E2" s="7"/>
      <c r="F2" s="58"/>
      <c r="G2" s="58"/>
    </row>
    <row r="4" spans="2:7" ht="15">
      <c r="C4" s="9" t="s">
        <v>34</v>
      </c>
      <c r="D4" s="59"/>
      <c r="E4" s="59"/>
    </row>
    <row r="5" spans="2:7" ht="15.75" thickBot="1">
      <c r="C5" s="60"/>
      <c r="D5" s="61"/>
      <c r="E5" s="59"/>
    </row>
    <row r="6" spans="2:7" ht="15">
      <c r="B6" s="62"/>
      <c r="C6" s="49"/>
      <c r="D6" s="63"/>
      <c r="E6" s="64"/>
    </row>
    <row r="7" spans="2:7" ht="15">
      <c r="B7" s="65"/>
      <c r="C7" s="63" t="s">
        <v>273</v>
      </c>
      <c r="D7" s="71">
        <v>500000</v>
      </c>
      <c r="E7" s="67"/>
    </row>
    <row r="8" spans="2:7" ht="15">
      <c r="B8" s="65"/>
      <c r="C8" s="63" t="s">
        <v>274</v>
      </c>
      <c r="D8" s="166">
        <v>25</v>
      </c>
      <c r="E8" s="69"/>
    </row>
    <row r="9" spans="2:7" ht="15">
      <c r="B9" s="65"/>
      <c r="C9" s="63" t="s">
        <v>262</v>
      </c>
      <c r="D9" s="107">
        <v>5.5E-2</v>
      </c>
      <c r="E9" s="69"/>
    </row>
    <row r="10" spans="2:7" ht="15">
      <c r="B10" s="65"/>
      <c r="C10" s="63"/>
      <c r="D10" s="107"/>
      <c r="E10" s="69"/>
    </row>
    <row r="11" spans="2:7" ht="15">
      <c r="B11" s="120" t="s">
        <v>250</v>
      </c>
      <c r="C11" s="63" t="s">
        <v>262</v>
      </c>
      <c r="D11" s="107">
        <v>6.2E-2</v>
      </c>
      <c r="E11" s="69"/>
    </row>
    <row r="12" spans="2:7" ht="15">
      <c r="B12" s="120" t="s">
        <v>276</v>
      </c>
      <c r="C12" s="63" t="s">
        <v>262</v>
      </c>
      <c r="D12" s="107">
        <v>4.5999999999999999E-2</v>
      </c>
      <c r="E12" s="67"/>
    </row>
    <row r="13" spans="2:7" ht="15.75" thickBot="1">
      <c r="B13" s="72"/>
      <c r="C13" s="73"/>
      <c r="D13" s="73"/>
      <c r="E13" s="74"/>
    </row>
    <row r="14" spans="2:7" ht="15">
      <c r="C14" s="59"/>
      <c r="D14" s="59"/>
      <c r="E14" s="59"/>
    </row>
    <row r="15" spans="2:7" ht="15">
      <c r="C15" s="9" t="s">
        <v>51</v>
      </c>
      <c r="D15" s="59"/>
      <c r="E15" s="59"/>
    </row>
    <row r="16" spans="2:7" ht="13.5" thickBot="1">
      <c r="F16" s="75"/>
    </row>
    <row r="17" spans="1:37" ht="15">
      <c r="A17" s="59"/>
      <c r="B17" s="76"/>
      <c r="C17" s="77"/>
      <c r="D17" s="78"/>
      <c r="E17" s="79"/>
      <c r="F17" s="59"/>
      <c r="G17" s="59"/>
      <c r="H17" s="59"/>
      <c r="I17" s="59"/>
      <c r="J17" s="59"/>
      <c r="K17" s="59"/>
      <c r="L17" s="59"/>
      <c r="M17" s="59"/>
      <c r="N17" s="59"/>
      <c r="O17" s="59"/>
      <c r="P17" s="59"/>
      <c r="Q17" s="59"/>
      <c r="R17" s="59"/>
      <c r="S17" s="59"/>
      <c r="T17" s="59"/>
      <c r="U17" s="59"/>
      <c r="V17" s="59"/>
      <c r="W17" s="59"/>
      <c r="X17" s="59"/>
      <c r="Y17" s="59"/>
      <c r="Z17" s="59"/>
      <c r="AA17" s="59"/>
      <c r="AB17" s="59"/>
      <c r="AC17" s="59"/>
      <c r="AD17" s="59"/>
      <c r="AE17" s="59"/>
      <c r="AF17" s="59"/>
      <c r="AG17" s="59"/>
      <c r="AH17" s="59"/>
      <c r="AI17" s="59"/>
      <c r="AJ17" s="59"/>
    </row>
    <row r="18" spans="1:37" ht="15.75">
      <c r="A18" s="59"/>
      <c r="B18" s="80" t="s">
        <v>98</v>
      </c>
      <c r="C18" s="81" t="s">
        <v>275</v>
      </c>
      <c r="D18" s="37">
        <f>PMT(D9/12,D8*12,-D7)</f>
        <v>3070.4374614073513</v>
      </c>
      <c r="E18" s="82"/>
      <c r="F18" s="59"/>
      <c r="G18" s="59"/>
      <c r="H18" s="59"/>
      <c r="I18" s="59"/>
      <c r="J18" s="59"/>
      <c r="K18" s="59"/>
      <c r="L18" s="59"/>
      <c r="M18" s="59"/>
      <c r="N18" s="59"/>
      <c r="O18" s="59"/>
      <c r="P18" s="59"/>
      <c r="Q18" s="59"/>
      <c r="R18" s="59"/>
      <c r="S18" s="59"/>
      <c r="T18" s="59"/>
      <c r="U18" s="59"/>
      <c r="V18" s="59"/>
      <c r="W18" s="59"/>
      <c r="X18" s="59"/>
      <c r="Y18" s="59"/>
      <c r="Z18" s="59"/>
      <c r="AA18" s="59"/>
      <c r="AB18" s="59"/>
      <c r="AC18" s="59"/>
      <c r="AD18" s="59"/>
      <c r="AE18" s="59"/>
      <c r="AF18" s="59"/>
      <c r="AG18" s="59"/>
      <c r="AH18" s="59"/>
      <c r="AI18" s="59"/>
      <c r="AJ18" s="59"/>
    </row>
    <row r="19" spans="1:37" ht="15">
      <c r="A19" s="59"/>
      <c r="B19" s="80"/>
      <c r="C19" s="81"/>
      <c r="D19" s="83"/>
      <c r="E19" s="82"/>
      <c r="F19" s="59"/>
      <c r="G19" s="59"/>
      <c r="H19" s="59"/>
      <c r="I19" s="59"/>
      <c r="J19" s="59"/>
      <c r="K19" s="59"/>
      <c r="L19" s="59"/>
      <c r="M19" s="59"/>
      <c r="N19" s="59"/>
      <c r="O19" s="59"/>
      <c r="P19" s="59"/>
      <c r="Q19" s="59"/>
      <c r="R19" s="59"/>
      <c r="S19" s="59"/>
      <c r="T19" s="59"/>
      <c r="U19" s="59"/>
      <c r="V19" s="59"/>
      <c r="W19" s="59"/>
      <c r="X19" s="59"/>
      <c r="Y19" s="59"/>
      <c r="Z19" s="59"/>
      <c r="AA19" s="59"/>
      <c r="AB19" s="59"/>
      <c r="AC19" s="59"/>
      <c r="AD19" s="59"/>
      <c r="AE19" s="59"/>
      <c r="AF19" s="59"/>
      <c r="AG19" s="59"/>
      <c r="AH19" s="59"/>
      <c r="AI19" s="59"/>
      <c r="AJ19" s="59"/>
    </row>
    <row r="20" spans="1:37" ht="15.75">
      <c r="A20" s="59"/>
      <c r="B20" s="80" t="s">
        <v>250</v>
      </c>
      <c r="C20" s="81" t="s">
        <v>273</v>
      </c>
      <c r="D20" s="37">
        <f>PV(D11/12,D8*12,-D18)</f>
        <v>467639.53501451999</v>
      </c>
      <c r="E20" s="82"/>
      <c r="F20" s="59"/>
      <c r="G20" s="59"/>
      <c r="H20" s="59"/>
      <c r="I20" s="59"/>
      <c r="J20" s="59"/>
      <c r="K20" s="59"/>
      <c r="L20" s="59"/>
      <c r="M20" s="59"/>
      <c r="N20" s="59"/>
      <c r="O20" s="59"/>
      <c r="P20" s="59"/>
      <c r="Q20" s="59"/>
      <c r="R20" s="59"/>
      <c r="S20" s="59"/>
      <c r="T20" s="59"/>
      <c r="U20" s="59"/>
      <c r="V20" s="59"/>
      <c r="W20" s="59"/>
      <c r="X20" s="59"/>
      <c r="Y20" s="59"/>
      <c r="Z20" s="59"/>
      <c r="AA20" s="59"/>
      <c r="AB20" s="59"/>
      <c r="AC20" s="59"/>
      <c r="AD20" s="59"/>
      <c r="AE20" s="59"/>
      <c r="AF20" s="59"/>
      <c r="AG20" s="59"/>
      <c r="AH20" s="59"/>
      <c r="AI20" s="59"/>
      <c r="AJ20" s="59"/>
    </row>
    <row r="21" spans="1:37" ht="15">
      <c r="A21" s="59"/>
      <c r="B21" s="80"/>
      <c r="C21" s="81"/>
      <c r="D21" s="85"/>
      <c r="E21" s="82"/>
      <c r="F21" s="59"/>
      <c r="G21" s="59"/>
      <c r="H21" s="59"/>
      <c r="I21" s="59"/>
      <c r="J21" s="59"/>
      <c r="K21" s="59"/>
      <c r="L21" s="59"/>
      <c r="M21" s="59"/>
      <c r="N21" s="59"/>
      <c r="O21" s="59"/>
      <c r="P21" s="59"/>
      <c r="Q21" s="59"/>
      <c r="R21" s="59"/>
      <c r="S21" s="59"/>
      <c r="T21" s="59"/>
      <c r="U21" s="59"/>
      <c r="V21" s="59"/>
      <c r="W21" s="59"/>
      <c r="X21" s="59"/>
      <c r="Y21" s="59"/>
      <c r="Z21" s="59"/>
      <c r="AA21" s="59"/>
      <c r="AB21" s="59"/>
      <c r="AC21" s="59"/>
      <c r="AD21" s="59"/>
      <c r="AE21" s="59"/>
      <c r="AF21" s="59"/>
      <c r="AG21" s="59"/>
      <c r="AH21" s="59"/>
      <c r="AI21" s="59"/>
      <c r="AJ21" s="59"/>
    </row>
    <row r="22" spans="1:37" ht="15.75">
      <c r="A22" s="59"/>
      <c r="B22" s="80" t="s">
        <v>276</v>
      </c>
      <c r="C22" s="81" t="s">
        <v>273</v>
      </c>
      <c r="D22" s="37">
        <f>PV(D12/12,D8*12,-D18)</f>
        <v>546804.58746734518</v>
      </c>
      <c r="E22" s="82"/>
      <c r="F22" s="59"/>
      <c r="G22" s="59"/>
      <c r="H22" s="59"/>
      <c r="I22" s="59"/>
      <c r="J22" s="59"/>
      <c r="K22" s="59"/>
      <c r="L22" s="59"/>
      <c r="M22" s="59"/>
      <c r="N22" s="59"/>
      <c r="O22" s="59"/>
      <c r="P22" s="59"/>
      <c r="Q22" s="59"/>
      <c r="R22" s="59"/>
      <c r="S22" s="59"/>
      <c r="T22" s="59"/>
      <c r="U22" s="59"/>
      <c r="V22" s="59"/>
      <c r="W22" s="59"/>
      <c r="X22" s="59"/>
      <c r="Y22" s="59"/>
      <c r="Z22" s="59"/>
      <c r="AA22" s="59"/>
      <c r="AB22" s="59"/>
      <c r="AC22" s="59"/>
      <c r="AD22" s="59"/>
      <c r="AE22" s="59"/>
      <c r="AF22" s="59"/>
      <c r="AG22" s="59"/>
      <c r="AH22" s="59"/>
      <c r="AI22" s="59"/>
      <c r="AJ22" s="59"/>
    </row>
    <row r="23" spans="1:37" ht="15.75" thickBot="1">
      <c r="A23" s="59"/>
      <c r="B23" s="89"/>
      <c r="C23" s="90"/>
      <c r="D23" s="90"/>
      <c r="E23" s="91"/>
      <c r="F23" s="59"/>
      <c r="G23" s="59"/>
      <c r="H23" s="59"/>
      <c r="I23" s="59"/>
      <c r="J23" s="59"/>
      <c r="K23" s="59"/>
      <c r="L23" s="59"/>
      <c r="M23" s="59"/>
      <c r="N23" s="59"/>
      <c r="O23" s="59"/>
      <c r="P23" s="59"/>
      <c r="Q23" s="59"/>
      <c r="R23" s="59"/>
      <c r="S23" s="59"/>
      <c r="T23" s="59"/>
      <c r="U23" s="59"/>
      <c r="V23" s="59"/>
      <c r="W23" s="59"/>
      <c r="X23" s="59"/>
      <c r="Y23" s="59"/>
      <c r="Z23" s="59"/>
      <c r="AA23" s="59"/>
      <c r="AB23" s="59"/>
      <c r="AC23" s="59"/>
      <c r="AD23" s="59"/>
      <c r="AE23" s="59"/>
      <c r="AF23" s="59"/>
      <c r="AG23" s="59"/>
      <c r="AH23" s="59"/>
      <c r="AI23" s="59"/>
      <c r="AJ23" s="59"/>
    </row>
    <row r="24" spans="1:37" ht="15">
      <c r="A24" s="59"/>
      <c r="B24" s="59"/>
      <c r="C24" s="59"/>
      <c r="D24" s="59"/>
      <c r="E24" s="59"/>
      <c r="F24" s="59"/>
      <c r="G24" s="59"/>
      <c r="H24" s="59"/>
      <c r="I24" s="59"/>
      <c r="J24" s="59"/>
      <c r="K24" s="59"/>
      <c r="L24" s="59"/>
      <c r="M24" s="59"/>
      <c r="N24" s="59"/>
      <c r="O24" s="59"/>
      <c r="P24" s="59"/>
      <c r="Q24" s="59"/>
      <c r="R24" s="59"/>
      <c r="S24" s="59"/>
      <c r="T24" s="59"/>
      <c r="U24" s="59"/>
      <c r="V24" s="59"/>
      <c r="W24" s="59"/>
      <c r="X24" s="59"/>
      <c r="Y24" s="59"/>
      <c r="Z24" s="59"/>
      <c r="AA24" s="59"/>
      <c r="AB24" s="59"/>
      <c r="AC24" s="59"/>
      <c r="AD24" s="59"/>
      <c r="AE24" s="59"/>
      <c r="AF24" s="59"/>
      <c r="AG24" s="59"/>
      <c r="AH24" s="59"/>
      <c r="AI24" s="59"/>
      <c r="AJ24" s="59"/>
    </row>
    <row r="25" spans="1:37" ht="15">
      <c r="A25" s="59"/>
      <c r="B25" s="59"/>
      <c r="C25" s="59"/>
      <c r="D25" s="59"/>
      <c r="E25" s="59"/>
      <c r="F25" s="59"/>
      <c r="G25" s="59"/>
      <c r="H25" s="59"/>
      <c r="I25" s="59"/>
      <c r="J25" s="59"/>
      <c r="K25" s="59"/>
      <c r="L25" s="59"/>
      <c r="M25" s="59"/>
      <c r="N25" s="59"/>
      <c r="O25" s="59"/>
      <c r="P25" s="59"/>
      <c r="Q25" s="59"/>
      <c r="R25" s="59"/>
      <c r="S25" s="59"/>
      <c r="T25" s="59"/>
      <c r="U25" s="59"/>
      <c r="V25" s="59"/>
      <c r="W25" s="59"/>
      <c r="X25" s="59"/>
      <c r="Y25" s="59"/>
      <c r="Z25" s="59"/>
      <c r="AA25" s="59"/>
      <c r="AB25" s="59"/>
      <c r="AC25" s="59"/>
      <c r="AD25" s="59"/>
      <c r="AE25" s="59"/>
      <c r="AF25" s="59"/>
      <c r="AG25" s="59"/>
      <c r="AH25" s="59"/>
      <c r="AI25" s="59"/>
      <c r="AJ25" s="59"/>
      <c r="AK25" s="59"/>
    </row>
    <row r="26" spans="1:37" ht="15">
      <c r="A26" s="59"/>
      <c r="B26" s="59"/>
      <c r="C26" s="59"/>
      <c r="D26" s="59"/>
      <c r="E26" s="59"/>
      <c r="F26" s="59"/>
      <c r="G26" s="59"/>
      <c r="H26" s="59"/>
      <c r="I26" s="59"/>
      <c r="J26" s="59"/>
      <c r="K26" s="59"/>
      <c r="L26" s="59"/>
      <c r="M26" s="59"/>
      <c r="N26" s="59"/>
      <c r="O26" s="59"/>
      <c r="P26" s="59"/>
      <c r="Q26" s="59"/>
      <c r="R26" s="59"/>
      <c r="S26" s="59"/>
      <c r="T26" s="59"/>
      <c r="U26" s="59"/>
      <c r="V26" s="59"/>
      <c r="W26" s="59"/>
      <c r="X26" s="59"/>
      <c r="Y26" s="59"/>
      <c r="Z26" s="59"/>
      <c r="AA26" s="59"/>
      <c r="AB26" s="59"/>
      <c r="AC26" s="59"/>
      <c r="AD26" s="59"/>
      <c r="AE26" s="59"/>
      <c r="AF26" s="59"/>
      <c r="AG26" s="59"/>
      <c r="AH26" s="59"/>
      <c r="AI26" s="59"/>
      <c r="AJ26" s="59"/>
      <c r="AK26" s="59"/>
    </row>
    <row r="27" spans="1:37" ht="15">
      <c r="A27" s="59"/>
      <c r="B27" s="59"/>
      <c r="C27" s="59"/>
      <c r="D27" s="59"/>
      <c r="E27" s="59"/>
      <c r="F27" s="59"/>
      <c r="G27" s="59"/>
      <c r="H27" s="59"/>
      <c r="I27" s="59"/>
      <c r="J27" s="59"/>
      <c r="K27" s="59"/>
      <c r="L27" s="59"/>
      <c r="M27" s="59"/>
      <c r="N27" s="59"/>
      <c r="O27" s="59"/>
      <c r="P27" s="59"/>
      <c r="Q27" s="59"/>
      <c r="R27" s="59"/>
      <c r="S27" s="59"/>
      <c r="T27" s="59"/>
      <c r="U27" s="59"/>
      <c r="V27" s="59"/>
      <c r="W27" s="59"/>
      <c r="X27" s="59"/>
      <c r="Y27" s="59"/>
      <c r="Z27" s="59"/>
      <c r="AA27" s="59"/>
      <c r="AB27" s="59"/>
      <c r="AC27" s="59"/>
      <c r="AD27" s="59"/>
      <c r="AE27" s="59"/>
      <c r="AF27" s="59"/>
      <c r="AG27" s="59"/>
      <c r="AH27" s="59"/>
      <c r="AI27" s="59"/>
      <c r="AJ27" s="59"/>
      <c r="AK27" s="59"/>
    </row>
    <row r="28" spans="1:37" ht="15">
      <c r="A28" s="59"/>
      <c r="B28" s="59"/>
      <c r="C28" s="59"/>
      <c r="D28" s="59"/>
      <c r="E28" s="59"/>
      <c r="F28" s="59"/>
      <c r="G28" s="59"/>
      <c r="H28" s="59"/>
      <c r="I28" s="59"/>
      <c r="J28" s="59"/>
      <c r="K28" s="59"/>
      <c r="L28" s="59"/>
      <c r="M28" s="59"/>
      <c r="N28" s="59"/>
      <c r="O28" s="59"/>
      <c r="P28" s="59"/>
      <c r="Q28" s="59"/>
      <c r="R28" s="59"/>
      <c r="S28" s="59"/>
      <c r="T28" s="59"/>
      <c r="U28" s="59"/>
      <c r="V28" s="59"/>
      <c r="W28" s="59"/>
      <c r="X28" s="59"/>
      <c r="Y28" s="59"/>
      <c r="Z28" s="59"/>
      <c r="AA28" s="59"/>
      <c r="AB28" s="59"/>
      <c r="AC28" s="59"/>
      <c r="AD28" s="59"/>
      <c r="AE28" s="59"/>
      <c r="AF28" s="59"/>
      <c r="AG28" s="59"/>
      <c r="AH28" s="59"/>
      <c r="AI28" s="59"/>
      <c r="AJ28" s="59"/>
      <c r="AK28" s="59"/>
    </row>
    <row r="29" spans="1:37" ht="15">
      <c r="A29" s="59"/>
      <c r="B29" s="59"/>
      <c r="C29" s="59"/>
      <c r="D29" s="59"/>
      <c r="E29" s="59"/>
      <c r="F29" s="59"/>
      <c r="G29" s="59"/>
      <c r="H29" s="59"/>
      <c r="I29" s="59"/>
      <c r="J29" s="59"/>
      <c r="K29" s="59"/>
      <c r="L29" s="59"/>
      <c r="M29" s="59"/>
      <c r="N29" s="59"/>
      <c r="O29" s="59"/>
      <c r="P29" s="59"/>
      <c r="Q29" s="59"/>
      <c r="R29" s="59"/>
      <c r="S29" s="59"/>
      <c r="T29" s="59"/>
      <c r="U29" s="59"/>
      <c r="V29" s="59"/>
      <c r="W29" s="59"/>
      <c r="X29" s="59"/>
      <c r="Y29" s="59"/>
      <c r="Z29" s="59"/>
      <c r="AA29" s="59"/>
      <c r="AB29" s="59"/>
      <c r="AC29" s="59"/>
      <c r="AD29" s="59"/>
      <c r="AE29" s="59"/>
      <c r="AF29" s="59"/>
      <c r="AG29" s="59"/>
      <c r="AH29" s="59"/>
      <c r="AI29" s="59"/>
      <c r="AJ29" s="59"/>
      <c r="AK29" s="59"/>
    </row>
    <row r="30" spans="1:37" ht="15">
      <c r="A30" s="59"/>
      <c r="B30" s="59"/>
      <c r="C30" s="59"/>
      <c r="D30" s="59"/>
      <c r="E30" s="59"/>
      <c r="F30" s="59"/>
      <c r="G30" s="59"/>
      <c r="H30" s="59"/>
      <c r="I30" s="59"/>
      <c r="J30" s="59"/>
      <c r="K30" s="59"/>
      <c r="L30" s="59"/>
      <c r="M30" s="59"/>
      <c r="N30" s="59"/>
      <c r="O30" s="59"/>
      <c r="P30" s="59"/>
      <c r="Q30" s="59"/>
      <c r="R30" s="59"/>
      <c r="S30" s="59"/>
      <c r="T30" s="59"/>
      <c r="U30" s="59"/>
      <c r="V30" s="59"/>
      <c r="W30" s="59"/>
      <c r="X30" s="59"/>
      <c r="Y30" s="59"/>
      <c r="Z30" s="59"/>
      <c r="AA30" s="59"/>
      <c r="AB30" s="59"/>
      <c r="AC30" s="59"/>
      <c r="AD30" s="59"/>
      <c r="AE30" s="59"/>
      <c r="AF30" s="59"/>
      <c r="AG30" s="59"/>
      <c r="AH30" s="59"/>
      <c r="AI30" s="59"/>
      <c r="AJ30" s="59"/>
      <c r="AK30" s="59"/>
    </row>
    <row r="31" spans="1:37" ht="15">
      <c r="A31" s="59"/>
      <c r="B31" s="59"/>
      <c r="C31" s="59"/>
      <c r="D31" s="59"/>
      <c r="E31" s="59"/>
      <c r="F31" s="59"/>
      <c r="G31" s="59"/>
      <c r="H31" s="59"/>
      <c r="I31" s="59"/>
      <c r="J31" s="59"/>
      <c r="K31" s="59"/>
      <c r="L31" s="59"/>
      <c r="M31" s="59"/>
      <c r="N31" s="59"/>
      <c r="O31" s="59"/>
      <c r="P31" s="59"/>
      <c r="Q31" s="59"/>
      <c r="R31" s="59"/>
      <c r="S31" s="59"/>
      <c r="T31" s="59"/>
      <c r="U31" s="59"/>
      <c r="V31" s="59"/>
      <c r="W31" s="59"/>
      <c r="X31" s="59"/>
      <c r="Y31" s="59"/>
      <c r="Z31" s="59"/>
      <c r="AA31" s="59"/>
      <c r="AB31" s="59"/>
      <c r="AC31" s="59"/>
      <c r="AD31" s="59"/>
      <c r="AE31" s="59"/>
      <c r="AF31" s="59"/>
      <c r="AG31" s="59"/>
      <c r="AH31" s="59"/>
      <c r="AI31" s="59"/>
      <c r="AJ31" s="59"/>
      <c r="AK31" s="59"/>
    </row>
    <row r="32" spans="1:37" ht="15">
      <c r="A32" s="59"/>
      <c r="B32" s="59"/>
      <c r="C32" s="59"/>
      <c r="D32" s="59"/>
      <c r="E32" s="59"/>
      <c r="F32" s="59"/>
      <c r="G32" s="59"/>
      <c r="H32" s="59"/>
      <c r="I32" s="59"/>
      <c r="J32" s="59"/>
      <c r="K32" s="59"/>
      <c r="L32" s="59"/>
      <c r="M32" s="59"/>
      <c r="N32" s="59"/>
      <c r="O32" s="59"/>
      <c r="P32" s="59"/>
      <c r="Q32" s="59"/>
      <c r="R32" s="59"/>
      <c r="S32" s="59"/>
      <c r="T32" s="59"/>
      <c r="U32" s="59"/>
      <c r="V32" s="59"/>
      <c r="W32" s="59"/>
      <c r="X32" s="59"/>
      <c r="Y32" s="59"/>
      <c r="Z32" s="59"/>
      <c r="AA32" s="59"/>
      <c r="AB32" s="59"/>
      <c r="AC32" s="59"/>
      <c r="AD32" s="59"/>
      <c r="AE32" s="59"/>
      <c r="AF32" s="59"/>
      <c r="AG32" s="59"/>
      <c r="AH32" s="59"/>
      <c r="AI32" s="59"/>
      <c r="AJ32" s="59"/>
      <c r="AK32" s="59"/>
    </row>
    <row r="33" spans="1:37" ht="15">
      <c r="A33" s="59"/>
      <c r="B33" s="59"/>
      <c r="C33" s="59"/>
      <c r="D33" s="59"/>
      <c r="E33" s="59"/>
      <c r="F33" s="59"/>
      <c r="G33" s="59"/>
      <c r="H33" s="59"/>
      <c r="I33" s="59"/>
      <c r="J33" s="59"/>
      <c r="K33" s="59"/>
      <c r="L33" s="59"/>
      <c r="M33" s="59"/>
      <c r="N33" s="59"/>
      <c r="O33" s="59"/>
      <c r="P33" s="59"/>
      <c r="Q33" s="59"/>
      <c r="R33" s="59"/>
      <c r="S33" s="59"/>
      <c r="T33" s="59"/>
      <c r="U33" s="59"/>
      <c r="V33" s="59"/>
      <c r="W33" s="59"/>
      <c r="X33" s="59"/>
      <c r="Y33" s="59"/>
      <c r="Z33" s="59"/>
      <c r="AA33" s="59"/>
      <c r="AB33" s="59"/>
      <c r="AC33" s="59"/>
      <c r="AD33" s="59"/>
      <c r="AE33" s="59"/>
      <c r="AF33" s="59"/>
      <c r="AG33" s="59"/>
      <c r="AH33" s="59"/>
      <c r="AI33" s="59"/>
      <c r="AJ33" s="59"/>
      <c r="AK33" s="59"/>
    </row>
    <row r="34" spans="1:37" ht="15">
      <c r="A34" s="59"/>
      <c r="B34" s="59"/>
      <c r="C34" s="59"/>
      <c r="D34" s="59"/>
      <c r="E34" s="59"/>
      <c r="F34" s="59"/>
      <c r="G34" s="59"/>
      <c r="H34" s="59"/>
      <c r="I34" s="59"/>
      <c r="J34" s="59"/>
      <c r="K34" s="59"/>
      <c r="L34" s="59"/>
      <c r="M34" s="59"/>
      <c r="N34" s="59"/>
      <c r="O34" s="59"/>
      <c r="P34" s="59"/>
      <c r="Q34" s="59"/>
      <c r="R34" s="59"/>
      <c r="S34" s="59"/>
      <c r="T34" s="59"/>
      <c r="U34" s="59"/>
      <c r="V34" s="59"/>
      <c r="W34" s="59"/>
      <c r="X34" s="59"/>
      <c r="Y34" s="59"/>
      <c r="Z34" s="59"/>
      <c r="AA34" s="59"/>
      <c r="AB34" s="59"/>
      <c r="AC34" s="59"/>
      <c r="AD34" s="59"/>
      <c r="AE34" s="59"/>
      <c r="AF34" s="59"/>
      <c r="AG34" s="59"/>
      <c r="AH34" s="59"/>
      <c r="AI34" s="59"/>
      <c r="AJ34" s="59"/>
      <c r="AK34" s="59"/>
    </row>
    <row r="35" spans="1:37" ht="15">
      <c r="A35" s="59"/>
      <c r="B35" s="59"/>
      <c r="C35" s="59"/>
      <c r="D35" s="59"/>
      <c r="E35" s="59"/>
      <c r="F35" s="59"/>
      <c r="G35" s="59"/>
      <c r="H35" s="59"/>
      <c r="I35" s="59"/>
      <c r="J35" s="59"/>
      <c r="K35" s="59"/>
      <c r="L35" s="59"/>
      <c r="M35" s="59"/>
      <c r="N35" s="59"/>
      <c r="O35" s="59"/>
      <c r="P35" s="59"/>
      <c r="Q35" s="59"/>
      <c r="R35" s="59"/>
      <c r="S35" s="59"/>
      <c r="T35" s="59"/>
      <c r="U35" s="59"/>
      <c r="V35" s="59"/>
      <c r="W35" s="59"/>
      <c r="X35" s="59"/>
      <c r="Y35" s="59"/>
      <c r="Z35" s="59"/>
      <c r="AA35" s="59"/>
      <c r="AB35" s="59"/>
      <c r="AC35" s="59"/>
      <c r="AD35" s="59"/>
      <c r="AE35" s="59"/>
      <c r="AF35" s="59"/>
      <c r="AG35" s="59"/>
      <c r="AH35" s="59"/>
      <c r="AI35" s="59"/>
      <c r="AJ35" s="59"/>
      <c r="AK35" s="59"/>
    </row>
    <row r="36" spans="1:37" ht="15">
      <c r="A36" s="59"/>
      <c r="B36" s="59"/>
      <c r="C36" s="59"/>
      <c r="D36" s="59"/>
      <c r="E36" s="59"/>
      <c r="F36" s="59"/>
      <c r="G36" s="59"/>
      <c r="H36" s="59"/>
      <c r="I36" s="59"/>
      <c r="J36" s="59"/>
      <c r="K36" s="59"/>
      <c r="L36" s="59"/>
      <c r="M36" s="59"/>
      <c r="N36" s="59"/>
      <c r="O36" s="59"/>
      <c r="P36" s="59"/>
      <c r="Q36" s="59"/>
      <c r="R36" s="59"/>
      <c r="S36" s="59"/>
      <c r="T36" s="59"/>
      <c r="U36" s="59"/>
      <c r="V36" s="59"/>
      <c r="W36" s="59"/>
      <c r="X36" s="59"/>
      <c r="Y36" s="59"/>
      <c r="Z36" s="59"/>
      <c r="AA36" s="59"/>
      <c r="AB36" s="59"/>
      <c r="AC36" s="59"/>
      <c r="AD36" s="59"/>
      <c r="AE36" s="59"/>
      <c r="AF36" s="59"/>
      <c r="AG36" s="59"/>
      <c r="AH36" s="59"/>
      <c r="AI36" s="59"/>
      <c r="AJ36" s="59"/>
      <c r="AK36" s="59"/>
    </row>
    <row r="37" spans="1:37" ht="15">
      <c r="A37" s="59"/>
      <c r="B37" s="59"/>
      <c r="C37" s="59"/>
      <c r="D37" s="59"/>
      <c r="E37" s="59"/>
      <c r="F37" s="59"/>
      <c r="G37" s="59"/>
      <c r="H37" s="59"/>
      <c r="I37" s="59"/>
      <c r="J37" s="59"/>
      <c r="K37" s="59"/>
      <c r="L37" s="59"/>
      <c r="M37" s="59"/>
      <c r="N37" s="59"/>
      <c r="O37" s="59"/>
      <c r="P37" s="59"/>
      <c r="Q37" s="59"/>
      <c r="R37" s="59"/>
      <c r="S37" s="59"/>
      <c r="T37" s="59"/>
      <c r="U37" s="59"/>
      <c r="V37" s="59"/>
      <c r="W37" s="59"/>
      <c r="X37" s="59"/>
      <c r="Y37" s="59"/>
      <c r="Z37" s="59"/>
      <c r="AA37" s="59"/>
      <c r="AB37" s="59"/>
      <c r="AC37" s="59"/>
      <c r="AD37" s="59"/>
      <c r="AE37" s="59"/>
      <c r="AF37" s="59"/>
      <c r="AG37" s="59"/>
      <c r="AH37" s="59"/>
      <c r="AI37" s="59"/>
      <c r="AJ37" s="59"/>
      <c r="AK37" s="59"/>
    </row>
    <row r="38" spans="1:37" ht="15">
      <c r="A38" s="59"/>
      <c r="B38" s="59"/>
      <c r="C38" s="59"/>
      <c r="D38" s="59"/>
      <c r="E38" s="59"/>
      <c r="F38" s="59"/>
      <c r="G38" s="59"/>
      <c r="H38" s="59"/>
      <c r="I38" s="59"/>
      <c r="J38" s="59"/>
      <c r="K38" s="59"/>
      <c r="L38" s="59"/>
      <c r="M38" s="59"/>
      <c r="N38" s="59"/>
      <c r="O38" s="59"/>
      <c r="P38" s="59"/>
      <c r="Q38" s="59"/>
      <c r="R38" s="59"/>
      <c r="S38" s="59"/>
      <c r="T38" s="59"/>
      <c r="U38" s="59"/>
      <c r="V38" s="59"/>
      <c r="W38" s="59"/>
      <c r="X38" s="59"/>
      <c r="Y38" s="59"/>
      <c r="Z38" s="59"/>
      <c r="AA38" s="59"/>
      <c r="AB38" s="59"/>
      <c r="AC38" s="59"/>
      <c r="AD38" s="59"/>
      <c r="AE38" s="59"/>
      <c r="AF38" s="59"/>
      <c r="AG38" s="59"/>
      <c r="AH38" s="59"/>
      <c r="AI38" s="59"/>
      <c r="AJ38" s="59"/>
      <c r="AK38" s="59"/>
    </row>
    <row r="39" spans="1:37" ht="15">
      <c r="A39" s="59"/>
      <c r="B39" s="59"/>
      <c r="C39" s="59"/>
      <c r="D39" s="59"/>
      <c r="E39" s="59"/>
      <c r="F39" s="59"/>
      <c r="G39" s="59"/>
      <c r="H39" s="59"/>
      <c r="I39" s="59"/>
      <c r="J39" s="59"/>
      <c r="K39" s="59"/>
      <c r="L39" s="59"/>
      <c r="M39" s="59"/>
      <c r="N39" s="59"/>
      <c r="O39" s="59"/>
      <c r="P39" s="59"/>
      <c r="Q39" s="59"/>
      <c r="R39" s="59"/>
      <c r="S39" s="59"/>
      <c r="T39" s="59"/>
      <c r="U39" s="59"/>
      <c r="V39" s="59"/>
      <c r="W39" s="59"/>
      <c r="X39" s="59"/>
      <c r="Y39" s="59"/>
      <c r="Z39" s="59"/>
      <c r="AA39" s="59"/>
      <c r="AB39" s="59"/>
      <c r="AC39" s="59"/>
      <c r="AD39" s="59"/>
      <c r="AE39" s="59"/>
      <c r="AF39" s="59"/>
      <c r="AG39" s="59"/>
      <c r="AH39" s="59"/>
      <c r="AI39" s="59"/>
      <c r="AJ39" s="59"/>
      <c r="AK39" s="59"/>
    </row>
    <row r="40" spans="1:37" ht="15">
      <c r="A40" s="59"/>
      <c r="B40" s="59"/>
      <c r="C40" s="59"/>
      <c r="D40" s="59"/>
      <c r="E40" s="59"/>
      <c r="F40" s="59"/>
      <c r="G40" s="59"/>
      <c r="H40" s="59"/>
      <c r="I40" s="59"/>
      <c r="J40" s="59"/>
      <c r="K40" s="59"/>
      <c r="L40" s="59"/>
      <c r="M40" s="59"/>
      <c r="N40" s="59"/>
      <c r="O40" s="59"/>
      <c r="P40" s="59"/>
      <c r="Q40" s="59"/>
      <c r="R40" s="59"/>
      <c r="S40" s="59"/>
      <c r="T40" s="59"/>
      <c r="U40" s="59"/>
      <c r="V40" s="59"/>
      <c r="W40" s="59"/>
      <c r="X40" s="59"/>
      <c r="Y40" s="59"/>
      <c r="Z40" s="59"/>
      <c r="AA40" s="59"/>
      <c r="AB40" s="59"/>
      <c r="AC40" s="59"/>
      <c r="AD40" s="59"/>
      <c r="AE40" s="59"/>
      <c r="AF40" s="59"/>
      <c r="AG40" s="59"/>
      <c r="AH40" s="59"/>
      <c r="AI40" s="59"/>
      <c r="AJ40" s="59"/>
      <c r="AK40" s="59"/>
    </row>
    <row r="41" spans="1:37" ht="15">
      <c r="A41" s="59"/>
      <c r="B41" s="59"/>
      <c r="C41" s="59"/>
      <c r="D41" s="59"/>
      <c r="E41" s="59"/>
      <c r="F41" s="59"/>
      <c r="G41" s="59"/>
      <c r="H41" s="59"/>
      <c r="I41" s="59"/>
      <c r="J41" s="59"/>
      <c r="K41" s="59"/>
      <c r="L41" s="59"/>
      <c r="M41" s="59"/>
      <c r="N41" s="59"/>
      <c r="O41" s="59"/>
      <c r="P41" s="59"/>
      <c r="Q41" s="59"/>
      <c r="R41" s="59"/>
      <c r="S41" s="59"/>
      <c r="T41" s="59"/>
      <c r="U41" s="59"/>
      <c r="V41" s="59"/>
      <c r="W41" s="59"/>
      <c r="X41" s="59"/>
      <c r="Y41" s="59"/>
      <c r="Z41" s="59"/>
      <c r="AA41" s="59"/>
      <c r="AB41" s="59"/>
      <c r="AC41" s="59"/>
      <c r="AD41" s="59"/>
      <c r="AE41" s="59"/>
      <c r="AF41" s="59"/>
      <c r="AG41" s="59"/>
      <c r="AH41" s="59"/>
      <c r="AI41" s="59"/>
      <c r="AJ41" s="59"/>
      <c r="AK41" s="59"/>
    </row>
    <row r="42" spans="1:37" ht="15">
      <c r="A42" s="59"/>
      <c r="B42" s="59"/>
      <c r="C42" s="59"/>
      <c r="D42" s="59"/>
      <c r="E42" s="59"/>
      <c r="F42" s="59"/>
      <c r="G42" s="59"/>
      <c r="H42" s="59"/>
      <c r="I42" s="59"/>
      <c r="J42" s="59"/>
      <c r="K42" s="59"/>
      <c r="L42" s="59"/>
      <c r="M42" s="59"/>
      <c r="N42" s="59"/>
      <c r="O42" s="59"/>
      <c r="P42" s="59"/>
      <c r="Q42" s="59"/>
      <c r="R42" s="59"/>
      <c r="S42" s="59"/>
      <c r="T42" s="59"/>
      <c r="U42" s="59"/>
      <c r="V42" s="59"/>
      <c r="W42" s="59"/>
      <c r="X42" s="59"/>
      <c r="Y42" s="59"/>
      <c r="Z42" s="59"/>
      <c r="AA42" s="59"/>
      <c r="AB42" s="59"/>
      <c r="AC42" s="59"/>
      <c r="AD42" s="59"/>
      <c r="AE42" s="59"/>
      <c r="AF42" s="59"/>
      <c r="AG42" s="59"/>
      <c r="AH42" s="59"/>
      <c r="AI42" s="59"/>
      <c r="AJ42" s="59"/>
      <c r="AK42" s="59"/>
    </row>
    <row r="43" spans="1:37" ht="15">
      <c r="A43" s="59"/>
      <c r="B43" s="59"/>
      <c r="C43" s="59"/>
      <c r="D43" s="59"/>
      <c r="E43" s="59"/>
      <c r="F43" s="59"/>
      <c r="G43" s="59"/>
      <c r="H43" s="59"/>
      <c r="I43" s="59"/>
      <c r="J43" s="59"/>
      <c r="K43" s="59"/>
      <c r="L43" s="59"/>
      <c r="M43" s="59"/>
      <c r="N43" s="59"/>
      <c r="O43" s="59"/>
      <c r="P43" s="59"/>
      <c r="Q43" s="59"/>
      <c r="R43" s="59"/>
      <c r="S43" s="59"/>
      <c r="T43" s="59"/>
      <c r="U43" s="59"/>
      <c r="V43" s="59"/>
      <c r="W43" s="59"/>
      <c r="X43" s="59"/>
      <c r="Y43" s="59"/>
      <c r="Z43" s="59"/>
      <c r="AA43" s="59"/>
      <c r="AB43" s="59"/>
      <c r="AC43" s="59"/>
      <c r="AD43" s="59"/>
      <c r="AE43" s="59"/>
      <c r="AF43" s="59"/>
      <c r="AG43" s="59"/>
      <c r="AH43" s="59"/>
      <c r="AI43" s="59"/>
      <c r="AJ43" s="59"/>
      <c r="AK43" s="59"/>
    </row>
    <row r="44" spans="1:37" ht="15">
      <c r="A44" s="59"/>
      <c r="B44" s="59"/>
      <c r="C44" s="59"/>
      <c r="D44" s="59"/>
      <c r="E44" s="59"/>
      <c r="F44" s="59"/>
      <c r="G44" s="59"/>
      <c r="H44" s="59"/>
      <c r="I44" s="59"/>
      <c r="J44" s="59"/>
      <c r="K44" s="59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</row>
    <row r="45" spans="1:37" ht="15">
      <c r="A45" s="59"/>
      <c r="B45" s="59"/>
      <c r="C45" s="59"/>
      <c r="D45" s="59"/>
      <c r="E45" s="59"/>
      <c r="F45" s="59"/>
      <c r="G45" s="59"/>
      <c r="H45" s="59"/>
      <c r="I45" s="59"/>
      <c r="J45" s="59"/>
      <c r="K45" s="59"/>
      <c r="L45" s="59"/>
      <c r="M45" s="59"/>
      <c r="N45" s="59"/>
      <c r="O45" s="59"/>
      <c r="P45" s="59"/>
      <c r="Q45" s="59"/>
      <c r="R45" s="59"/>
      <c r="S45" s="59"/>
      <c r="T45" s="59"/>
      <c r="U45" s="59"/>
      <c r="V45" s="59"/>
      <c r="W45" s="59"/>
      <c r="X45" s="59"/>
      <c r="Y45" s="59"/>
      <c r="Z45" s="59"/>
      <c r="AA45" s="59"/>
      <c r="AB45" s="59"/>
      <c r="AC45" s="59"/>
      <c r="AD45" s="59"/>
      <c r="AE45" s="59"/>
      <c r="AF45" s="59"/>
      <c r="AG45" s="59"/>
      <c r="AH45" s="59"/>
      <c r="AI45" s="59"/>
      <c r="AJ45" s="59"/>
      <c r="AK45" s="59"/>
    </row>
    <row r="46" spans="1:37" ht="15">
      <c r="A46" s="59"/>
      <c r="B46" s="59"/>
      <c r="C46" s="59"/>
      <c r="D46" s="59"/>
      <c r="E46" s="59"/>
      <c r="F46" s="59"/>
      <c r="G46" s="59"/>
      <c r="H46" s="59"/>
      <c r="I46" s="59"/>
      <c r="J46" s="59"/>
      <c r="K46" s="59"/>
      <c r="L46" s="59"/>
      <c r="M46" s="59"/>
      <c r="N46" s="59"/>
      <c r="O46" s="59"/>
      <c r="P46" s="59"/>
      <c r="Q46" s="59"/>
      <c r="R46" s="59"/>
      <c r="S46" s="59"/>
      <c r="T46" s="59"/>
      <c r="U46" s="59"/>
      <c r="V46" s="59"/>
      <c r="W46" s="59"/>
      <c r="X46" s="59"/>
      <c r="Y46" s="59"/>
      <c r="Z46" s="59"/>
      <c r="AA46" s="59"/>
      <c r="AB46" s="59"/>
      <c r="AC46" s="59"/>
      <c r="AD46" s="59"/>
      <c r="AE46" s="59"/>
      <c r="AF46" s="59"/>
      <c r="AG46" s="59"/>
      <c r="AH46" s="59"/>
      <c r="AI46" s="59"/>
      <c r="AJ46" s="59"/>
      <c r="AK46" s="59"/>
    </row>
    <row r="47" spans="1:37" ht="15">
      <c r="A47" s="59"/>
      <c r="B47" s="59"/>
      <c r="C47" s="59"/>
      <c r="D47" s="59"/>
      <c r="E47" s="59"/>
      <c r="F47" s="59"/>
      <c r="G47" s="59"/>
      <c r="H47" s="59"/>
      <c r="I47" s="59"/>
      <c r="J47" s="59"/>
      <c r="K47" s="59"/>
      <c r="L47" s="59"/>
      <c r="M47" s="59"/>
      <c r="N47" s="59"/>
      <c r="O47" s="59"/>
      <c r="P47" s="59"/>
      <c r="Q47" s="59"/>
      <c r="R47" s="59"/>
      <c r="S47" s="59"/>
      <c r="T47" s="59"/>
      <c r="U47" s="59"/>
      <c r="V47" s="59"/>
      <c r="W47" s="59"/>
      <c r="X47" s="59"/>
      <c r="Y47" s="59"/>
      <c r="Z47" s="59"/>
      <c r="AA47" s="59"/>
      <c r="AB47" s="59"/>
      <c r="AC47" s="59"/>
      <c r="AD47" s="59"/>
      <c r="AE47" s="59"/>
      <c r="AF47" s="59"/>
      <c r="AG47" s="59"/>
      <c r="AH47" s="59"/>
      <c r="AI47" s="59"/>
      <c r="AJ47" s="59"/>
      <c r="AK47" s="59"/>
    </row>
    <row r="48" spans="1:37" ht="15">
      <c r="A48" s="59"/>
      <c r="B48" s="59"/>
      <c r="C48" s="59"/>
      <c r="D48" s="59"/>
      <c r="E48" s="59"/>
      <c r="F48" s="59"/>
      <c r="G48" s="59"/>
      <c r="H48" s="59"/>
      <c r="I48" s="59"/>
      <c r="J48" s="59"/>
      <c r="K48" s="59"/>
      <c r="L48" s="59"/>
      <c r="M48" s="59"/>
      <c r="N48" s="59"/>
      <c r="O48" s="59"/>
      <c r="P48" s="59"/>
      <c r="Q48" s="59"/>
      <c r="R48" s="59"/>
      <c r="S48" s="59"/>
      <c r="T48" s="59"/>
      <c r="U48" s="59"/>
      <c r="V48" s="59"/>
      <c r="W48" s="59"/>
      <c r="X48" s="59"/>
      <c r="Y48" s="59"/>
      <c r="Z48" s="59"/>
      <c r="AA48" s="59"/>
      <c r="AB48" s="59"/>
      <c r="AC48" s="59"/>
      <c r="AD48" s="59"/>
      <c r="AE48" s="59"/>
      <c r="AF48" s="59"/>
      <c r="AG48" s="59"/>
      <c r="AH48" s="59"/>
      <c r="AI48" s="59"/>
      <c r="AJ48" s="59"/>
      <c r="AK48" s="59"/>
    </row>
    <row r="49" spans="1:37" ht="15">
      <c r="A49" s="59"/>
      <c r="B49" s="59"/>
      <c r="C49" s="59"/>
      <c r="D49" s="59"/>
      <c r="E49" s="59"/>
      <c r="F49" s="59"/>
      <c r="G49" s="59"/>
      <c r="H49" s="59"/>
      <c r="I49" s="59"/>
      <c r="J49" s="59"/>
      <c r="K49" s="59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  <c r="W49" s="59"/>
      <c r="X49" s="59"/>
      <c r="Y49" s="59"/>
      <c r="Z49" s="59"/>
      <c r="AA49" s="59"/>
      <c r="AB49" s="59"/>
      <c r="AC49" s="59"/>
      <c r="AD49" s="59"/>
      <c r="AE49" s="59"/>
      <c r="AF49" s="59"/>
      <c r="AG49" s="59"/>
      <c r="AH49" s="59"/>
      <c r="AI49" s="59"/>
      <c r="AJ49" s="59"/>
      <c r="AK49" s="59"/>
    </row>
    <row r="50" spans="1:37" ht="15">
      <c r="A50" s="59"/>
      <c r="B50" s="59"/>
      <c r="C50" s="59"/>
      <c r="D50" s="59"/>
      <c r="E50" s="59"/>
      <c r="F50" s="59"/>
      <c r="G50" s="59"/>
      <c r="H50" s="59"/>
      <c r="I50" s="59"/>
      <c r="J50" s="59"/>
      <c r="K50" s="59"/>
      <c r="L50" s="59"/>
      <c r="M50" s="59"/>
      <c r="N50" s="59"/>
      <c r="O50" s="59"/>
      <c r="P50" s="59"/>
      <c r="Q50" s="59"/>
      <c r="R50" s="59"/>
      <c r="S50" s="59"/>
      <c r="T50" s="59"/>
      <c r="U50" s="59"/>
      <c r="V50" s="59"/>
      <c r="W50" s="59"/>
      <c r="X50" s="59"/>
      <c r="Y50" s="59"/>
      <c r="Z50" s="59"/>
      <c r="AA50" s="59"/>
      <c r="AB50" s="59"/>
      <c r="AC50" s="59"/>
      <c r="AD50" s="59"/>
      <c r="AE50" s="59"/>
      <c r="AF50" s="59"/>
      <c r="AG50" s="59"/>
      <c r="AH50" s="59"/>
      <c r="AI50" s="59"/>
      <c r="AJ50" s="59"/>
      <c r="AK50" s="59"/>
    </row>
    <row r="51" spans="1:37" ht="15">
      <c r="A51" s="59"/>
      <c r="B51" s="59"/>
      <c r="C51" s="59"/>
      <c r="D51" s="59"/>
      <c r="E51" s="59"/>
      <c r="F51" s="59"/>
      <c r="G51" s="59"/>
      <c r="H51" s="59"/>
      <c r="I51" s="59"/>
      <c r="J51" s="59"/>
      <c r="K51" s="59"/>
      <c r="L51" s="59"/>
      <c r="M51" s="59"/>
      <c r="N51" s="59"/>
      <c r="O51" s="59"/>
      <c r="P51" s="59"/>
      <c r="Q51" s="59"/>
      <c r="R51" s="59"/>
      <c r="S51" s="59"/>
      <c r="T51" s="59"/>
      <c r="U51" s="59"/>
      <c r="V51" s="59"/>
      <c r="W51" s="59"/>
      <c r="X51" s="59"/>
      <c r="Y51" s="59"/>
      <c r="Z51" s="59"/>
      <c r="AA51" s="59"/>
      <c r="AB51" s="59"/>
      <c r="AC51" s="59"/>
      <c r="AD51" s="59"/>
      <c r="AE51" s="59"/>
      <c r="AF51" s="59"/>
      <c r="AG51" s="59"/>
      <c r="AH51" s="59"/>
      <c r="AI51" s="59"/>
      <c r="AJ51" s="59"/>
      <c r="AK51" s="59"/>
    </row>
    <row r="52" spans="1:37" ht="15">
      <c r="A52" s="59"/>
      <c r="B52" s="59"/>
      <c r="C52" s="59"/>
      <c r="D52" s="59"/>
      <c r="E52" s="59"/>
      <c r="F52" s="59"/>
      <c r="G52" s="59"/>
      <c r="H52" s="59"/>
      <c r="I52" s="59"/>
      <c r="J52" s="59"/>
      <c r="K52" s="59"/>
      <c r="L52" s="59"/>
      <c r="M52" s="59"/>
      <c r="N52" s="59"/>
      <c r="O52" s="59"/>
      <c r="P52" s="59"/>
      <c r="Q52" s="59"/>
      <c r="R52" s="59"/>
      <c r="S52" s="59"/>
      <c r="T52" s="59"/>
      <c r="U52" s="59"/>
      <c r="V52" s="59"/>
      <c r="W52" s="59"/>
      <c r="X52" s="59"/>
      <c r="Y52" s="59"/>
      <c r="Z52" s="59"/>
      <c r="AA52" s="59"/>
      <c r="AB52" s="59"/>
      <c r="AC52" s="59"/>
      <c r="AD52" s="59"/>
      <c r="AE52" s="59"/>
      <c r="AF52" s="59"/>
      <c r="AG52" s="59"/>
      <c r="AH52" s="59"/>
      <c r="AI52" s="59"/>
      <c r="AJ52" s="59"/>
      <c r="AK52" s="59"/>
    </row>
    <row r="53" spans="1:37" ht="15">
      <c r="A53" s="59"/>
      <c r="B53" s="59"/>
      <c r="C53" s="59"/>
      <c r="D53" s="59"/>
      <c r="E53" s="59"/>
      <c r="F53" s="59"/>
      <c r="G53" s="59"/>
      <c r="H53" s="59"/>
      <c r="I53" s="59"/>
      <c r="J53" s="59"/>
      <c r="K53" s="59"/>
      <c r="L53" s="59"/>
      <c r="M53" s="59"/>
      <c r="N53" s="59"/>
      <c r="O53" s="59"/>
      <c r="P53" s="59"/>
      <c r="Q53" s="59"/>
      <c r="R53" s="59"/>
      <c r="S53" s="59"/>
      <c r="T53" s="59"/>
      <c r="U53" s="59"/>
      <c r="V53" s="59"/>
      <c r="W53" s="59"/>
      <c r="X53" s="59"/>
      <c r="Y53" s="59"/>
      <c r="Z53" s="59"/>
      <c r="AA53" s="59"/>
      <c r="AB53" s="59"/>
      <c r="AC53" s="59"/>
      <c r="AD53" s="59"/>
      <c r="AE53" s="59"/>
      <c r="AF53" s="59"/>
      <c r="AG53" s="59"/>
      <c r="AH53" s="59"/>
      <c r="AI53" s="59"/>
      <c r="AJ53" s="59"/>
      <c r="AK53" s="59"/>
    </row>
    <row r="54" spans="1:37" ht="15">
      <c r="A54" s="59"/>
      <c r="B54" s="59"/>
      <c r="C54" s="59"/>
      <c r="D54" s="59"/>
      <c r="E54" s="59"/>
      <c r="F54" s="59"/>
      <c r="G54" s="59"/>
      <c r="H54" s="59"/>
      <c r="I54" s="59"/>
      <c r="J54" s="59"/>
      <c r="K54" s="59"/>
      <c r="L54" s="59"/>
      <c r="M54" s="59"/>
      <c r="N54" s="59"/>
      <c r="O54" s="59"/>
      <c r="P54" s="59"/>
      <c r="Q54" s="59"/>
      <c r="R54" s="59"/>
      <c r="S54" s="59"/>
      <c r="T54" s="59"/>
      <c r="U54" s="59"/>
      <c r="V54" s="59"/>
      <c r="W54" s="59"/>
      <c r="X54" s="59"/>
      <c r="Y54" s="59"/>
      <c r="Z54" s="59"/>
      <c r="AA54" s="59"/>
      <c r="AB54" s="59"/>
      <c r="AC54" s="59"/>
      <c r="AD54" s="59"/>
      <c r="AE54" s="59"/>
      <c r="AF54" s="59"/>
      <c r="AG54" s="59"/>
      <c r="AH54" s="59"/>
      <c r="AI54" s="59"/>
      <c r="AJ54" s="59"/>
      <c r="AK54" s="59"/>
    </row>
    <row r="55" spans="1:37" ht="15">
      <c r="A55" s="59"/>
      <c r="B55" s="59"/>
      <c r="C55" s="59"/>
      <c r="D55" s="59"/>
      <c r="E55" s="59"/>
      <c r="F55" s="59"/>
      <c r="G55" s="59"/>
      <c r="H55" s="59"/>
      <c r="I55" s="59"/>
      <c r="J55" s="59"/>
      <c r="K55" s="59"/>
      <c r="L55" s="59"/>
      <c r="M55" s="59"/>
      <c r="N55" s="59"/>
      <c r="O55" s="59"/>
      <c r="P55" s="59"/>
      <c r="Q55" s="59"/>
      <c r="R55" s="59"/>
      <c r="S55" s="59"/>
      <c r="T55" s="59"/>
      <c r="U55" s="59"/>
      <c r="V55" s="59"/>
      <c r="W55" s="59"/>
      <c r="X55" s="59"/>
      <c r="Y55" s="59"/>
      <c r="Z55" s="59"/>
      <c r="AA55" s="59"/>
      <c r="AB55" s="59"/>
      <c r="AC55" s="59"/>
      <c r="AD55" s="59"/>
      <c r="AE55" s="59"/>
      <c r="AF55" s="59"/>
      <c r="AG55" s="59"/>
      <c r="AH55" s="59"/>
      <c r="AI55" s="59"/>
      <c r="AJ55" s="59"/>
      <c r="AK55" s="59"/>
    </row>
    <row r="56" spans="1:37" ht="15">
      <c r="A56" s="59"/>
      <c r="B56" s="59"/>
      <c r="C56" s="59"/>
      <c r="D56" s="59"/>
      <c r="E56" s="59"/>
      <c r="F56" s="59"/>
      <c r="G56" s="59"/>
      <c r="H56" s="59"/>
      <c r="I56" s="59"/>
      <c r="J56" s="59"/>
      <c r="K56" s="59"/>
      <c r="L56" s="59"/>
      <c r="M56" s="59"/>
      <c r="N56" s="59"/>
      <c r="O56" s="59"/>
      <c r="P56" s="59"/>
      <c r="Q56" s="59"/>
      <c r="R56" s="59"/>
      <c r="S56" s="59"/>
      <c r="T56" s="59"/>
      <c r="U56" s="59"/>
      <c r="V56" s="59"/>
      <c r="W56" s="59"/>
      <c r="X56" s="59"/>
      <c r="Y56" s="59"/>
      <c r="Z56" s="59"/>
      <c r="AA56" s="59"/>
      <c r="AB56" s="59"/>
      <c r="AC56" s="59"/>
      <c r="AD56" s="59"/>
      <c r="AE56" s="59"/>
      <c r="AF56" s="59"/>
      <c r="AG56" s="59"/>
      <c r="AH56" s="59"/>
      <c r="AI56" s="59"/>
      <c r="AJ56" s="59"/>
      <c r="AK56" s="59"/>
    </row>
    <row r="57" spans="1:37" ht="15">
      <c r="A57" s="59"/>
      <c r="B57" s="59"/>
      <c r="C57" s="59"/>
      <c r="D57" s="59"/>
      <c r="E57" s="59"/>
      <c r="F57" s="59"/>
      <c r="G57" s="59"/>
      <c r="H57" s="59"/>
      <c r="I57" s="59"/>
      <c r="J57" s="59"/>
      <c r="K57" s="59"/>
      <c r="L57" s="59"/>
      <c r="M57" s="59"/>
      <c r="N57" s="59"/>
      <c r="O57" s="59"/>
      <c r="P57" s="59"/>
      <c r="Q57" s="59"/>
      <c r="R57" s="59"/>
      <c r="S57" s="59"/>
      <c r="T57" s="59"/>
      <c r="U57" s="59"/>
      <c r="V57" s="59"/>
      <c r="W57" s="59"/>
      <c r="X57" s="59"/>
      <c r="Y57" s="59"/>
      <c r="Z57" s="59"/>
      <c r="AA57" s="59"/>
      <c r="AB57" s="59"/>
      <c r="AC57" s="59"/>
      <c r="AD57" s="59"/>
      <c r="AE57" s="59"/>
      <c r="AF57" s="59"/>
      <c r="AG57" s="59"/>
      <c r="AH57" s="59"/>
      <c r="AI57" s="59"/>
      <c r="AJ57" s="59"/>
      <c r="AK57" s="59"/>
    </row>
    <row r="58" spans="1:37" ht="15">
      <c r="A58" s="59"/>
      <c r="B58" s="59"/>
      <c r="C58" s="59"/>
      <c r="D58" s="59"/>
      <c r="E58" s="59"/>
      <c r="F58" s="59"/>
      <c r="G58" s="59"/>
      <c r="H58" s="59"/>
      <c r="I58" s="59"/>
      <c r="J58" s="59"/>
      <c r="K58" s="59"/>
      <c r="L58" s="59"/>
      <c r="M58" s="59"/>
      <c r="N58" s="59"/>
      <c r="O58" s="59"/>
      <c r="P58" s="59"/>
      <c r="Q58" s="59"/>
      <c r="R58" s="59"/>
      <c r="S58" s="59"/>
      <c r="T58" s="59"/>
      <c r="U58" s="59"/>
      <c r="V58" s="59"/>
      <c r="W58" s="59"/>
      <c r="X58" s="59"/>
      <c r="Y58" s="59"/>
      <c r="Z58" s="59"/>
      <c r="AA58" s="59"/>
      <c r="AB58" s="59"/>
      <c r="AC58" s="59"/>
      <c r="AD58" s="59"/>
      <c r="AE58" s="59"/>
      <c r="AF58" s="59"/>
      <c r="AG58" s="59"/>
      <c r="AH58" s="59"/>
      <c r="AI58" s="59"/>
      <c r="AJ58" s="59"/>
      <c r="AK58" s="59"/>
    </row>
    <row r="59" spans="1:37" ht="15">
      <c r="A59" s="59"/>
      <c r="B59" s="59"/>
      <c r="C59" s="59"/>
      <c r="D59" s="59"/>
      <c r="E59" s="59"/>
      <c r="F59" s="59"/>
      <c r="G59" s="59"/>
      <c r="H59" s="59"/>
      <c r="I59" s="59"/>
      <c r="J59" s="59"/>
      <c r="K59" s="59"/>
      <c r="L59" s="59"/>
      <c r="M59" s="59"/>
      <c r="N59" s="59"/>
      <c r="O59" s="59"/>
      <c r="P59" s="59"/>
      <c r="Q59" s="59"/>
      <c r="R59" s="59"/>
      <c r="S59" s="59"/>
      <c r="T59" s="59"/>
      <c r="U59" s="59"/>
      <c r="V59" s="59"/>
      <c r="W59" s="59"/>
      <c r="X59" s="59"/>
      <c r="Y59" s="59"/>
      <c r="Z59" s="59"/>
      <c r="AA59" s="59"/>
      <c r="AB59" s="59"/>
      <c r="AC59" s="59"/>
      <c r="AD59" s="59"/>
      <c r="AE59" s="59"/>
      <c r="AF59" s="59"/>
      <c r="AG59" s="59"/>
      <c r="AH59" s="59"/>
      <c r="AI59" s="59"/>
      <c r="AJ59" s="59"/>
      <c r="AK59" s="59"/>
    </row>
    <row r="60" spans="1:37" ht="15">
      <c r="A60" s="59"/>
      <c r="B60" s="59"/>
      <c r="C60" s="59"/>
      <c r="D60" s="59"/>
      <c r="E60" s="59"/>
      <c r="F60" s="59"/>
      <c r="G60" s="59"/>
      <c r="H60" s="59"/>
      <c r="I60" s="59"/>
      <c r="J60" s="59"/>
      <c r="K60" s="59"/>
      <c r="L60" s="59"/>
      <c r="M60" s="59"/>
      <c r="N60" s="59"/>
      <c r="O60" s="59"/>
      <c r="P60" s="59"/>
      <c r="Q60" s="59"/>
      <c r="R60" s="59"/>
      <c r="S60" s="59"/>
      <c r="T60" s="59"/>
      <c r="U60" s="59"/>
      <c r="V60" s="59"/>
      <c r="W60" s="59"/>
      <c r="X60" s="59"/>
      <c r="Y60" s="59"/>
      <c r="Z60" s="59"/>
      <c r="AA60" s="59"/>
      <c r="AB60" s="59"/>
      <c r="AC60" s="59"/>
      <c r="AD60" s="59"/>
      <c r="AE60" s="59"/>
      <c r="AF60" s="59"/>
      <c r="AG60" s="59"/>
      <c r="AH60" s="59"/>
      <c r="AI60" s="59"/>
      <c r="AJ60" s="59"/>
      <c r="AK60" s="59"/>
    </row>
    <row r="61" spans="1:37" ht="15">
      <c r="A61" s="59"/>
      <c r="B61" s="59"/>
      <c r="C61" s="59"/>
      <c r="D61" s="59"/>
      <c r="E61" s="59"/>
      <c r="F61" s="59"/>
      <c r="G61" s="59"/>
      <c r="H61" s="59"/>
      <c r="I61" s="59"/>
      <c r="J61" s="59"/>
      <c r="K61" s="59"/>
      <c r="L61" s="59"/>
      <c r="M61" s="59"/>
      <c r="N61" s="59"/>
      <c r="O61" s="59"/>
      <c r="P61" s="59"/>
      <c r="Q61" s="59"/>
      <c r="R61" s="59"/>
      <c r="S61" s="59"/>
      <c r="T61" s="59"/>
      <c r="U61" s="59"/>
      <c r="V61" s="59"/>
      <c r="W61" s="59"/>
      <c r="X61" s="59"/>
      <c r="Y61" s="59"/>
      <c r="Z61" s="59"/>
      <c r="AA61" s="59"/>
      <c r="AB61" s="59"/>
      <c r="AC61" s="59"/>
      <c r="AD61" s="59"/>
      <c r="AE61" s="59"/>
      <c r="AF61" s="59"/>
      <c r="AG61" s="59"/>
      <c r="AH61" s="59"/>
      <c r="AI61" s="59"/>
      <c r="AJ61" s="59"/>
      <c r="AK61" s="59"/>
    </row>
    <row r="62" spans="1:37" ht="15">
      <c r="A62" s="59"/>
      <c r="B62" s="59"/>
      <c r="C62" s="59"/>
      <c r="D62" s="59"/>
      <c r="E62" s="59"/>
      <c r="F62" s="59"/>
      <c r="G62" s="59"/>
      <c r="H62" s="59"/>
      <c r="I62" s="59"/>
      <c r="J62" s="59"/>
      <c r="K62" s="59"/>
      <c r="L62" s="59"/>
      <c r="M62" s="59"/>
      <c r="N62" s="59"/>
      <c r="O62" s="59"/>
      <c r="P62" s="59"/>
      <c r="Q62" s="59"/>
      <c r="R62" s="59"/>
      <c r="S62" s="59"/>
      <c r="T62" s="59"/>
      <c r="U62" s="59"/>
      <c r="V62" s="59"/>
      <c r="W62" s="59"/>
      <c r="X62" s="59"/>
      <c r="Y62" s="59"/>
      <c r="Z62" s="59"/>
      <c r="AA62" s="59"/>
      <c r="AB62" s="59"/>
      <c r="AC62" s="59"/>
      <c r="AD62" s="59"/>
      <c r="AE62" s="59"/>
      <c r="AF62" s="59"/>
      <c r="AG62" s="59"/>
      <c r="AH62" s="59"/>
      <c r="AI62" s="59"/>
      <c r="AJ62" s="59"/>
      <c r="AK62" s="59"/>
    </row>
    <row r="63" spans="1:37" ht="15">
      <c r="A63" s="59"/>
      <c r="B63" s="59"/>
      <c r="C63" s="59"/>
      <c r="D63" s="59"/>
      <c r="E63" s="59"/>
      <c r="F63" s="59"/>
      <c r="G63" s="59"/>
      <c r="H63" s="59"/>
      <c r="I63" s="59"/>
      <c r="J63" s="59"/>
      <c r="K63" s="59"/>
      <c r="L63" s="59"/>
      <c r="M63" s="59"/>
      <c r="N63" s="59"/>
      <c r="O63" s="59"/>
      <c r="P63" s="59"/>
      <c r="Q63" s="59"/>
      <c r="R63" s="59"/>
      <c r="S63" s="59"/>
      <c r="T63" s="59"/>
      <c r="U63" s="59"/>
      <c r="V63" s="59"/>
      <c r="W63" s="59"/>
      <c r="X63" s="59"/>
      <c r="Y63" s="59"/>
      <c r="Z63" s="59"/>
      <c r="AA63" s="59"/>
      <c r="AB63" s="59"/>
      <c r="AC63" s="59"/>
      <c r="AD63" s="59"/>
      <c r="AE63" s="59"/>
      <c r="AF63" s="59"/>
      <c r="AG63" s="59"/>
      <c r="AH63" s="59"/>
      <c r="AI63" s="59"/>
      <c r="AJ63" s="59"/>
      <c r="AK63" s="59"/>
    </row>
    <row r="64" spans="1:37" ht="15">
      <c r="A64" s="59"/>
      <c r="B64" s="59"/>
      <c r="C64" s="59"/>
      <c r="D64" s="59"/>
      <c r="E64" s="59"/>
      <c r="F64" s="59"/>
      <c r="G64" s="59"/>
      <c r="H64" s="59"/>
      <c r="I64" s="59"/>
      <c r="J64" s="59"/>
      <c r="K64" s="59"/>
      <c r="L64" s="59"/>
      <c r="M64" s="59"/>
      <c r="N64" s="59"/>
      <c r="O64" s="59"/>
      <c r="P64" s="59"/>
      <c r="Q64" s="59"/>
      <c r="R64" s="59"/>
      <c r="S64" s="59"/>
      <c r="T64" s="59"/>
      <c r="U64" s="59"/>
      <c r="V64" s="59"/>
      <c r="W64" s="59"/>
      <c r="X64" s="59"/>
      <c r="Y64" s="59"/>
      <c r="Z64" s="59"/>
      <c r="AA64" s="59"/>
      <c r="AB64" s="59"/>
      <c r="AC64" s="59"/>
      <c r="AD64" s="59"/>
      <c r="AE64" s="59"/>
      <c r="AF64" s="59"/>
      <c r="AG64" s="59"/>
      <c r="AH64" s="59"/>
      <c r="AI64" s="59"/>
      <c r="AJ64" s="59"/>
      <c r="AK64" s="59"/>
    </row>
    <row r="65" spans="1:37" ht="15">
      <c r="A65" s="59"/>
      <c r="B65" s="59"/>
      <c r="C65" s="59"/>
      <c r="D65" s="59"/>
      <c r="E65" s="59"/>
      <c r="F65" s="59"/>
      <c r="G65" s="59"/>
      <c r="H65" s="59"/>
      <c r="I65" s="59"/>
      <c r="J65" s="59"/>
      <c r="K65" s="59"/>
      <c r="L65" s="59"/>
      <c r="M65" s="59"/>
      <c r="N65" s="59"/>
      <c r="O65" s="59"/>
      <c r="P65" s="59"/>
      <c r="Q65" s="59"/>
      <c r="R65" s="59"/>
      <c r="S65" s="59"/>
      <c r="T65" s="59"/>
      <c r="U65" s="59"/>
      <c r="V65" s="59"/>
      <c r="W65" s="59"/>
      <c r="X65" s="59"/>
      <c r="Y65" s="59"/>
      <c r="Z65" s="59"/>
      <c r="AA65" s="59"/>
      <c r="AB65" s="59"/>
      <c r="AC65" s="59"/>
      <c r="AD65" s="59"/>
      <c r="AE65" s="59"/>
      <c r="AF65" s="59"/>
      <c r="AG65" s="59"/>
      <c r="AH65" s="59"/>
      <c r="AI65" s="59"/>
      <c r="AJ65" s="59"/>
      <c r="AK65" s="59"/>
    </row>
    <row r="66" spans="1:37" ht="15">
      <c r="A66" s="59"/>
      <c r="B66" s="59"/>
      <c r="C66" s="59"/>
      <c r="D66" s="59"/>
      <c r="E66" s="59"/>
      <c r="F66" s="59"/>
      <c r="G66" s="59"/>
      <c r="H66" s="59"/>
      <c r="I66" s="59"/>
      <c r="J66" s="59"/>
      <c r="K66" s="59"/>
      <c r="L66" s="59"/>
      <c r="M66" s="59"/>
      <c r="N66" s="59"/>
      <c r="O66" s="59"/>
      <c r="P66" s="59"/>
      <c r="Q66" s="59"/>
      <c r="R66" s="59"/>
      <c r="S66" s="59"/>
      <c r="T66" s="59"/>
      <c r="U66" s="59"/>
      <c r="V66" s="59"/>
      <c r="W66" s="59"/>
      <c r="X66" s="59"/>
      <c r="Y66" s="59"/>
      <c r="Z66" s="59"/>
      <c r="AA66" s="59"/>
      <c r="AB66" s="59"/>
      <c r="AC66" s="59"/>
      <c r="AD66" s="59"/>
      <c r="AE66" s="59"/>
      <c r="AF66" s="59"/>
      <c r="AG66" s="59"/>
      <c r="AH66" s="59"/>
      <c r="AI66" s="59"/>
      <c r="AJ66" s="59"/>
      <c r="AK66" s="59"/>
    </row>
    <row r="67" spans="1:37" ht="15">
      <c r="A67" s="59"/>
      <c r="B67" s="59"/>
      <c r="C67" s="59"/>
      <c r="D67" s="59"/>
      <c r="E67" s="59"/>
      <c r="F67" s="59"/>
      <c r="G67" s="59"/>
      <c r="H67" s="59"/>
      <c r="I67" s="59"/>
      <c r="J67" s="59"/>
      <c r="K67" s="59"/>
      <c r="L67" s="59"/>
      <c r="M67" s="59"/>
      <c r="N67" s="59"/>
      <c r="O67" s="59"/>
      <c r="P67" s="59"/>
      <c r="Q67" s="59"/>
      <c r="R67" s="59"/>
      <c r="S67" s="59"/>
      <c r="T67" s="59"/>
      <c r="U67" s="59"/>
      <c r="V67" s="59"/>
      <c r="W67" s="59"/>
      <c r="X67" s="59"/>
      <c r="Y67" s="59"/>
      <c r="Z67" s="59"/>
      <c r="AA67" s="59"/>
      <c r="AB67" s="59"/>
      <c r="AC67" s="59"/>
      <c r="AD67" s="59"/>
      <c r="AE67" s="59"/>
      <c r="AF67" s="59"/>
      <c r="AG67" s="59"/>
      <c r="AH67" s="59"/>
      <c r="AI67" s="59"/>
      <c r="AJ67" s="59"/>
      <c r="AK67" s="59"/>
    </row>
    <row r="68" spans="1:37" ht="15">
      <c r="A68" s="59"/>
      <c r="B68" s="59"/>
      <c r="C68" s="59"/>
      <c r="D68" s="59"/>
      <c r="E68" s="59"/>
      <c r="F68" s="59"/>
      <c r="G68" s="59"/>
      <c r="H68" s="59"/>
      <c r="I68" s="59"/>
      <c r="J68" s="59"/>
      <c r="K68" s="59"/>
      <c r="L68" s="59"/>
      <c r="M68" s="59"/>
      <c r="N68" s="59"/>
      <c r="O68" s="59"/>
      <c r="P68" s="59"/>
      <c r="Q68" s="59"/>
      <c r="R68" s="59"/>
      <c r="S68" s="59"/>
      <c r="T68" s="59"/>
      <c r="U68" s="59"/>
      <c r="V68" s="59"/>
      <c r="W68" s="59"/>
      <c r="X68" s="59"/>
      <c r="Y68" s="59"/>
      <c r="Z68" s="59"/>
      <c r="AA68" s="59"/>
      <c r="AB68" s="59"/>
      <c r="AC68" s="59"/>
      <c r="AD68" s="59"/>
      <c r="AE68" s="59"/>
      <c r="AF68" s="59"/>
      <c r="AG68" s="59"/>
      <c r="AH68" s="59"/>
      <c r="AI68" s="59"/>
      <c r="AJ68" s="59"/>
      <c r="AK68" s="59"/>
    </row>
    <row r="69" spans="1:37" ht="15">
      <c r="A69" s="59"/>
      <c r="B69" s="59"/>
      <c r="C69" s="59"/>
      <c r="D69" s="59"/>
      <c r="E69" s="59"/>
      <c r="F69" s="59"/>
      <c r="G69" s="59"/>
      <c r="H69" s="59"/>
      <c r="I69" s="59"/>
      <c r="J69" s="59"/>
      <c r="K69" s="59"/>
      <c r="L69" s="59"/>
      <c r="M69" s="59"/>
      <c r="N69" s="59"/>
      <c r="O69" s="59"/>
      <c r="P69" s="59"/>
      <c r="Q69" s="59"/>
      <c r="R69" s="59"/>
      <c r="S69" s="59"/>
      <c r="T69" s="59"/>
      <c r="U69" s="59"/>
      <c r="V69" s="59"/>
      <c r="W69" s="59"/>
      <c r="X69" s="59"/>
      <c r="Y69" s="59"/>
      <c r="Z69" s="59"/>
      <c r="AA69" s="59"/>
      <c r="AB69" s="59"/>
      <c r="AC69" s="59"/>
      <c r="AD69" s="59"/>
      <c r="AE69" s="59"/>
      <c r="AF69" s="59"/>
      <c r="AG69" s="59"/>
      <c r="AH69" s="59"/>
      <c r="AI69" s="59"/>
      <c r="AJ69" s="59"/>
      <c r="AK69" s="59"/>
    </row>
    <row r="70" spans="1:37" ht="15">
      <c r="A70" s="59"/>
      <c r="B70" s="59"/>
      <c r="C70" s="59"/>
      <c r="D70" s="59"/>
      <c r="E70" s="59"/>
      <c r="F70" s="59"/>
      <c r="G70" s="59"/>
      <c r="H70" s="59"/>
      <c r="I70" s="59"/>
      <c r="J70" s="59"/>
      <c r="K70" s="59"/>
      <c r="L70" s="59"/>
      <c r="M70" s="59"/>
      <c r="N70" s="59"/>
      <c r="O70" s="59"/>
      <c r="P70" s="59"/>
      <c r="Q70" s="59"/>
      <c r="R70" s="59"/>
      <c r="S70" s="59"/>
      <c r="T70" s="59"/>
      <c r="U70" s="59"/>
      <c r="V70" s="59"/>
      <c r="W70" s="59"/>
      <c r="X70" s="59"/>
      <c r="Y70" s="59"/>
      <c r="Z70" s="59"/>
      <c r="AA70" s="59"/>
      <c r="AB70" s="59"/>
      <c r="AC70" s="59"/>
      <c r="AD70" s="59"/>
      <c r="AE70" s="59"/>
      <c r="AF70" s="59"/>
      <c r="AG70" s="59"/>
      <c r="AH70" s="59"/>
      <c r="AI70" s="59"/>
      <c r="AJ70" s="59"/>
      <c r="AK70" s="59"/>
    </row>
    <row r="71" spans="1:37" ht="15">
      <c r="A71" s="59"/>
      <c r="B71" s="59"/>
      <c r="C71" s="59"/>
      <c r="D71" s="59"/>
      <c r="E71" s="59"/>
      <c r="F71" s="59"/>
      <c r="G71" s="59"/>
      <c r="H71" s="59"/>
      <c r="I71" s="59"/>
      <c r="J71" s="59"/>
      <c r="K71" s="59"/>
      <c r="L71" s="59"/>
      <c r="M71" s="59"/>
      <c r="N71" s="59"/>
      <c r="O71" s="59"/>
      <c r="P71" s="59"/>
      <c r="Q71" s="59"/>
      <c r="R71" s="59"/>
      <c r="S71" s="59"/>
      <c r="T71" s="59"/>
      <c r="U71" s="59"/>
      <c r="V71" s="59"/>
      <c r="W71" s="59"/>
      <c r="X71" s="59"/>
      <c r="Y71" s="59"/>
      <c r="Z71" s="59"/>
      <c r="AA71" s="59"/>
      <c r="AB71" s="59"/>
      <c r="AC71" s="59"/>
      <c r="AD71" s="59"/>
      <c r="AE71" s="59"/>
      <c r="AF71" s="59"/>
      <c r="AG71" s="59"/>
      <c r="AH71" s="59"/>
      <c r="AI71" s="59"/>
      <c r="AJ71" s="59"/>
      <c r="AK71" s="59"/>
    </row>
    <row r="72" spans="1:37" ht="15">
      <c r="A72" s="59"/>
      <c r="B72" s="59"/>
      <c r="C72" s="59"/>
      <c r="D72" s="59"/>
      <c r="E72" s="59"/>
      <c r="F72" s="59"/>
      <c r="G72" s="59"/>
      <c r="H72" s="59"/>
      <c r="I72" s="59"/>
      <c r="J72" s="59"/>
      <c r="K72" s="59"/>
      <c r="L72" s="59"/>
      <c r="M72" s="59"/>
      <c r="N72" s="59"/>
      <c r="O72" s="59"/>
      <c r="P72" s="59"/>
      <c r="Q72" s="59"/>
      <c r="R72" s="59"/>
      <c r="S72" s="59"/>
      <c r="T72" s="59"/>
      <c r="U72" s="59"/>
      <c r="V72" s="59"/>
      <c r="W72" s="59"/>
      <c r="X72" s="59"/>
      <c r="Y72" s="59"/>
      <c r="Z72" s="59"/>
      <c r="AA72" s="59"/>
      <c r="AB72" s="59"/>
      <c r="AC72" s="59"/>
      <c r="AD72" s="59"/>
      <c r="AE72" s="59"/>
      <c r="AF72" s="59"/>
      <c r="AG72" s="59"/>
      <c r="AH72" s="59"/>
      <c r="AI72" s="59"/>
      <c r="AJ72" s="59"/>
      <c r="AK72" s="59"/>
    </row>
    <row r="73" spans="1:37" ht="15">
      <c r="A73" s="59"/>
      <c r="B73" s="59"/>
      <c r="C73" s="59"/>
      <c r="D73" s="59"/>
      <c r="E73" s="59"/>
      <c r="F73" s="59"/>
      <c r="G73" s="59"/>
      <c r="H73" s="59"/>
      <c r="I73" s="59"/>
      <c r="J73" s="59"/>
      <c r="K73" s="59"/>
      <c r="L73" s="59"/>
      <c r="M73" s="59"/>
      <c r="N73" s="59"/>
      <c r="O73" s="59"/>
      <c r="P73" s="59"/>
      <c r="Q73" s="59"/>
      <c r="R73" s="59"/>
      <c r="S73" s="59"/>
      <c r="T73" s="59"/>
      <c r="U73" s="59"/>
      <c r="V73" s="59"/>
      <c r="W73" s="59"/>
      <c r="X73" s="59"/>
      <c r="Y73" s="59"/>
      <c r="Z73" s="59"/>
      <c r="AA73" s="59"/>
      <c r="AB73" s="59"/>
      <c r="AC73" s="59"/>
      <c r="AD73" s="59"/>
      <c r="AE73" s="59"/>
      <c r="AF73" s="59"/>
      <c r="AG73" s="59"/>
      <c r="AH73" s="59"/>
      <c r="AI73" s="59"/>
      <c r="AJ73" s="59"/>
      <c r="AK73" s="59"/>
    </row>
    <row r="74" spans="1:37" ht="15">
      <c r="A74" s="59"/>
      <c r="B74" s="59"/>
      <c r="C74" s="59"/>
      <c r="D74" s="59"/>
      <c r="E74" s="59"/>
      <c r="F74" s="59"/>
      <c r="G74" s="59"/>
      <c r="H74" s="59"/>
      <c r="I74" s="59"/>
      <c r="J74" s="59"/>
      <c r="K74" s="59"/>
      <c r="L74" s="59"/>
      <c r="M74" s="59"/>
      <c r="N74" s="59"/>
      <c r="O74" s="59"/>
      <c r="P74" s="59"/>
      <c r="Q74" s="59"/>
      <c r="R74" s="59"/>
      <c r="S74" s="59"/>
      <c r="T74" s="59"/>
      <c r="U74" s="59"/>
      <c r="V74" s="59"/>
      <c r="W74" s="59"/>
      <c r="X74" s="59"/>
      <c r="Y74" s="59"/>
      <c r="Z74" s="59"/>
      <c r="AA74" s="59"/>
      <c r="AB74" s="59"/>
      <c r="AC74" s="59"/>
      <c r="AD74" s="59"/>
      <c r="AE74" s="59"/>
      <c r="AF74" s="59"/>
      <c r="AG74" s="59"/>
      <c r="AH74" s="59"/>
      <c r="AI74" s="59"/>
      <c r="AJ74" s="59"/>
      <c r="AK74" s="59"/>
    </row>
    <row r="75" spans="1:37" ht="15">
      <c r="A75" s="59"/>
      <c r="B75" s="59"/>
      <c r="C75" s="59"/>
      <c r="D75" s="59"/>
      <c r="E75" s="59"/>
      <c r="F75" s="59"/>
      <c r="G75" s="59"/>
      <c r="H75" s="59"/>
      <c r="I75" s="59"/>
      <c r="J75" s="59"/>
      <c r="K75" s="59"/>
      <c r="L75" s="59"/>
      <c r="M75" s="59"/>
      <c r="N75" s="59"/>
      <c r="O75" s="59"/>
      <c r="P75" s="59"/>
      <c r="Q75" s="59"/>
      <c r="R75" s="59"/>
      <c r="S75" s="59"/>
      <c r="T75" s="59"/>
      <c r="U75" s="59"/>
      <c r="V75" s="59"/>
      <c r="W75" s="59"/>
      <c r="X75" s="59"/>
      <c r="Y75" s="59"/>
      <c r="Z75" s="59"/>
      <c r="AA75" s="59"/>
      <c r="AB75" s="59"/>
      <c r="AC75" s="59"/>
      <c r="AD75" s="59"/>
      <c r="AE75" s="59"/>
      <c r="AF75" s="59"/>
      <c r="AG75" s="59"/>
      <c r="AH75" s="59"/>
      <c r="AI75" s="59"/>
      <c r="AJ75" s="59"/>
      <c r="AK75" s="59"/>
    </row>
    <row r="76" spans="1:37" ht="15">
      <c r="A76" s="59"/>
      <c r="B76" s="59"/>
      <c r="C76" s="59"/>
      <c r="D76" s="59"/>
      <c r="E76" s="59"/>
      <c r="F76" s="59"/>
      <c r="G76" s="59"/>
      <c r="H76" s="59"/>
      <c r="I76" s="59"/>
      <c r="J76" s="59"/>
      <c r="K76" s="59"/>
      <c r="L76" s="59"/>
      <c r="M76" s="59"/>
      <c r="N76" s="59"/>
      <c r="O76" s="59"/>
      <c r="P76" s="59"/>
      <c r="Q76" s="59"/>
      <c r="R76" s="59"/>
      <c r="S76" s="59"/>
      <c r="T76" s="59"/>
      <c r="U76" s="59"/>
      <c r="V76" s="59"/>
      <c r="W76" s="59"/>
      <c r="X76" s="59"/>
      <c r="Y76" s="59"/>
      <c r="Z76" s="59"/>
      <c r="AA76" s="59"/>
      <c r="AB76" s="59"/>
      <c r="AC76" s="59"/>
      <c r="AD76" s="59"/>
      <c r="AE76" s="59"/>
      <c r="AF76" s="59"/>
      <c r="AG76" s="59"/>
      <c r="AH76" s="59"/>
      <c r="AI76" s="59"/>
      <c r="AJ76" s="59"/>
      <c r="AK76" s="59"/>
    </row>
    <row r="77" spans="1:37" ht="15">
      <c r="A77" s="59"/>
      <c r="B77" s="59"/>
      <c r="C77" s="59"/>
      <c r="D77" s="59"/>
      <c r="E77" s="59"/>
      <c r="F77" s="59"/>
      <c r="G77" s="59"/>
      <c r="H77" s="59"/>
      <c r="I77" s="59"/>
      <c r="J77" s="59"/>
      <c r="K77" s="59"/>
      <c r="L77" s="59"/>
      <c r="M77" s="59"/>
      <c r="N77" s="59"/>
      <c r="O77" s="59"/>
      <c r="P77" s="59"/>
      <c r="Q77" s="59"/>
      <c r="R77" s="59"/>
      <c r="S77" s="59"/>
      <c r="T77" s="59"/>
      <c r="U77" s="59"/>
      <c r="V77" s="59"/>
      <c r="W77" s="59"/>
      <c r="X77" s="59"/>
      <c r="Y77" s="59"/>
      <c r="Z77" s="59"/>
      <c r="AA77" s="59"/>
      <c r="AB77" s="59"/>
      <c r="AC77" s="59"/>
      <c r="AD77" s="59"/>
      <c r="AE77" s="59"/>
      <c r="AF77" s="59"/>
      <c r="AG77" s="59"/>
      <c r="AH77" s="59"/>
      <c r="AI77" s="59"/>
      <c r="AJ77" s="59"/>
      <c r="AK77" s="59"/>
    </row>
  </sheetData>
  <mergeCells count="1">
    <mergeCell ref="C2:D2"/>
  </mergeCells>
  <phoneticPr fontId="0" type="noConversion"/>
  <pageMargins left="0.75" right="0.75" top="1" bottom="1" header="0.5" footer="0.5"/>
  <pageSetup orientation="portrait" horizontalDpi="300" r:id="rId1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>
  <dimension ref="A1:J86"/>
  <sheetViews>
    <sheetView zoomScaleNormal="100" workbookViewId="0"/>
  </sheetViews>
  <sheetFormatPr defaultRowHeight="12.75"/>
  <cols>
    <col min="2" max="2" width="4.85546875" bestFit="1" customWidth="1"/>
    <col min="3" max="3" width="43.28515625" customWidth="1"/>
    <col min="4" max="4" width="22.28515625" customWidth="1"/>
    <col min="5" max="5" width="18.28515625" customWidth="1"/>
    <col min="6" max="7" width="18.140625" customWidth="1"/>
    <col min="8" max="8" width="3.140625" customWidth="1"/>
  </cols>
  <sheetData>
    <row r="1" spans="1:8" ht="18">
      <c r="A1" s="59"/>
      <c r="B1" s="59"/>
      <c r="C1" s="782" t="s">
        <v>184</v>
      </c>
      <c r="D1" s="782"/>
      <c r="E1" s="782"/>
      <c r="F1" s="782"/>
      <c r="G1" s="59"/>
    </row>
    <row r="2" spans="1:8" ht="18">
      <c r="A2" s="59"/>
      <c r="B2" s="59"/>
      <c r="C2" s="772" t="s">
        <v>185</v>
      </c>
      <c r="D2" s="772"/>
      <c r="E2" s="772"/>
      <c r="F2" s="103"/>
      <c r="G2" s="59"/>
    </row>
    <row r="3" spans="1:8" ht="15">
      <c r="A3" s="59"/>
      <c r="B3" s="59"/>
      <c r="C3" s="59"/>
      <c r="D3" s="59"/>
      <c r="E3" s="59"/>
      <c r="F3" s="59"/>
      <c r="G3" s="59"/>
    </row>
    <row r="4" spans="1:8" ht="15">
      <c r="A4" s="59"/>
      <c r="B4" s="59"/>
      <c r="C4" s="9" t="s">
        <v>135</v>
      </c>
      <c r="D4" s="59"/>
      <c r="E4" s="59"/>
      <c r="F4" s="59"/>
      <c r="G4" s="59"/>
    </row>
    <row r="5" spans="1:8" ht="15.75" thickBot="1">
      <c r="A5" s="59"/>
      <c r="B5" s="59"/>
      <c r="C5" s="59"/>
      <c r="D5" s="59"/>
      <c r="E5" s="59"/>
      <c r="F5" s="59"/>
      <c r="G5" s="59"/>
    </row>
    <row r="6" spans="1:8" ht="15">
      <c r="A6" s="59"/>
      <c r="B6" s="117"/>
      <c r="C6" s="118"/>
      <c r="D6" s="118"/>
      <c r="E6" s="118"/>
      <c r="F6" s="118"/>
      <c r="G6" s="104"/>
      <c r="H6" s="119"/>
    </row>
    <row r="7" spans="1:8" ht="15">
      <c r="A7" s="59"/>
      <c r="B7" s="120"/>
      <c r="C7" s="121" t="s">
        <v>148</v>
      </c>
      <c r="D7" s="122">
        <v>675000</v>
      </c>
      <c r="E7" s="121"/>
      <c r="F7" s="121"/>
      <c r="G7" s="63"/>
      <c r="H7" s="123"/>
    </row>
    <row r="8" spans="1:8" ht="15">
      <c r="A8" s="59"/>
      <c r="B8" s="120"/>
      <c r="C8" s="121" t="s">
        <v>726</v>
      </c>
      <c r="D8" s="124">
        <v>0.1</v>
      </c>
      <c r="E8" s="121"/>
      <c r="F8" s="121"/>
      <c r="G8" s="63"/>
      <c r="H8" s="123"/>
    </row>
    <row r="9" spans="1:8" ht="15">
      <c r="A9" s="59"/>
      <c r="B9" s="120"/>
      <c r="C9" s="121" t="s">
        <v>149</v>
      </c>
      <c r="D9" s="125">
        <v>57</v>
      </c>
      <c r="E9" s="121"/>
      <c r="F9" s="121"/>
      <c r="G9" s="63"/>
      <c r="H9" s="123"/>
    </row>
    <row r="10" spans="1:8" ht="15">
      <c r="A10" s="59"/>
      <c r="B10" s="120"/>
      <c r="C10" s="121" t="s">
        <v>150</v>
      </c>
      <c r="D10" s="124">
        <v>0.5</v>
      </c>
      <c r="E10" s="121"/>
      <c r="F10" s="121"/>
      <c r="G10" s="63"/>
      <c r="H10" s="123"/>
    </row>
    <row r="11" spans="1:8" ht="15">
      <c r="A11" s="59"/>
      <c r="B11" s="120"/>
      <c r="C11" s="121" t="s">
        <v>151</v>
      </c>
      <c r="D11" s="125">
        <v>53</v>
      </c>
      <c r="E11" s="121"/>
      <c r="F11" s="121"/>
      <c r="G11" s="63"/>
      <c r="H11" s="123"/>
    </row>
    <row r="12" spans="1:8" ht="15">
      <c r="A12" s="59"/>
      <c r="B12" s="120"/>
      <c r="C12" s="121" t="s">
        <v>152</v>
      </c>
      <c r="D12" s="124">
        <v>0.25</v>
      </c>
      <c r="E12" s="121"/>
      <c r="F12" s="121"/>
      <c r="G12" s="63"/>
      <c r="H12" s="123"/>
    </row>
    <row r="13" spans="1:8" ht="15">
      <c r="A13" s="59"/>
      <c r="B13" s="120"/>
      <c r="C13" s="121" t="s">
        <v>153</v>
      </c>
      <c r="D13" s="122">
        <v>185000</v>
      </c>
      <c r="E13" s="121"/>
      <c r="F13" s="121"/>
      <c r="G13" s="63"/>
      <c r="H13" s="123"/>
    </row>
    <row r="14" spans="1:8" ht="15">
      <c r="A14" s="59"/>
      <c r="B14" s="120"/>
      <c r="C14" s="121" t="s">
        <v>727</v>
      </c>
      <c r="D14" s="122">
        <v>390000</v>
      </c>
      <c r="E14" s="121"/>
      <c r="F14" s="121"/>
      <c r="G14" s="63"/>
      <c r="H14" s="123"/>
    </row>
    <row r="15" spans="1:8" ht="15">
      <c r="A15" s="59"/>
      <c r="B15" s="120"/>
      <c r="C15" s="121" t="s">
        <v>154</v>
      </c>
      <c r="D15" s="122">
        <v>210000</v>
      </c>
      <c r="E15" s="121"/>
      <c r="F15" s="121"/>
      <c r="G15" s="63"/>
      <c r="H15" s="123"/>
    </row>
    <row r="16" spans="1:8" ht="15">
      <c r="A16" s="59"/>
      <c r="B16" s="120"/>
      <c r="C16" s="121" t="s">
        <v>728</v>
      </c>
      <c r="D16" s="122">
        <v>135000</v>
      </c>
      <c r="E16" s="121"/>
      <c r="F16" s="121"/>
      <c r="G16" s="63"/>
      <c r="H16" s="123"/>
    </row>
    <row r="17" spans="1:8" ht="15">
      <c r="A17" s="59"/>
      <c r="B17" s="120"/>
      <c r="C17" s="121" t="s">
        <v>155</v>
      </c>
      <c r="D17" s="315">
        <v>1.2E-2</v>
      </c>
      <c r="E17" s="121"/>
      <c r="F17" s="121"/>
      <c r="G17" s="63"/>
      <c r="H17" s="123"/>
    </row>
    <row r="18" spans="1:8" ht="15">
      <c r="A18" s="59"/>
      <c r="B18" s="120"/>
      <c r="C18" s="121" t="s">
        <v>156</v>
      </c>
      <c r="D18" s="315">
        <v>5.0000000000000001E-3</v>
      </c>
      <c r="E18" s="121"/>
      <c r="F18" s="121"/>
      <c r="G18" s="63"/>
      <c r="H18" s="123"/>
    </row>
    <row r="19" spans="1:8" ht="15">
      <c r="A19" s="59"/>
      <c r="B19" s="120"/>
      <c r="C19" s="121" t="s">
        <v>157</v>
      </c>
      <c r="D19" s="126">
        <v>0</v>
      </c>
      <c r="E19" s="121"/>
      <c r="F19" s="121"/>
      <c r="G19" s="63"/>
      <c r="H19" s="123"/>
    </row>
    <row r="20" spans="1:8" ht="15">
      <c r="A20" s="59"/>
      <c r="B20" s="120"/>
      <c r="C20" s="121"/>
      <c r="D20" s="127"/>
      <c r="E20" s="121"/>
      <c r="F20" s="121"/>
      <c r="G20" s="63"/>
      <c r="H20" s="123"/>
    </row>
    <row r="21" spans="1:8" ht="15">
      <c r="A21" s="59"/>
      <c r="B21" s="120"/>
      <c r="C21" s="121"/>
      <c r="D21" s="128" t="s">
        <v>158</v>
      </c>
      <c r="E21" s="129" t="s">
        <v>159</v>
      </c>
      <c r="F21" s="129" t="s">
        <v>160</v>
      </c>
      <c r="G21" s="130" t="s">
        <v>161</v>
      </c>
      <c r="H21" s="123"/>
    </row>
    <row r="22" spans="1:8" ht="15">
      <c r="A22" s="59"/>
      <c r="B22" s="120"/>
      <c r="C22" s="121" t="s">
        <v>729</v>
      </c>
      <c r="D22" s="122">
        <v>1102000</v>
      </c>
      <c r="E22" s="131">
        <v>1141000</v>
      </c>
      <c r="F22" s="131">
        <v>1125000</v>
      </c>
      <c r="G22" s="131">
        <v>1063000</v>
      </c>
      <c r="H22" s="123"/>
    </row>
    <row r="23" spans="1:8" ht="15">
      <c r="A23" s="59"/>
      <c r="B23" s="120"/>
      <c r="C23" s="121"/>
      <c r="D23" s="122"/>
      <c r="E23" s="122"/>
      <c r="F23" s="122"/>
      <c r="G23" s="122"/>
      <c r="H23" s="123"/>
    </row>
    <row r="24" spans="1:8" ht="15">
      <c r="A24" s="59"/>
      <c r="B24" s="120"/>
      <c r="C24" s="121" t="s">
        <v>730</v>
      </c>
      <c r="D24" s="232">
        <v>0.21000000000000002</v>
      </c>
      <c r="E24" s="131"/>
      <c r="F24" s="131"/>
      <c r="G24" s="131"/>
      <c r="H24" s="123"/>
    </row>
    <row r="25" spans="1:8" ht="15.75" thickBot="1">
      <c r="A25" s="59"/>
      <c r="B25" s="132"/>
      <c r="C25" s="133"/>
      <c r="D25" s="133"/>
      <c r="E25" s="133"/>
      <c r="F25" s="133"/>
      <c r="G25" s="73"/>
      <c r="H25" s="134"/>
    </row>
    <row r="26" spans="1:8" ht="15">
      <c r="A26" s="59"/>
      <c r="B26" s="59"/>
      <c r="C26" s="59"/>
      <c r="D26" s="59"/>
      <c r="E26" s="59"/>
      <c r="F26" s="59"/>
      <c r="G26" s="59"/>
    </row>
    <row r="27" spans="1:8" ht="15">
      <c r="A27" s="59"/>
      <c r="B27" s="59"/>
      <c r="C27" s="9" t="s">
        <v>139</v>
      </c>
      <c r="D27" s="59"/>
      <c r="E27" s="59"/>
      <c r="F27" s="59"/>
      <c r="G27" s="59"/>
    </row>
    <row r="28" spans="1:8" ht="15.75" thickBot="1">
      <c r="A28" s="59"/>
      <c r="B28" s="59"/>
      <c r="C28" s="59"/>
      <c r="D28" s="59"/>
      <c r="E28" s="59"/>
      <c r="F28" s="59"/>
      <c r="G28" s="59"/>
    </row>
    <row r="29" spans="1:8" ht="15">
      <c r="A29" s="59"/>
      <c r="B29" s="135"/>
      <c r="C29" s="136"/>
      <c r="D29" s="136"/>
      <c r="E29" s="136"/>
      <c r="F29" s="136"/>
      <c r="G29" s="136"/>
      <c r="H29" s="137"/>
    </row>
    <row r="30" spans="1:8" ht="15">
      <c r="A30" s="59"/>
      <c r="B30" s="138"/>
      <c r="C30" s="140" t="s">
        <v>731</v>
      </c>
      <c r="D30" s="195">
        <f>D22*(1+$D$24)</f>
        <v>1333420</v>
      </c>
      <c r="E30" s="195">
        <f>E22*(1+$D$24)</f>
        <v>1380610</v>
      </c>
      <c r="F30" s="195">
        <f>F22*(1+$D$24)</f>
        <v>1361250</v>
      </c>
      <c r="G30" s="195">
        <f>G22*(1+$D$24)</f>
        <v>1286230</v>
      </c>
      <c r="H30" s="141"/>
    </row>
    <row r="31" spans="1:8" ht="15">
      <c r="A31" s="59"/>
      <c r="B31" s="138"/>
      <c r="C31" s="140" t="s">
        <v>732</v>
      </c>
      <c r="D31" s="195">
        <f>D30*(1+D24)</f>
        <v>1613438.2</v>
      </c>
      <c r="E31" s="195"/>
      <c r="F31" s="195"/>
      <c r="G31" s="195"/>
      <c r="H31" s="141"/>
    </row>
    <row r="32" spans="1:8" ht="15.75">
      <c r="A32" s="59"/>
      <c r="B32" s="138"/>
      <c r="C32" s="139"/>
      <c r="D32" s="142"/>
      <c r="E32" s="140"/>
      <c r="F32" s="140"/>
      <c r="G32" s="140"/>
      <c r="H32" s="141"/>
    </row>
    <row r="33" spans="1:8" ht="15">
      <c r="A33" s="59"/>
      <c r="B33" s="138"/>
      <c r="C33" s="139"/>
      <c r="D33" s="783" t="s">
        <v>733</v>
      </c>
      <c r="E33" s="783"/>
      <c r="F33" s="140"/>
      <c r="G33" s="140"/>
      <c r="H33" s="141"/>
    </row>
    <row r="34" spans="1:8" ht="15">
      <c r="A34" s="59"/>
      <c r="B34" s="138"/>
      <c r="C34" s="139"/>
      <c r="D34" s="145" t="s">
        <v>158</v>
      </c>
      <c r="E34" s="144" t="s">
        <v>159</v>
      </c>
      <c r="F34" s="144" t="s">
        <v>160</v>
      </c>
      <c r="G34" s="144" t="s">
        <v>161</v>
      </c>
      <c r="H34" s="141"/>
    </row>
    <row r="35" spans="1:8" ht="15">
      <c r="A35" s="59"/>
      <c r="B35" s="138"/>
      <c r="C35" s="139" t="s">
        <v>734</v>
      </c>
      <c r="D35" s="224">
        <f>D7*(1-D8)</f>
        <v>607500</v>
      </c>
      <c r="E35" s="84">
        <f>($D$9/90)*D30</f>
        <v>844499.33333333326</v>
      </c>
      <c r="F35" s="84">
        <f>($D$9/90)*E30</f>
        <v>874386.33333333326</v>
      </c>
      <c r="G35" s="84">
        <f>($D$9/90)*F30</f>
        <v>862125</v>
      </c>
      <c r="H35" s="141"/>
    </row>
    <row r="36" spans="1:8" ht="15">
      <c r="A36" s="59"/>
      <c r="B36" s="138"/>
      <c r="C36" s="139" t="s">
        <v>735</v>
      </c>
      <c r="D36" s="431">
        <f>((90-D9)/90)*D30</f>
        <v>488920.66666666663</v>
      </c>
      <c r="E36" s="362">
        <f>((90-$D$9)/90)*E30</f>
        <v>506223.66666666663</v>
      </c>
      <c r="F36" s="362">
        <f>((90-$D$9)/90)*F30</f>
        <v>499124.99999999994</v>
      </c>
      <c r="G36" s="362">
        <f>((90-$D$9)/90)*G30</f>
        <v>471617.66666666663</v>
      </c>
      <c r="H36" s="141"/>
    </row>
    <row r="37" spans="1:8" ht="15">
      <c r="A37" s="59"/>
      <c r="B37" s="138"/>
      <c r="C37" s="139" t="s">
        <v>736</v>
      </c>
      <c r="D37" s="431">
        <f>-$D$10*D30*$D$11/90</f>
        <v>-392618.11111111112</v>
      </c>
      <c r="E37" s="431">
        <f>-$D$10*E30*$D$11/90</f>
        <v>-406512.94444444444</v>
      </c>
      <c r="F37" s="431">
        <f>-$D$10*F30*$D$11/90</f>
        <v>-400812.5</v>
      </c>
      <c r="G37" s="431">
        <f>-$D$10*G30*$D$11/90</f>
        <v>-378723.27777777775</v>
      </c>
      <c r="H37" s="141"/>
    </row>
    <row r="38" spans="1:8" ht="15">
      <c r="A38" s="59"/>
      <c r="B38" s="138"/>
      <c r="C38" s="139" t="s">
        <v>737</v>
      </c>
      <c r="D38" s="431">
        <f>-$D$10*E30*((90-$D$11)/90)</f>
        <v>-283792.05555555556</v>
      </c>
      <c r="E38" s="431">
        <f>-$D$10*F30*((90-$D$11)/90)</f>
        <v>-279812.5</v>
      </c>
      <c r="F38" s="431">
        <f>-$D$10*G30*((90-$D$11)/90)</f>
        <v>-264391.72222222219</v>
      </c>
      <c r="G38" s="431">
        <f>-$D$10*D31*((90-$D$11)/90)</f>
        <v>-331651.18555555551</v>
      </c>
      <c r="H38" s="141"/>
    </row>
    <row r="39" spans="1:8" ht="15">
      <c r="A39" s="59"/>
      <c r="B39" s="138"/>
      <c r="C39" s="139" t="s">
        <v>738</v>
      </c>
      <c r="D39" s="431">
        <f>-$D$12*D30</f>
        <v>-333355</v>
      </c>
      <c r="E39" s="431">
        <f>-$D$12*E30</f>
        <v>-345152.5</v>
      </c>
      <c r="F39" s="431">
        <f>-$D$12*F30</f>
        <v>-340312.5</v>
      </c>
      <c r="G39" s="431">
        <f>-$D$12*G30</f>
        <v>-321557.5</v>
      </c>
      <c r="H39" s="141"/>
    </row>
    <row r="40" spans="1:8" ht="15">
      <c r="A40" s="59"/>
      <c r="B40" s="138"/>
      <c r="C40" s="139" t="s">
        <v>739</v>
      </c>
      <c r="D40" s="431">
        <f>-$D$13</f>
        <v>-185000</v>
      </c>
      <c r="E40" s="431">
        <f>-$D$13</f>
        <v>-185000</v>
      </c>
      <c r="F40" s="431">
        <f>-$D$13</f>
        <v>-185000</v>
      </c>
      <c r="G40" s="431">
        <f>-$D$13</f>
        <v>-185000</v>
      </c>
      <c r="H40" s="141"/>
    </row>
    <row r="41" spans="1:8" ht="15">
      <c r="A41" s="59"/>
      <c r="B41" s="138"/>
      <c r="C41" s="139" t="s">
        <v>740</v>
      </c>
      <c r="D41" s="432"/>
      <c r="E41" s="432"/>
      <c r="F41" s="432">
        <f>-D14</f>
        <v>-390000</v>
      </c>
      <c r="G41" s="432"/>
      <c r="H41" s="141"/>
    </row>
    <row r="42" spans="1:8" ht="15">
      <c r="A42" s="59"/>
      <c r="B42" s="138"/>
      <c r="C42" s="139" t="s">
        <v>741</v>
      </c>
      <c r="D42" s="224">
        <f>SUM(D35:D41)</f>
        <v>-98344.500000000175</v>
      </c>
      <c r="E42" s="224">
        <f>SUM(E35:E41)</f>
        <v>134245.0555555555</v>
      </c>
      <c r="F42" s="224">
        <f>SUM(F35:F41)</f>
        <v>-207005.38888888899</v>
      </c>
      <c r="G42" s="224">
        <f>SUM(G35:G41)</f>
        <v>116810.70333333325</v>
      </c>
      <c r="H42" s="141"/>
    </row>
    <row r="43" spans="1:8" ht="15">
      <c r="A43" s="59"/>
      <c r="B43" s="138"/>
      <c r="C43" s="139"/>
      <c r="D43" s="143"/>
      <c r="E43" s="140"/>
      <c r="F43" s="140"/>
      <c r="G43" s="140"/>
      <c r="H43" s="141"/>
    </row>
    <row r="44" spans="1:8" ht="15">
      <c r="A44" s="59"/>
      <c r="B44" s="138"/>
      <c r="C44" s="780" t="s">
        <v>162</v>
      </c>
      <c r="D44" s="780"/>
      <c r="E44" s="780"/>
      <c r="F44" s="780"/>
      <c r="G44" s="780"/>
      <c r="H44" s="141"/>
    </row>
    <row r="45" spans="1:8" ht="15">
      <c r="A45" s="59"/>
      <c r="B45" s="138"/>
      <c r="C45" s="139"/>
      <c r="D45" s="145" t="s">
        <v>158</v>
      </c>
      <c r="E45" s="144" t="s">
        <v>159</v>
      </c>
      <c r="F45" s="144" t="s">
        <v>160</v>
      </c>
      <c r="G45" s="144" t="s">
        <v>161</v>
      </c>
      <c r="H45" s="141"/>
    </row>
    <row r="46" spans="1:8" ht="15">
      <c r="A46" s="59"/>
      <c r="B46" s="138"/>
      <c r="C46" s="139" t="s">
        <v>154</v>
      </c>
      <c r="D46" s="146">
        <f>D15</f>
        <v>210000</v>
      </c>
      <c r="E46" s="147">
        <f>D48</f>
        <v>111655.49999999983</v>
      </c>
      <c r="F46" s="147">
        <f>E48</f>
        <v>245900.55555555533</v>
      </c>
      <c r="G46" s="147">
        <f>F48</f>
        <v>38895.166666666337</v>
      </c>
      <c r="H46" s="141"/>
    </row>
    <row r="47" spans="1:8" ht="15">
      <c r="A47" s="59"/>
      <c r="B47" s="138"/>
      <c r="C47" s="139" t="s">
        <v>163</v>
      </c>
      <c r="D47" s="433">
        <f>D42</f>
        <v>-98344.500000000175</v>
      </c>
      <c r="E47" s="434">
        <f>E42</f>
        <v>134245.0555555555</v>
      </c>
      <c r="F47" s="434">
        <f>F42</f>
        <v>-207005.38888888899</v>
      </c>
      <c r="G47" s="434">
        <f>G42</f>
        <v>116810.70333333325</v>
      </c>
      <c r="H47" s="141"/>
    </row>
    <row r="48" spans="1:8" ht="15">
      <c r="A48" s="59"/>
      <c r="B48" s="138"/>
      <c r="C48" s="139" t="s">
        <v>164</v>
      </c>
      <c r="D48" s="146">
        <f>D46+D47</f>
        <v>111655.49999999983</v>
      </c>
      <c r="E48" s="146">
        <f>E46+E47</f>
        <v>245900.55555555533</v>
      </c>
      <c r="F48" s="146">
        <f>F46+F47</f>
        <v>38895.166666666337</v>
      </c>
      <c r="G48" s="146">
        <f>G46+G47</f>
        <v>155705.86999999959</v>
      </c>
      <c r="H48" s="141"/>
    </row>
    <row r="49" spans="1:10" ht="15">
      <c r="A49" s="59"/>
      <c r="B49" s="138"/>
      <c r="C49" s="139" t="s">
        <v>165</v>
      </c>
      <c r="D49" s="433">
        <f>$D$16</f>
        <v>135000</v>
      </c>
      <c r="E49" s="433">
        <f>$D$16</f>
        <v>135000</v>
      </c>
      <c r="F49" s="433">
        <f>$D$16</f>
        <v>135000</v>
      </c>
      <c r="G49" s="433">
        <f>$D$16</f>
        <v>135000</v>
      </c>
      <c r="H49" s="141"/>
    </row>
    <row r="50" spans="1:10" ht="15">
      <c r="A50" s="59"/>
      <c r="B50" s="138"/>
      <c r="C50" s="139" t="s">
        <v>166</v>
      </c>
      <c r="D50" s="146">
        <f>D48-D49</f>
        <v>-23344.500000000175</v>
      </c>
      <c r="E50" s="146">
        <f>E48-E49</f>
        <v>110900.55555555533</v>
      </c>
      <c r="F50" s="146">
        <f>F48-F49</f>
        <v>-96104.833333333663</v>
      </c>
      <c r="G50" s="146">
        <f>G48-G49</f>
        <v>20705.869999999588</v>
      </c>
      <c r="H50" s="141"/>
    </row>
    <row r="51" spans="1:10" ht="15">
      <c r="A51" s="59"/>
      <c r="B51" s="138"/>
      <c r="C51" s="139"/>
      <c r="D51" s="148"/>
      <c r="E51" s="149"/>
      <c r="F51" s="149"/>
      <c r="G51" s="149"/>
      <c r="H51" s="141"/>
    </row>
    <row r="52" spans="1:10" ht="15">
      <c r="A52" s="59"/>
      <c r="B52" s="138"/>
      <c r="C52" s="781" t="s">
        <v>167</v>
      </c>
      <c r="D52" s="781"/>
      <c r="E52" s="781"/>
      <c r="F52" s="781"/>
      <c r="G52" s="781"/>
      <c r="H52" s="141"/>
    </row>
    <row r="53" spans="1:10" ht="15">
      <c r="A53" s="59"/>
      <c r="B53" s="138"/>
      <c r="C53" s="139" t="s">
        <v>728</v>
      </c>
      <c r="D53" s="150">
        <f>$D$16</f>
        <v>135000</v>
      </c>
      <c r="E53" s="150">
        <f>$D$16</f>
        <v>135000</v>
      </c>
      <c r="F53" s="150">
        <f>$D$16</f>
        <v>135000</v>
      </c>
      <c r="G53" s="150">
        <f>$D$16</f>
        <v>135000</v>
      </c>
      <c r="H53" s="141"/>
    </row>
    <row r="54" spans="1:10" ht="15">
      <c r="A54" s="59"/>
      <c r="B54" s="138"/>
      <c r="C54" s="139" t="s">
        <v>163</v>
      </c>
      <c r="D54" s="435">
        <f>D42</f>
        <v>-98344.500000000175</v>
      </c>
      <c r="E54" s="436">
        <f>E42</f>
        <v>134245.0555555555</v>
      </c>
      <c r="F54" s="436">
        <f>F42</f>
        <v>-207005.38888888899</v>
      </c>
      <c r="G54" s="436">
        <f>G42</f>
        <v>116810.70333333325</v>
      </c>
      <c r="H54" s="141"/>
    </row>
    <row r="55" spans="1:10" ht="15">
      <c r="A55" s="59"/>
      <c r="B55" s="138"/>
      <c r="C55" s="139" t="s">
        <v>168</v>
      </c>
      <c r="D55" s="435">
        <f>-MAX(D54+D56+D59+D60,0)</f>
        <v>0</v>
      </c>
      <c r="E55" s="435">
        <f>-MAX(E54+E56+E59+E60,0)</f>
        <v>-134620.0555555555</v>
      </c>
      <c r="F55" s="435">
        <f>-MAX(F54+F56+F59+F60,0)</f>
        <v>0</v>
      </c>
      <c r="G55" s="435">
        <f>-MAX(G54+G56+G59+G60,0)</f>
        <v>-116829.01716805548</v>
      </c>
      <c r="H55" s="141"/>
    </row>
    <row r="56" spans="1:10" ht="15">
      <c r="A56" s="59"/>
      <c r="B56" s="138"/>
      <c r="C56" s="139" t="s">
        <v>169</v>
      </c>
      <c r="D56" s="435">
        <f>IF(E70="earns",F70,0)</f>
        <v>375</v>
      </c>
      <c r="E56" s="435">
        <f>IF(E71="earns",F71,0)</f>
        <v>375</v>
      </c>
      <c r="F56" s="435">
        <f>IF(E72="earns",F72,0)</f>
        <v>1048.1002777777776</v>
      </c>
      <c r="G56" s="435">
        <f>IF(E73="earns",F73,0)</f>
        <v>18.313834722221511</v>
      </c>
      <c r="H56" s="141"/>
      <c r="J56" s="151"/>
    </row>
    <row r="57" spans="1:10" ht="15">
      <c r="A57" s="59"/>
      <c r="B57" s="138"/>
      <c r="C57" s="139" t="s">
        <v>170</v>
      </c>
      <c r="D57" s="436">
        <f>IF(D54&lt;0,MIN((-1*(D54+D56)),B66),0)</f>
        <v>97969.500000000175</v>
      </c>
      <c r="E57" s="436">
        <f>IF(E54&lt;0,MIN((-1*(E54+E56)),D66),0)</f>
        <v>0</v>
      </c>
      <c r="F57" s="436">
        <f>IF(F54&lt;0,MIN((-1*(F54+F56)),E66),0)</f>
        <v>205957.2886111112</v>
      </c>
      <c r="G57" s="436">
        <f>IF(G54&lt;0,MIN((-1*(G54+G56)),E66),0)</f>
        <v>0</v>
      </c>
      <c r="H57" s="141"/>
    </row>
    <row r="58" spans="1:10" ht="15">
      <c r="A58" s="59"/>
      <c r="B58" s="138"/>
      <c r="C58" s="139" t="s">
        <v>171</v>
      </c>
      <c r="D58" s="436">
        <f>-MIN(D54+D56+D57,0)</f>
        <v>0</v>
      </c>
      <c r="E58" s="436">
        <f>-MIN(E54+E56+E57,0)</f>
        <v>0</v>
      </c>
      <c r="F58" s="436">
        <f>-MIN(F54+F56+F57,0)</f>
        <v>0</v>
      </c>
      <c r="G58" s="436">
        <f>-MIN(G54+G56+G57,0)</f>
        <v>0</v>
      </c>
      <c r="H58" s="141"/>
    </row>
    <row r="59" spans="1:10" ht="15">
      <c r="A59" s="59"/>
      <c r="B59" s="138"/>
      <c r="C59" s="139" t="s">
        <v>172</v>
      </c>
      <c r="D59" s="435">
        <f>IF(E70="costs",-F70,0)</f>
        <v>0</v>
      </c>
      <c r="E59" s="435">
        <f>IF(E71="costs",-F71,0)</f>
        <v>0</v>
      </c>
      <c r="F59" s="435">
        <f>IF(E72="costs",-F72,0)</f>
        <v>0</v>
      </c>
      <c r="G59" s="435">
        <f>IF(E73="costs",-F73,0)</f>
        <v>0</v>
      </c>
      <c r="H59" s="141"/>
    </row>
    <row r="60" spans="1:10" ht="15">
      <c r="A60" s="59"/>
      <c r="B60" s="138"/>
      <c r="C60" s="139" t="s">
        <v>173</v>
      </c>
      <c r="D60" s="434">
        <f>IF(D54&gt;0,(-MIN(D19,D54+D59)),0)</f>
        <v>0</v>
      </c>
      <c r="E60" s="434">
        <f>IF(E54&gt;0,(-MIN(D68,E54+E59)),0)</f>
        <v>0</v>
      </c>
      <c r="F60" s="434">
        <f>IF(F54&gt;0,(-MIN(E68,F54+F59)),0)</f>
        <v>0</v>
      </c>
      <c r="G60" s="434">
        <f>IF(G54&gt;0,(-MIN(F68,G54+G59)),0)</f>
        <v>0</v>
      </c>
      <c r="H60" s="141"/>
    </row>
    <row r="61" spans="1:10" ht="15">
      <c r="A61" s="59"/>
      <c r="B61" s="138"/>
      <c r="C61" s="139" t="s">
        <v>164</v>
      </c>
      <c r="D61" s="150">
        <f>D16</f>
        <v>135000</v>
      </c>
      <c r="E61" s="150">
        <f>E53+E54+E55+E56+E57+E58+E59+E60</f>
        <v>135000</v>
      </c>
      <c r="F61" s="150">
        <f>F53+F54+F55+F56+F57+F58+F59+F60</f>
        <v>135000</v>
      </c>
      <c r="G61" s="150">
        <f>G53+G54+G55+G56+G57+G58+G59+G60</f>
        <v>135000</v>
      </c>
      <c r="H61" s="141"/>
    </row>
    <row r="62" spans="1:10" ht="15">
      <c r="A62" s="59"/>
      <c r="B62" s="138"/>
      <c r="C62" s="139" t="s">
        <v>165</v>
      </c>
      <c r="D62" s="433">
        <f>-D61</f>
        <v>-135000</v>
      </c>
      <c r="E62" s="433">
        <f>-E61</f>
        <v>-135000</v>
      </c>
      <c r="F62" s="433">
        <f>-F61</f>
        <v>-135000</v>
      </c>
      <c r="G62" s="433">
        <f>-G61</f>
        <v>-135000</v>
      </c>
      <c r="H62" s="141"/>
    </row>
    <row r="63" spans="1:10" ht="15">
      <c r="A63" s="59"/>
      <c r="B63" s="138"/>
      <c r="C63" s="139" t="s">
        <v>166</v>
      </c>
      <c r="D63" s="150">
        <f>D61+D62</f>
        <v>0</v>
      </c>
      <c r="E63" s="150">
        <f>E61+E62</f>
        <v>0</v>
      </c>
      <c r="F63" s="150">
        <f>F61+F62</f>
        <v>0</v>
      </c>
      <c r="G63" s="150">
        <f>G61+G62</f>
        <v>0</v>
      </c>
      <c r="H63" s="141"/>
    </row>
    <row r="64" spans="1:10" ht="15">
      <c r="A64" s="59"/>
      <c r="B64" s="138"/>
      <c r="C64" s="139"/>
      <c r="D64" s="143"/>
      <c r="E64" s="152"/>
      <c r="F64" s="152"/>
      <c r="G64" s="152"/>
      <c r="H64" s="141"/>
    </row>
    <row r="65" spans="1:9" ht="15">
      <c r="A65" s="59"/>
      <c r="B65" s="138"/>
      <c r="C65" s="139" t="s">
        <v>174</v>
      </c>
      <c r="D65" s="150">
        <f>MAX(D46-D61,0)</f>
        <v>75000</v>
      </c>
      <c r="E65" s="150">
        <f>MAX(D66,0)</f>
        <v>75000</v>
      </c>
      <c r="F65" s="150">
        <f>MAX(E66,0)</f>
        <v>209620.0555555555</v>
      </c>
      <c r="G65" s="150">
        <f>MAX(F66,0)</f>
        <v>3662.7669444443018</v>
      </c>
      <c r="H65" s="141"/>
    </row>
    <row r="66" spans="1:9" ht="15">
      <c r="A66" s="59"/>
      <c r="B66" s="138"/>
      <c r="C66" s="139" t="s">
        <v>175</v>
      </c>
      <c r="D66" s="435">
        <f>D65+(-D55)</f>
        <v>75000</v>
      </c>
      <c r="E66" s="435">
        <f>E65-E57-E55</f>
        <v>209620.0555555555</v>
      </c>
      <c r="F66" s="435">
        <f>MAX(F65-F55-F57,0)</f>
        <v>3662.7669444443018</v>
      </c>
      <c r="G66" s="435">
        <f>G65-G55-G57</f>
        <v>120491.78411249978</v>
      </c>
      <c r="H66" s="141"/>
    </row>
    <row r="67" spans="1:9" ht="15">
      <c r="A67" s="59"/>
      <c r="B67" s="138"/>
      <c r="C67" s="139" t="s">
        <v>176</v>
      </c>
      <c r="D67" s="435">
        <f>D19</f>
        <v>0</v>
      </c>
      <c r="E67" s="436">
        <f>D68</f>
        <v>0</v>
      </c>
      <c r="F67" s="436">
        <f>E68</f>
        <v>0</v>
      </c>
      <c r="G67" s="436">
        <f>F68</f>
        <v>0</v>
      </c>
      <c r="H67" s="141"/>
    </row>
    <row r="68" spans="1:9" ht="15">
      <c r="A68" s="59"/>
      <c r="B68" s="138"/>
      <c r="C68" s="139" t="s">
        <v>177</v>
      </c>
      <c r="D68" s="150">
        <f>D67+D58+D60</f>
        <v>0</v>
      </c>
      <c r="E68" s="150">
        <f>E67+E58+E60</f>
        <v>0</v>
      </c>
      <c r="F68" s="150">
        <f>F67+F58+F60</f>
        <v>0</v>
      </c>
      <c r="G68" s="150">
        <f>G67+G58+G60</f>
        <v>0</v>
      </c>
      <c r="H68" s="141"/>
    </row>
    <row r="69" spans="1:9" ht="15">
      <c r="A69" s="59"/>
      <c r="B69" s="138"/>
      <c r="C69" s="139"/>
      <c r="D69" s="143"/>
      <c r="E69" s="140"/>
      <c r="F69" s="140"/>
      <c r="G69" s="140"/>
      <c r="H69" s="141"/>
    </row>
    <row r="70" spans="1:9" ht="15">
      <c r="A70" s="59"/>
      <c r="B70" s="138" t="s">
        <v>178</v>
      </c>
      <c r="C70" s="153" t="str">
        <f>IF(D15&gt;30,"Excess funds at start of quarter of","Shortage of funds at start of quarter of")</f>
        <v>Excess funds at start of quarter of</v>
      </c>
      <c r="D70" s="154">
        <f>IF(D65&gt;0,D65,D68)</f>
        <v>75000</v>
      </c>
      <c r="E70" s="156" t="str">
        <f>IF(D15&gt;30,"earns","costs")</f>
        <v>earns</v>
      </c>
      <c r="F70" s="157">
        <f>IF(E70="earns",D70*$D$18,D70*$D$17)</f>
        <v>375</v>
      </c>
      <c r="G70" s="155" t="str">
        <f>IF(E70="earns","in income.","in interest.")</f>
        <v>in income.</v>
      </c>
      <c r="H70" s="141"/>
      <c r="I70" s="158"/>
    </row>
    <row r="71" spans="1:9" ht="15">
      <c r="A71" s="59"/>
      <c r="B71" s="138" t="s">
        <v>179</v>
      </c>
      <c r="C71" s="153" t="str">
        <f>IF(D66&gt;0,"Excess funds at start of quarter of","Shortage of funds at start of quarter of")</f>
        <v>Excess funds at start of quarter of</v>
      </c>
      <c r="D71" s="154">
        <f>MAX(D66,D68)</f>
        <v>75000</v>
      </c>
      <c r="E71" s="156" t="str">
        <f>IF(D66&gt;0,"earns","costs")</f>
        <v>earns</v>
      </c>
      <c r="F71" s="157">
        <f>IF(E71="earns",D71*$D$18,D71*$D$17)</f>
        <v>375</v>
      </c>
      <c r="G71" s="155" t="str">
        <f>IF(E71="earns","in income.","in interest.")</f>
        <v>in income.</v>
      </c>
      <c r="H71" s="141"/>
    </row>
    <row r="72" spans="1:9" ht="15">
      <c r="A72" s="59"/>
      <c r="B72" s="138" t="s">
        <v>180</v>
      </c>
      <c r="C72" s="153" t="str">
        <f>IF(E50&gt;0,"Excess funds at start of quarter of","Shortage of funds at start of quarter of")</f>
        <v>Excess funds at start of quarter of</v>
      </c>
      <c r="D72" s="154">
        <f>MAX(E66,E68)</f>
        <v>209620.0555555555</v>
      </c>
      <c r="E72" s="156" t="str">
        <f>IF(E50&gt;0,"earns","costs")</f>
        <v>earns</v>
      </c>
      <c r="F72" s="157">
        <f>IF(E72="earns",D72*$D$18,D72*$D$17)</f>
        <v>1048.1002777777776</v>
      </c>
      <c r="G72" s="155" t="str">
        <f>IF(E72="earns","in income.","in interest.")</f>
        <v>in income.</v>
      </c>
      <c r="H72" s="141"/>
    </row>
    <row r="73" spans="1:9" ht="15">
      <c r="A73" s="59"/>
      <c r="B73" s="138" t="s">
        <v>181</v>
      </c>
      <c r="C73" s="153" t="str">
        <f>IF(F66&gt;0,"Excess funds at start of quarter of","Shortage of funds at start of quarter of")</f>
        <v>Excess funds at start of quarter of</v>
      </c>
      <c r="D73" s="159">
        <f>MAX(F66,F68)</f>
        <v>3662.7669444443018</v>
      </c>
      <c r="E73" s="156" t="str">
        <f>IF(F66&gt;0,"earns","costs")</f>
        <v>earns</v>
      </c>
      <c r="F73" s="157">
        <f>IF(E73="earns",D73*$D$18,D73*$D$17)</f>
        <v>18.313834722221511</v>
      </c>
      <c r="G73" s="155" t="str">
        <f>IF(E73="earns","in income.","in interest.")</f>
        <v>in income.</v>
      </c>
      <c r="H73" s="141"/>
    </row>
    <row r="74" spans="1:9" ht="15">
      <c r="A74" s="59"/>
      <c r="B74" s="138"/>
      <c r="C74" s="153"/>
      <c r="D74" s="159"/>
      <c r="E74" s="156"/>
      <c r="F74" s="157"/>
      <c r="G74" s="155"/>
      <c r="H74" s="141"/>
    </row>
    <row r="75" spans="1:9" ht="15">
      <c r="A75" s="59"/>
      <c r="B75" s="138"/>
      <c r="C75" s="139" t="s">
        <v>182</v>
      </c>
      <c r="D75" s="159"/>
      <c r="E75" s="156"/>
      <c r="F75" s="157"/>
      <c r="G75" s="155"/>
      <c r="H75" s="141"/>
    </row>
    <row r="76" spans="1:9" ht="15">
      <c r="A76" s="59"/>
      <c r="B76" s="138"/>
      <c r="C76" s="139" t="s">
        <v>158</v>
      </c>
      <c r="D76" s="160">
        <f>IF(E70="earns",F70,-F70)</f>
        <v>375</v>
      </c>
      <c r="E76" s="156"/>
      <c r="F76" s="157"/>
      <c r="G76" s="155"/>
      <c r="H76" s="141"/>
    </row>
    <row r="77" spans="1:9" ht="15">
      <c r="A77" s="59"/>
      <c r="B77" s="138"/>
      <c r="C77" s="139" t="s">
        <v>159</v>
      </c>
      <c r="D77" s="437">
        <f>IF(E71="earns",F71,-F71)</f>
        <v>375</v>
      </c>
      <c r="E77" s="156"/>
      <c r="F77" s="157"/>
      <c r="G77" s="155"/>
      <c r="H77" s="141"/>
    </row>
    <row r="78" spans="1:9" ht="15">
      <c r="A78" s="59"/>
      <c r="B78" s="138"/>
      <c r="C78" s="139" t="s">
        <v>160</v>
      </c>
      <c r="D78" s="437">
        <f>IF(E72="earns",F72,-F72)</f>
        <v>1048.1002777777776</v>
      </c>
      <c r="E78" s="156"/>
      <c r="F78" s="157"/>
      <c r="G78" s="155"/>
      <c r="H78" s="141"/>
    </row>
    <row r="79" spans="1:9" ht="15">
      <c r="A79" s="59"/>
      <c r="B79" s="138"/>
      <c r="C79" s="139" t="s">
        <v>161</v>
      </c>
      <c r="D79" s="438">
        <f>IF(E73="earns",F73,-F73)</f>
        <v>18.313834722221511</v>
      </c>
      <c r="E79" s="156"/>
      <c r="F79" s="157"/>
      <c r="G79" s="155"/>
      <c r="H79" s="141"/>
    </row>
    <row r="80" spans="1:9" ht="15.75">
      <c r="A80" s="59"/>
      <c r="B80" s="138"/>
      <c r="C80" s="139" t="s">
        <v>183</v>
      </c>
      <c r="D80" s="161">
        <f>SUM(D76:D79)</f>
        <v>1816.4141124999992</v>
      </c>
      <c r="E80" s="156"/>
      <c r="F80" s="157"/>
      <c r="G80" s="155"/>
      <c r="H80" s="141"/>
    </row>
    <row r="81" spans="1:8" ht="15.75" thickBot="1">
      <c r="A81" s="59"/>
      <c r="B81" s="162"/>
      <c r="C81" s="163"/>
      <c r="D81" s="163"/>
      <c r="E81" s="163"/>
      <c r="F81" s="163"/>
      <c r="G81" s="163"/>
      <c r="H81" s="164"/>
    </row>
    <row r="82" spans="1:8" ht="15">
      <c r="A82" s="59"/>
      <c r="B82" s="59"/>
      <c r="C82" s="59"/>
      <c r="D82" s="59"/>
      <c r="E82" s="59"/>
      <c r="F82" s="59"/>
      <c r="G82" s="59"/>
    </row>
    <row r="83" spans="1:8" ht="15">
      <c r="A83" s="59"/>
      <c r="B83" s="59"/>
      <c r="C83" s="59"/>
      <c r="D83" s="59"/>
      <c r="E83" s="59"/>
      <c r="F83" s="59"/>
      <c r="G83" s="59"/>
    </row>
    <row r="84" spans="1:8" ht="15">
      <c r="A84" s="59"/>
      <c r="B84" s="59"/>
      <c r="C84" s="59"/>
      <c r="D84" s="59"/>
      <c r="E84" s="59"/>
      <c r="F84" s="59"/>
      <c r="G84" s="59"/>
    </row>
    <row r="85" spans="1:8" ht="15">
      <c r="A85" s="59"/>
      <c r="B85" s="59"/>
      <c r="C85" s="59"/>
      <c r="D85" s="59"/>
      <c r="E85" s="59"/>
      <c r="F85" s="59"/>
      <c r="G85" s="59"/>
    </row>
    <row r="86" spans="1:8" ht="15">
      <c r="A86" s="59"/>
      <c r="B86" s="59"/>
      <c r="C86" s="59"/>
      <c r="D86" s="59"/>
      <c r="E86" s="59"/>
      <c r="F86" s="59"/>
      <c r="G86" s="59"/>
    </row>
  </sheetData>
  <mergeCells count="5">
    <mergeCell ref="C44:G44"/>
    <mergeCell ref="C52:G52"/>
    <mergeCell ref="C1:F1"/>
    <mergeCell ref="C2:E2"/>
    <mergeCell ref="D33:E33"/>
  </mergeCells>
  <phoneticPr fontId="0" type="noConversion"/>
  <printOptions headings="1"/>
  <pageMargins left="0.75" right="0.75" top="1" bottom="1" header="0.5" footer="0.5"/>
  <pageSetup scale="64" orientation="portrait" horizontalDpi="360" verticalDpi="360" r:id="rId1"/>
  <headerFooter alignWithMargins="0"/>
  <rowBreaks count="1" manualBreakCount="1">
    <brk id="43" max="16383" man="1"/>
  </rowBreaks>
</worksheet>
</file>

<file path=xl/worksheets/sheet33.xml><?xml version="1.0" encoding="utf-8"?>
<worksheet xmlns="http://schemas.openxmlformats.org/spreadsheetml/2006/main" xmlns:r="http://schemas.openxmlformats.org/officeDocument/2006/relationships">
  <dimension ref="A1:G26"/>
  <sheetViews>
    <sheetView showGridLines="0" workbookViewId="0"/>
  </sheetViews>
  <sheetFormatPr defaultRowHeight="12.75"/>
  <cols>
    <col min="1" max="1" width="2.28515625" customWidth="1"/>
    <col min="2" max="2" width="6.140625" customWidth="1"/>
    <col min="3" max="3" width="23.28515625" customWidth="1"/>
    <col min="4" max="4" width="14.28515625" bestFit="1" customWidth="1"/>
    <col min="5" max="5" width="11.42578125" bestFit="1" customWidth="1"/>
    <col min="6" max="6" width="7.42578125" bestFit="1" customWidth="1"/>
    <col min="7" max="7" width="6" customWidth="1"/>
  </cols>
  <sheetData>
    <row r="1" spans="1:5">
      <c r="A1" s="116" t="s">
        <v>873</v>
      </c>
    </row>
    <row r="2" spans="1:5">
      <c r="A2" s="116" t="s">
        <v>874</v>
      </c>
    </row>
    <row r="3" spans="1:5">
      <c r="A3" s="116" t="s">
        <v>875</v>
      </c>
    </row>
    <row r="4" spans="1:5">
      <c r="A4" s="116" t="s">
        <v>876</v>
      </c>
    </row>
    <row r="5" spans="1:5">
      <c r="A5" s="116" t="s">
        <v>877</v>
      </c>
    </row>
    <row r="6" spans="1:5">
      <c r="A6" s="116"/>
      <c r="B6" t="s">
        <v>878</v>
      </c>
    </row>
    <row r="7" spans="1:5">
      <c r="A7" s="116"/>
      <c r="B7" t="s">
        <v>879</v>
      </c>
    </row>
    <row r="8" spans="1:5">
      <c r="A8" s="116"/>
      <c r="B8" t="s">
        <v>880</v>
      </c>
    </row>
    <row r="9" spans="1:5">
      <c r="A9" s="116" t="s">
        <v>881</v>
      </c>
    </row>
    <row r="10" spans="1:5">
      <c r="B10" t="s">
        <v>882</v>
      </c>
    </row>
    <row r="11" spans="1:5">
      <c r="B11" t="s">
        <v>883</v>
      </c>
    </row>
    <row r="12" spans="1:5">
      <c r="B12" t="s">
        <v>884</v>
      </c>
    </row>
    <row r="14" spans="1:5" ht="13.5" thickBot="1">
      <c r="A14" t="s">
        <v>885</v>
      </c>
    </row>
    <row r="15" spans="1:5" ht="13.5" thickBot="1">
      <c r="B15" s="765" t="s">
        <v>288</v>
      </c>
      <c r="C15" s="765" t="s">
        <v>289</v>
      </c>
      <c r="D15" s="765" t="s">
        <v>290</v>
      </c>
      <c r="E15" s="765" t="s">
        <v>291</v>
      </c>
    </row>
    <row r="16" spans="1:5" ht="13.5" thickBot="1">
      <c r="B16" s="200" t="s">
        <v>857</v>
      </c>
      <c r="C16" s="200" t="s">
        <v>742</v>
      </c>
      <c r="D16" s="201">
        <v>53265.819199999998</v>
      </c>
      <c r="E16" s="201">
        <v>0</v>
      </c>
    </row>
    <row r="19" spans="1:7" ht="13.5" thickBot="1">
      <c r="A19" t="s">
        <v>886</v>
      </c>
    </row>
    <row r="20" spans="1:7" ht="13.5" thickBot="1">
      <c r="B20" s="765" t="s">
        <v>288</v>
      </c>
      <c r="C20" s="765" t="s">
        <v>289</v>
      </c>
      <c r="D20" s="765" t="s">
        <v>290</v>
      </c>
      <c r="E20" s="765" t="s">
        <v>291</v>
      </c>
      <c r="F20" s="765" t="s">
        <v>887</v>
      </c>
    </row>
    <row r="21" spans="1:7" ht="13.5" thickBot="1">
      <c r="B21" s="200" t="s">
        <v>862</v>
      </c>
      <c r="C21" s="200" t="s">
        <v>863</v>
      </c>
      <c r="D21" s="202">
        <v>0.11</v>
      </c>
      <c r="E21" s="202">
        <v>0.21000000000000002</v>
      </c>
      <c r="F21" s="200" t="s">
        <v>892</v>
      </c>
    </row>
    <row r="24" spans="1:7" ht="13.5" thickBot="1">
      <c r="A24" t="s">
        <v>293</v>
      </c>
    </row>
    <row r="25" spans="1:7" ht="13.5" thickBot="1">
      <c r="B25" s="765" t="s">
        <v>288</v>
      </c>
      <c r="C25" s="765" t="s">
        <v>289</v>
      </c>
      <c r="D25" s="765" t="s">
        <v>888</v>
      </c>
      <c r="E25" s="765" t="s">
        <v>889</v>
      </c>
      <c r="F25" s="765" t="s">
        <v>890</v>
      </c>
      <c r="G25" s="765" t="s">
        <v>891</v>
      </c>
    </row>
    <row r="26" spans="1:7" ht="13.5" thickBot="1">
      <c r="B26" s="200" t="s">
        <v>857</v>
      </c>
      <c r="C26" s="200" t="s">
        <v>742</v>
      </c>
      <c r="D26" s="201">
        <v>0</v>
      </c>
      <c r="E26" s="200" t="s">
        <v>893</v>
      </c>
      <c r="F26" s="200" t="s">
        <v>894</v>
      </c>
      <c r="G26" s="200">
        <v>0</v>
      </c>
    </row>
  </sheetData>
  <phoneticPr fontId="53" type="noConversion"/>
  <pageMargins left="0.7" right="0.7" top="0.75" bottom="0.75" header="0.3" footer="0.3"/>
</worksheet>
</file>

<file path=xl/worksheets/sheet34.xml><?xml version="1.0" encoding="utf-8"?>
<worksheet xmlns="http://schemas.openxmlformats.org/spreadsheetml/2006/main" xmlns:r="http://schemas.openxmlformats.org/officeDocument/2006/relationships">
  <dimension ref="A1:I83"/>
  <sheetViews>
    <sheetView workbookViewId="0"/>
  </sheetViews>
  <sheetFormatPr defaultRowHeight="12.75"/>
  <cols>
    <col min="2" max="2" width="3.140625" customWidth="1"/>
    <col min="3" max="3" width="28" customWidth="1"/>
    <col min="4" max="4" width="19.5703125" customWidth="1"/>
    <col min="5" max="5" width="3.140625" customWidth="1"/>
    <col min="6" max="7" width="18.140625" customWidth="1"/>
    <col min="8" max="8" width="3.140625" customWidth="1"/>
  </cols>
  <sheetData>
    <row r="1" spans="1:9" ht="18">
      <c r="A1" s="59"/>
      <c r="B1" s="59"/>
      <c r="C1" s="8" t="s">
        <v>686</v>
      </c>
      <c r="D1" s="59"/>
      <c r="E1" s="59"/>
      <c r="F1" s="59"/>
      <c r="G1" s="59"/>
      <c r="H1" s="59"/>
      <c r="I1" s="59"/>
    </row>
    <row r="2" spans="1:9" ht="18">
      <c r="A2" s="59"/>
      <c r="B2" s="59"/>
      <c r="C2" s="772" t="s">
        <v>186</v>
      </c>
      <c r="D2" s="772"/>
      <c r="E2" s="772"/>
      <c r="F2" s="772"/>
      <c r="G2" s="59"/>
      <c r="H2" s="59"/>
      <c r="I2" s="59"/>
    </row>
    <row r="3" spans="1:9" ht="15.75" customHeight="1">
      <c r="A3" s="59"/>
      <c r="B3" s="59"/>
      <c r="C3" s="59"/>
      <c r="D3" s="59"/>
      <c r="E3" s="59"/>
      <c r="F3" s="59"/>
      <c r="G3" s="59"/>
      <c r="H3" s="59"/>
      <c r="I3" s="59"/>
    </row>
    <row r="4" spans="1:9" ht="15.75" customHeight="1">
      <c r="A4" s="59"/>
      <c r="B4" s="59"/>
      <c r="C4" s="9" t="s">
        <v>135</v>
      </c>
      <c r="D4" s="59"/>
      <c r="E4" s="59"/>
      <c r="F4" s="59"/>
      <c r="G4" s="59"/>
      <c r="H4" s="59"/>
      <c r="I4" s="59"/>
    </row>
    <row r="5" spans="1:9" ht="15.75" customHeight="1" thickBot="1">
      <c r="A5" s="59"/>
      <c r="B5" s="165"/>
      <c r="C5" s="165"/>
      <c r="D5" s="165"/>
      <c r="E5" s="165"/>
      <c r="F5" s="59"/>
      <c r="G5" s="59"/>
      <c r="H5" s="59"/>
      <c r="I5" s="59"/>
    </row>
    <row r="6" spans="1:9" ht="15.75" customHeight="1">
      <c r="A6" s="59"/>
      <c r="B6" s="117"/>
      <c r="C6" s="104"/>
      <c r="D6" s="104"/>
      <c r="E6" s="64"/>
      <c r="F6" s="59"/>
      <c r="G6" s="59"/>
      <c r="H6" s="59"/>
      <c r="I6" s="59"/>
    </row>
    <row r="7" spans="1:9" ht="15.75" customHeight="1">
      <c r="A7" s="59"/>
      <c r="B7" s="120"/>
      <c r="C7" s="63" t="s">
        <v>187</v>
      </c>
      <c r="D7" s="166">
        <v>4</v>
      </c>
      <c r="E7" s="105"/>
      <c r="F7" s="59"/>
      <c r="G7" s="59"/>
      <c r="H7" s="59"/>
      <c r="I7" s="59"/>
    </row>
    <row r="8" spans="1:9" ht="15.75" customHeight="1">
      <c r="A8" s="59"/>
      <c r="B8" s="120"/>
      <c r="C8" s="63" t="s">
        <v>188</v>
      </c>
      <c r="D8" s="131">
        <v>185000</v>
      </c>
      <c r="E8" s="105"/>
      <c r="F8" s="59"/>
      <c r="G8" s="59"/>
      <c r="H8" s="59"/>
      <c r="I8" s="59"/>
    </row>
    <row r="9" spans="1:9" ht="15.75" customHeight="1">
      <c r="A9" s="59"/>
      <c r="B9" s="120"/>
      <c r="C9" s="63" t="s">
        <v>189</v>
      </c>
      <c r="D9" s="167">
        <v>6.8000000000000005E-4</v>
      </c>
      <c r="E9" s="105"/>
      <c r="F9" s="59"/>
      <c r="G9" s="59"/>
      <c r="H9" s="59"/>
      <c r="I9" s="59"/>
    </row>
    <row r="10" spans="1:9" ht="15.75" customHeight="1">
      <c r="A10" s="59"/>
      <c r="B10" s="120"/>
      <c r="C10" s="63" t="s">
        <v>190</v>
      </c>
      <c r="D10" s="107">
        <v>2E-3</v>
      </c>
      <c r="E10" s="105"/>
      <c r="F10" s="59"/>
      <c r="G10" s="59"/>
      <c r="H10" s="59"/>
      <c r="I10" s="59"/>
    </row>
    <row r="11" spans="1:9" ht="15.75" customHeight="1">
      <c r="A11" s="59"/>
      <c r="B11" s="120"/>
      <c r="C11" s="63" t="s">
        <v>191</v>
      </c>
      <c r="D11" s="168">
        <v>14</v>
      </c>
      <c r="E11" s="105"/>
      <c r="F11" s="59"/>
      <c r="G11" s="59"/>
      <c r="H11" s="59"/>
      <c r="I11" s="59"/>
    </row>
    <row r="12" spans="1:9" ht="15.75" customHeight="1">
      <c r="A12" s="59"/>
      <c r="B12" s="120"/>
      <c r="C12" s="63" t="s">
        <v>192</v>
      </c>
      <c r="D12" s="167">
        <v>7.5000000000000002E-4</v>
      </c>
      <c r="E12" s="105"/>
      <c r="F12" s="59"/>
      <c r="G12" s="59"/>
      <c r="H12" s="59"/>
      <c r="I12" s="59"/>
    </row>
    <row r="13" spans="1:9" ht="15.75" customHeight="1">
      <c r="A13" s="59"/>
      <c r="B13" s="120"/>
      <c r="C13" s="63" t="s">
        <v>193</v>
      </c>
      <c r="D13" s="131">
        <v>200</v>
      </c>
      <c r="E13" s="105"/>
      <c r="F13" s="59"/>
      <c r="G13" s="59"/>
      <c r="H13" s="59"/>
      <c r="I13" s="59"/>
    </row>
    <row r="14" spans="1:9" ht="15.75" customHeight="1" thickBot="1">
      <c r="A14" s="59"/>
      <c r="B14" s="132"/>
      <c r="C14" s="73"/>
      <c r="D14" s="73"/>
      <c r="E14" s="74"/>
      <c r="F14" s="59"/>
      <c r="G14" s="59"/>
      <c r="H14" s="59"/>
      <c r="I14" s="59"/>
    </row>
    <row r="15" spans="1:9" ht="15.75" customHeight="1">
      <c r="A15" s="59"/>
      <c r="B15" s="59"/>
      <c r="C15" s="59"/>
      <c r="D15" s="59"/>
      <c r="E15" s="59"/>
      <c r="F15" s="59"/>
      <c r="G15" s="59"/>
      <c r="H15" s="59"/>
      <c r="I15" s="59"/>
    </row>
    <row r="16" spans="1:9" ht="15.75" customHeight="1">
      <c r="A16" s="59"/>
      <c r="B16" s="59"/>
      <c r="C16" s="9" t="s">
        <v>194</v>
      </c>
      <c r="D16" s="59"/>
      <c r="E16" s="59"/>
      <c r="F16" s="59"/>
      <c r="G16" s="59"/>
      <c r="H16" s="59"/>
      <c r="I16" s="59"/>
    </row>
    <row r="17" spans="1:9" ht="15.75" customHeight="1" thickBot="1">
      <c r="A17" s="59"/>
      <c r="B17" s="59"/>
      <c r="C17" s="59"/>
      <c r="D17" s="59"/>
      <c r="E17" s="59"/>
      <c r="F17" s="59"/>
      <c r="G17" s="59"/>
      <c r="H17" s="59"/>
      <c r="I17" s="59"/>
    </row>
    <row r="18" spans="1:9" ht="15.75" customHeight="1">
      <c r="A18" s="59"/>
      <c r="B18" s="169"/>
      <c r="C18" s="109"/>
      <c r="D18" s="109"/>
      <c r="E18" s="79"/>
      <c r="F18" s="59"/>
      <c r="G18" s="170"/>
      <c r="H18" s="59"/>
      <c r="I18" s="59"/>
    </row>
    <row r="19" spans="1:9" ht="15.75" customHeight="1">
      <c r="A19" s="59"/>
      <c r="B19" s="175" t="s">
        <v>196</v>
      </c>
      <c r="C19" s="81" t="s">
        <v>195</v>
      </c>
      <c r="D19" s="666">
        <f>FV(D9,D11,-(1-D10)*D7*D8)</f>
        <v>10385104.15332352</v>
      </c>
      <c r="E19" s="82"/>
      <c r="F19" s="59"/>
      <c r="G19" s="59"/>
      <c r="H19" s="59"/>
      <c r="I19" s="59"/>
    </row>
    <row r="20" spans="1:9" ht="15.75" customHeight="1">
      <c r="A20" s="59"/>
      <c r="B20" s="171"/>
      <c r="C20" s="81"/>
      <c r="D20" s="173"/>
      <c r="E20" s="82"/>
      <c r="F20" s="59"/>
      <c r="G20" s="59"/>
      <c r="H20" s="59"/>
      <c r="I20" s="59"/>
    </row>
    <row r="21" spans="1:9" ht="15.75" customHeight="1">
      <c r="A21" s="59"/>
      <c r="B21" s="175" t="s">
        <v>197</v>
      </c>
      <c r="C21" s="81" t="s">
        <v>195</v>
      </c>
      <c r="D21" s="172">
        <f>FV(D12,D11,-D7*(D8-D13))/(1+D12)</f>
        <v>10391608.357562218</v>
      </c>
      <c r="E21" s="82"/>
      <c r="F21" s="59"/>
      <c r="G21" s="59"/>
      <c r="H21" s="59"/>
      <c r="I21" s="59"/>
    </row>
    <row r="22" spans="1:9" ht="15.75" customHeight="1">
      <c r="A22" s="59"/>
      <c r="B22" s="171"/>
      <c r="C22" s="155" t="str">
        <f>IF(D21&gt;D19,"The company should go ahead with the plan.","The company should not go ahead with the plan.")</f>
        <v>The company should go ahead with the plan.</v>
      </c>
      <c r="D22" s="173"/>
      <c r="E22" s="82"/>
      <c r="F22" s="59"/>
      <c r="G22" s="59"/>
      <c r="H22" s="59"/>
      <c r="I22" s="59"/>
    </row>
    <row r="23" spans="1:9" ht="15.75" customHeight="1">
      <c r="A23" s="59"/>
      <c r="B23" s="171"/>
      <c r="C23" s="81"/>
      <c r="D23" s="173"/>
      <c r="E23" s="82"/>
      <c r="F23" s="59"/>
      <c r="G23" s="59"/>
      <c r="H23" s="59"/>
      <c r="I23" s="59"/>
    </row>
    <row r="24" spans="1:9" ht="15.75" customHeight="1">
      <c r="A24" s="59"/>
      <c r="B24" s="175" t="s">
        <v>198</v>
      </c>
      <c r="C24" s="81" t="s">
        <v>193</v>
      </c>
      <c r="D24" s="172">
        <f>-((((D19*(1+D12))/(FV(D12,D11,-1,0,0)))/D7)-D8)</f>
        <v>315.66803731946857</v>
      </c>
      <c r="E24" s="82"/>
      <c r="F24" s="59"/>
      <c r="G24" s="59"/>
      <c r="H24" s="59"/>
      <c r="I24" s="59"/>
    </row>
    <row r="25" spans="1:9" ht="15.75" customHeight="1" thickBot="1">
      <c r="A25" s="59"/>
      <c r="B25" s="89"/>
      <c r="C25" s="90"/>
      <c r="D25" s="174"/>
      <c r="E25" s="91"/>
      <c r="F25" s="59"/>
      <c r="G25" s="59"/>
      <c r="H25" s="59"/>
      <c r="I25" s="59"/>
    </row>
    <row r="26" spans="1:9" ht="15.75" customHeight="1">
      <c r="A26" s="59"/>
      <c r="B26" s="59"/>
      <c r="C26" s="59"/>
      <c r="D26" s="59"/>
      <c r="E26" s="59"/>
      <c r="F26" s="59"/>
      <c r="G26" s="59"/>
      <c r="H26" s="59"/>
      <c r="I26" s="59"/>
    </row>
    <row r="27" spans="1:9" ht="15.75" customHeight="1">
      <c r="A27" s="59"/>
      <c r="B27" s="59"/>
      <c r="C27" s="59"/>
      <c r="D27" s="6"/>
      <c r="E27" s="59"/>
      <c r="F27" s="59"/>
      <c r="G27" s="59"/>
      <c r="H27" s="59"/>
      <c r="I27" s="59"/>
    </row>
    <row r="28" spans="1:9" ht="15.75" customHeight="1">
      <c r="A28" s="59"/>
      <c r="B28" s="59"/>
      <c r="C28" s="59"/>
      <c r="D28" s="59"/>
      <c r="E28" s="59"/>
      <c r="F28" s="59"/>
      <c r="G28" s="59"/>
      <c r="H28" s="59"/>
      <c r="I28" s="59"/>
    </row>
    <row r="29" spans="1:9" ht="15.75" customHeight="1">
      <c r="A29" s="59"/>
      <c r="B29" s="59"/>
      <c r="C29" s="59"/>
      <c r="D29" s="667"/>
      <c r="E29" s="59"/>
      <c r="F29" s="59"/>
      <c r="G29" s="59"/>
      <c r="H29" s="59"/>
      <c r="I29" s="59"/>
    </row>
    <row r="30" spans="1:9" ht="15.75" customHeight="1">
      <c r="A30" s="59"/>
      <c r="B30" s="59"/>
      <c r="C30" s="59"/>
      <c r="D30" s="668"/>
      <c r="E30" s="59"/>
      <c r="F30" s="59"/>
      <c r="G30" s="59"/>
      <c r="H30" s="59"/>
      <c r="I30" s="59"/>
    </row>
    <row r="31" spans="1:9" ht="15.75" customHeight="1">
      <c r="A31" s="59"/>
      <c r="B31" s="59"/>
      <c r="C31" s="59"/>
      <c r="D31" s="59"/>
      <c r="E31" s="59"/>
      <c r="F31" s="59"/>
      <c r="G31" s="59"/>
      <c r="H31" s="59"/>
      <c r="I31" s="59"/>
    </row>
    <row r="32" spans="1:9" ht="15.75" customHeight="1">
      <c r="A32" s="59"/>
      <c r="B32" s="59"/>
      <c r="C32" s="59"/>
      <c r="D32" s="59"/>
      <c r="E32" s="59"/>
      <c r="F32" s="59"/>
      <c r="G32" s="59"/>
      <c r="H32" s="59"/>
      <c r="I32" s="59"/>
    </row>
    <row r="33" spans="1:9" ht="15.75" customHeight="1">
      <c r="A33" s="59"/>
      <c r="B33" s="59"/>
      <c r="C33" s="59"/>
      <c r="D33" s="59"/>
      <c r="E33" s="59"/>
      <c r="F33" s="59"/>
      <c r="G33" s="59"/>
      <c r="H33" s="59"/>
      <c r="I33" s="59"/>
    </row>
    <row r="34" spans="1:9" ht="15.75" customHeight="1">
      <c r="A34" s="59"/>
      <c r="B34" s="59"/>
      <c r="C34" s="59"/>
      <c r="D34" s="59"/>
      <c r="E34" s="59"/>
      <c r="F34" s="59"/>
      <c r="G34" s="59"/>
      <c r="H34" s="59"/>
      <c r="I34" s="59"/>
    </row>
    <row r="35" spans="1:9" ht="15.75" customHeight="1">
      <c r="A35" s="59"/>
      <c r="B35" s="59"/>
      <c r="C35" s="59"/>
      <c r="D35" s="59"/>
      <c r="E35" s="59"/>
      <c r="F35" s="59"/>
      <c r="G35" s="59"/>
      <c r="H35" s="59"/>
      <c r="I35" s="59"/>
    </row>
    <row r="36" spans="1:9" ht="15.75" customHeight="1">
      <c r="A36" s="59"/>
      <c r="B36" s="59"/>
      <c r="C36" s="59"/>
      <c r="D36" s="59"/>
      <c r="E36" s="59"/>
      <c r="F36" s="59"/>
      <c r="G36" s="59"/>
      <c r="H36" s="59"/>
      <c r="I36" s="59"/>
    </row>
    <row r="37" spans="1:9" ht="15.75" customHeight="1">
      <c r="A37" s="59"/>
      <c r="B37" s="59"/>
      <c r="C37" s="59"/>
      <c r="D37" s="59"/>
      <c r="E37" s="59"/>
      <c r="F37" s="59"/>
      <c r="G37" s="59"/>
      <c r="H37" s="59"/>
      <c r="I37" s="59"/>
    </row>
    <row r="38" spans="1:9" ht="15.75" customHeight="1">
      <c r="A38" s="59"/>
      <c r="B38" s="59"/>
      <c r="C38" s="59"/>
      <c r="D38" s="59"/>
      <c r="E38" s="59"/>
      <c r="F38" s="59"/>
      <c r="G38" s="59"/>
      <c r="H38" s="59"/>
      <c r="I38" s="59"/>
    </row>
    <row r="39" spans="1:9" ht="15.75" customHeight="1">
      <c r="A39" s="59"/>
      <c r="B39" s="59"/>
      <c r="C39" s="59"/>
      <c r="D39" s="59"/>
      <c r="E39" s="59"/>
      <c r="F39" s="59"/>
      <c r="G39" s="59"/>
      <c r="H39" s="59"/>
      <c r="I39" s="59"/>
    </row>
    <row r="40" spans="1:9" ht="15.75" customHeight="1">
      <c r="A40" s="59"/>
      <c r="B40" s="59"/>
      <c r="C40" s="59"/>
      <c r="D40" s="59"/>
      <c r="E40" s="59"/>
      <c r="F40" s="59"/>
      <c r="G40" s="59"/>
      <c r="H40" s="59"/>
      <c r="I40" s="59"/>
    </row>
    <row r="41" spans="1:9" ht="15.75" customHeight="1">
      <c r="A41" s="59"/>
      <c r="B41" s="59"/>
      <c r="C41" s="59"/>
      <c r="D41" s="59"/>
      <c r="E41" s="59"/>
      <c r="F41" s="59"/>
      <c r="G41" s="59"/>
      <c r="H41" s="59"/>
      <c r="I41" s="59"/>
    </row>
    <row r="42" spans="1:9" ht="15.75" customHeight="1">
      <c r="A42" s="59"/>
      <c r="B42" s="59"/>
      <c r="C42" s="59"/>
      <c r="D42" s="59"/>
      <c r="E42" s="59"/>
      <c r="F42" s="59"/>
      <c r="G42" s="59"/>
      <c r="H42" s="59"/>
      <c r="I42" s="59"/>
    </row>
    <row r="43" spans="1:9" ht="15.75" customHeight="1">
      <c r="A43" s="59"/>
      <c r="B43" s="59"/>
      <c r="C43" s="59"/>
      <c r="D43" s="59"/>
      <c r="E43" s="59"/>
      <c r="F43" s="59"/>
      <c r="G43" s="59"/>
      <c r="H43" s="59"/>
      <c r="I43" s="59"/>
    </row>
    <row r="44" spans="1:9" ht="15.75" customHeight="1">
      <c r="A44" s="59"/>
      <c r="B44" s="59"/>
      <c r="C44" s="59"/>
      <c r="D44" s="59"/>
      <c r="E44" s="59"/>
      <c r="F44" s="59"/>
      <c r="G44" s="59"/>
      <c r="H44" s="59"/>
      <c r="I44" s="59"/>
    </row>
    <row r="45" spans="1:9" ht="15.75" customHeight="1">
      <c r="A45" s="59"/>
      <c r="B45" s="59"/>
      <c r="C45" s="59"/>
      <c r="D45" s="59"/>
      <c r="E45" s="59"/>
      <c r="F45" s="59"/>
      <c r="G45" s="59"/>
      <c r="H45" s="59"/>
      <c r="I45" s="59"/>
    </row>
    <row r="46" spans="1:9" ht="15.75" customHeight="1">
      <c r="A46" s="59"/>
      <c r="B46" s="59"/>
      <c r="C46" s="59"/>
      <c r="D46" s="59"/>
      <c r="E46" s="59"/>
      <c r="F46" s="59"/>
      <c r="G46" s="59"/>
      <c r="H46" s="59"/>
      <c r="I46" s="59"/>
    </row>
    <row r="47" spans="1:9" ht="15.75" customHeight="1">
      <c r="A47" s="59"/>
      <c r="B47" s="59"/>
      <c r="C47" s="59"/>
      <c r="D47" s="59"/>
      <c r="E47" s="59"/>
      <c r="F47" s="59"/>
      <c r="G47" s="59"/>
      <c r="H47" s="59"/>
      <c r="I47" s="59"/>
    </row>
    <row r="48" spans="1:9" ht="15.75" customHeight="1">
      <c r="A48" s="59"/>
      <c r="B48" s="59"/>
      <c r="C48" s="59"/>
      <c r="D48" s="59"/>
      <c r="E48" s="59"/>
      <c r="F48" s="59"/>
      <c r="G48" s="59"/>
      <c r="H48" s="59"/>
      <c r="I48" s="59"/>
    </row>
    <row r="49" spans="1:9" ht="15.75" customHeight="1">
      <c r="A49" s="59"/>
      <c r="B49" s="59"/>
      <c r="C49" s="59"/>
      <c r="D49" s="59"/>
      <c r="E49" s="59"/>
      <c r="F49" s="59"/>
      <c r="G49" s="59"/>
      <c r="H49" s="59"/>
      <c r="I49" s="59"/>
    </row>
    <row r="50" spans="1:9" ht="15.75" customHeight="1">
      <c r="A50" s="59"/>
      <c r="B50" s="59"/>
      <c r="C50" s="59"/>
      <c r="D50" s="59"/>
      <c r="E50" s="59"/>
      <c r="F50" s="59"/>
      <c r="G50" s="59"/>
      <c r="H50" s="59"/>
      <c r="I50" s="59"/>
    </row>
    <row r="51" spans="1:9" ht="15.75" customHeight="1">
      <c r="A51" s="59"/>
      <c r="B51" s="59"/>
      <c r="C51" s="59"/>
      <c r="D51" s="59"/>
      <c r="E51" s="59"/>
      <c r="F51" s="59"/>
      <c r="G51" s="59"/>
      <c r="H51" s="59"/>
      <c r="I51" s="59"/>
    </row>
    <row r="52" spans="1:9" ht="15.75" customHeight="1">
      <c r="A52" s="59"/>
      <c r="B52" s="59"/>
      <c r="C52" s="59"/>
      <c r="D52" s="59"/>
      <c r="E52" s="59"/>
      <c r="F52" s="59"/>
      <c r="G52" s="59"/>
      <c r="H52" s="59"/>
      <c r="I52" s="59"/>
    </row>
    <row r="53" spans="1:9" ht="15.75" customHeight="1">
      <c r="A53" s="59"/>
      <c r="B53" s="59"/>
      <c r="C53" s="59"/>
      <c r="D53" s="59"/>
      <c r="E53" s="59"/>
      <c r="F53" s="59"/>
      <c r="G53" s="59"/>
      <c r="H53" s="59"/>
      <c r="I53" s="59"/>
    </row>
    <row r="54" spans="1:9" ht="15.75" customHeight="1">
      <c r="A54" s="59"/>
      <c r="B54" s="59"/>
      <c r="C54" s="59"/>
      <c r="D54" s="59"/>
      <c r="E54" s="59"/>
      <c r="F54" s="59"/>
      <c r="G54" s="59"/>
      <c r="H54" s="59"/>
      <c r="I54" s="59"/>
    </row>
    <row r="55" spans="1:9" ht="15.75" customHeight="1">
      <c r="A55" s="59"/>
      <c r="B55" s="59"/>
      <c r="C55" s="59"/>
      <c r="D55" s="59"/>
      <c r="E55" s="59"/>
      <c r="F55" s="59"/>
      <c r="G55" s="59"/>
      <c r="H55" s="59"/>
      <c r="I55" s="59"/>
    </row>
    <row r="56" spans="1:9" ht="15.75" customHeight="1">
      <c r="A56" s="59"/>
      <c r="B56" s="59"/>
      <c r="C56" s="59"/>
      <c r="D56" s="59"/>
      <c r="E56" s="59"/>
      <c r="F56" s="59"/>
      <c r="G56" s="59"/>
      <c r="H56" s="59"/>
      <c r="I56" s="59"/>
    </row>
    <row r="57" spans="1:9" ht="15.75" customHeight="1">
      <c r="A57" s="59"/>
      <c r="B57" s="59"/>
      <c r="C57" s="59"/>
      <c r="D57" s="59"/>
      <c r="E57" s="59"/>
      <c r="F57" s="59"/>
      <c r="G57" s="59"/>
      <c r="H57" s="59"/>
      <c r="I57" s="59"/>
    </row>
    <row r="58" spans="1:9" ht="15.75" customHeight="1">
      <c r="A58" s="59"/>
      <c r="B58" s="59"/>
      <c r="C58" s="59"/>
      <c r="D58" s="59"/>
      <c r="E58" s="59"/>
      <c r="F58" s="59"/>
      <c r="G58" s="59"/>
      <c r="H58" s="59"/>
      <c r="I58" s="59"/>
    </row>
    <row r="59" spans="1:9" ht="15.75" customHeight="1">
      <c r="A59" s="59"/>
      <c r="B59" s="59"/>
      <c r="C59" s="59"/>
      <c r="D59" s="59"/>
      <c r="E59" s="59"/>
      <c r="F59" s="59"/>
      <c r="G59" s="59"/>
      <c r="H59" s="59"/>
      <c r="I59" s="59"/>
    </row>
    <row r="60" spans="1:9" ht="15.75" customHeight="1">
      <c r="A60" s="59"/>
      <c r="B60" s="59"/>
      <c r="C60" s="59"/>
      <c r="D60" s="59"/>
      <c r="E60" s="59"/>
      <c r="F60" s="59"/>
      <c r="G60" s="59"/>
      <c r="H60" s="59"/>
      <c r="I60" s="59"/>
    </row>
    <row r="61" spans="1:9" ht="15.75" customHeight="1">
      <c r="A61" s="59"/>
      <c r="B61" s="59"/>
      <c r="C61" s="59"/>
      <c r="D61" s="59"/>
      <c r="E61" s="59"/>
      <c r="F61" s="59"/>
      <c r="G61" s="59"/>
      <c r="H61" s="59"/>
      <c r="I61" s="59"/>
    </row>
    <row r="62" spans="1:9" ht="15.75" customHeight="1">
      <c r="A62" s="59"/>
      <c r="B62" s="59"/>
      <c r="C62" s="59"/>
      <c r="D62" s="59"/>
      <c r="E62" s="59"/>
      <c r="F62" s="59"/>
      <c r="G62" s="59"/>
      <c r="H62" s="59"/>
      <c r="I62" s="59"/>
    </row>
    <row r="63" spans="1:9" ht="15.75" customHeight="1">
      <c r="A63" s="59"/>
      <c r="B63" s="59"/>
      <c r="C63" s="59"/>
      <c r="D63" s="59"/>
      <c r="E63" s="59"/>
      <c r="F63" s="59"/>
      <c r="G63" s="59"/>
      <c r="H63" s="59"/>
      <c r="I63" s="59"/>
    </row>
    <row r="64" spans="1:9" ht="15.75" customHeight="1">
      <c r="A64" s="59"/>
      <c r="B64" s="59"/>
      <c r="C64" s="59"/>
      <c r="D64" s="59"/>
      <c r="E64" s="59"/>
      <c r="F64" s="59"/>
      <c r="G64" s="59"/>
      <c r="H64" s="59"/>
      <c r="I64" s="59"/>
    </row>
    <row r="65" spans="1:9" ht="15.75" customHeight="1">
      <c r="A65" s="59"/>
      <c r="B65" s="59"/>
      <c r="C65" s="59"/>
      <c r="D65" s="59"/>
      <c r="E65" s="59"/>
      <c r="F65" s="59"/>
      <c r="G65" s="59"/>
      <c r="H65" s="59"/>
      <c r="I65" s="59"/>
    </row>
    <row r="66" spans="1:9" ht="15.75" customHeight="1">
      <c r="A66" s="59"/>
      <c r="B66" s="59"/>
      <c r="C66" s="59"/>
      <c r="D66" s="59"/>
      <c r="E66" s="59"/>
      <c r="F66" s="59"/>
      <c r="G66" s="59"/>
      <c r="H66" s="59"/>
      <c r="I66" s="59"/>
    </row>
    <row r="67" spans="1:9" ht="15.75" customHeight="1">
      <c r="A67" s="59"/>
      <c r="B67" s="59"/>
      <c r="C67" s="59"/>
      <c r="D67" s="59"/>
      <c r="E67" s="59"/>
      <c r="F67" s="59"/>
      <c r="G67" s="59"/>
      <c r="H67" s="59"/>
      <c r="I67" s="59"/>
    </row>
    <row r="68" spans="1:9" ht="15.75" customHeight="1">
      <c r="A68" s="59"/>
      <c r="B68" s="59"/>
      <c r="C68" s="59"/>
      <c r="D68" s="59"/>
      <c r="E68" s="59"/>
      <c r="F68" s="59"/>
      <c r="G68" s="59"/>
      <c r="H68" s="59"/>
      <c r="I68" s="59"/>
    </row>
    <row r="69" spans="1:9" ht="15">
      <c r="A69" s="59"/>
      <c r="B69" s="59"/>
      <c r="C69" s="59"/>
      <c r="D69" s="59"/>
      <c r="E69" s="59"/>
      <c r="F69" s="59"/>
      <c r="G69" s="59"/>
      <c r="H69" s="59"/>
      <c r="I69" s="59"/>
    </row>
    <row r="70" spans="1:9" ht="15">
      <c r="A70" s="59"/>
      <c r="B70" s="59"/>
      <c r="C70" s="59"/>
      <c r="D70" s="59"/>
      <c r="E70" s="59"/>
      <c r="F70" s="59"/>
      <c r="G70" s="59"/>
      <c r="H70" s="59"/>
      <c r="I70" s="59"/>
    </row>
    <row r="71" spans="1:9" ht="15">
      <c r="A71" s="59"/>
      <c r="B71" s="59"/>
      <c r="C71" s="59"/>
      <c r="D71" s="59"/>
      <c r="E71" s="59"/>
      <c r="F71" s="59"/>
      <c r="G71" s="59"/>
      <c r="H71" s="59"/>
      <c r="I71" s="59"/>
    </row>
    <row r="72" spans="1:9" ht="15">
      <c r="A72" s="59"/>
      <c r="B72" s="59"/>
      <c r="C72" s="59"/>
      <c r="D72" s="59"/>
      <c r="E72" s="59"/>
      <c r="F72" s="59"/>
      <c r="G72" s="59"/>
      <c r="H72" s="59"/>
      <c r="I72" s="59"/>
    </row>
    <row r="73" spans="1:9" ht="15">
      <c r="A73" s="59"/>
      <c r="B73" s="59"/>
      <c r="C73" s="59"/>
      <c r="D73" s="59"/>
      <c r="E73" s="59"/>
      <c r="F73" s="59"/>
      <c r="G73" s="59"/>
      <c r="H73" s="59"/>
      <c r="I73" s="59"/>
    </row>
    <row r="74" spans="1:9" ht="15">
      <c r="A74" s="59"/>
      <c r="B74" s="59"/>
      <c r="C74" s="59"/>
      <c r="D74" s="59"/>
      <c r="E74" s="59"/>
      <c r="F74" s="59"/>
      <c r="G74" s="59"/>
      <c r="H74" s="59"/>
      <c r="I74" s="59"/>
    </row>
    <row r="75" spans="1:9" ht="15">
      <c r="A75" s="59"/>
      <c r="B75" s="59"/>
      <c r="C75" s="59"/>
      <c r="D75" s="59"/>
      <c r="E75" s="59"/>
      <c r="F75" s="59"/>
      <c r="G75" s="59"/>
      <c r="H75" s="59"/>
      <c r="I75" s="59"/>
    </row>
    <row r="76" spans="1:9" ht="15">
      <c r="A76" s="59"/>
      <c r="B76" s="59"/>
      <c r="C76" s="59"/>
      <c r="D76" s="59"/>
      <c r="E76" s="59"/>
      <c r="F76" s="59"/>
      <c r="G76" s="59"/>
      <c r="H76" s="59"/>
      <c r="I76" s="59"/>
    </row>
    <row r="77" spans="1:9" ht="15">
      <c r="A77" s="59"/>
      <c r="B77" s="59"/>
      <c r="C77" s="59"/>
      <c r="D77" s="59"/>
      <c r="E77" s="59"/>
      <c r="F77" s="59"/>
      <c r="G77" s="59"/>
      <c r="H77" s="59"/>
      <c r="I77" s="59"/>
    </row>
    <row r="78" spans="1:9" ht="15">
      <c r="A78" s="59"/>
      <c r="B78" s="59"/>
      <c r="C78" s="59"/>
      <c r="D78" s="59"/>
      <c r="E78" s="59"/>
      <c r="F78" s="59"/>
      <c r="G78" s="59"/>
      <c r="H78" s="59"/>
      <c r="I78" s="59"/>
    </row>
    <row r="79" spans="1:9" ht="15">
      <c r="A79" s="59"/>
      <c r="B79" s="59"/>
      <c r="C79" s="59"/>
      <c r="D79" s="59"/>
      <c r="E79" s="59"/>
      <c r="F79" s="59"/>
      <c r="G79" s="59"/>
      <c r="H79" s="59"/>
      <c r="I79" s="59"/>
    </row>
    <row r="80" spans="1:9" ht="15">
      <c r="A80" s="59"/>
      <c r="B80" s="59"/>
      <c r="C80" s="59"/>
      <c r="D80" s="59"/>
      <c r="E80" s="59"/>
      <c r="F80" s="59"/>
      <c r="G80" s="59"/>
      <c r="H80" s="59"/>
      <c r="I80" s="59"/>
    </row>
    <row r="81" spans="1:9" ht="15">
      <c r="A81" s="59"/>
      <c r="B81" s="59"/>
      <c r="C81" s="59"/>
      <c r="D81" s="59"/>
      <c r="E81" s="59"/>
      <c r="F81" s="59"/>
      <c r="G81" s="59"/>
      <c r="H81" s="59"/>
      <c r="I81" s="59"/>
    </row>
    <row r="82" spans="1:9" ht="15">
      <c r="A82" s="59"/>
      <c r="B82" s="59"/>
      <c r="C82" s="59"/>
      <c r="D82" s="59"/>
      <c r="E82" s="59"/>
      <c r="F82" s="59"/>
      <c r="G82" s="59"/>
      <c r="H82" s="59"/>
      <c r="I82" s="59"/>
    </row>
    <row r="83" spans="1:9" ht="15">
      <c r="A83" s="59"/>
      <c r="B83" s="59"/>
      <c r="C83" s="59"/>
      <c r="D83" s="59"/>
      <c r="E83" s="59"/>
      <c r="F83" s="59"/>
      <c r="G83" s="59"/>
      <c r="H83" s="59"/>
      <c r="I83" s="59"/>
    </row>
  </sheetData>
  <mergeCells count="1">
    <mergeCell ref="C2:F2"/>
  </mergeCells>
  <phoneticPr fontId="2" type="noConversion"/>
  <pageMargins left="0.75" right="0.75" top="1" bottom="1" header="0.5" footer="0.5"/>
  <pageSetup orientation="portrait" horizontalDpi="360" verticalDpi="360" r:id="rId1"/>
  <headerFooter alignWithMargins="0"/>
  <ignoredErrors>
    <ignoredError sqref="B19 B21 B24" numberStoredAsText="1"/>
  </ignoredErrors>
</worksheet>
</file>

<file path=xl/worksheets/sheet35.xml><?xml version="1.0" encoding="utf-8"?>
<worksheet xmlns="http://schemas.openxmlformats.org/spreadsheetml/2006/main" xmlns:r="http://schemas.openxmlformats.org/officeDocument/2006/relationships">
  <dimension ref="B1:K61"/>
  <sheetViews>
    <sheetView workbookViewId="0"/>
  </sheetViews>
  <sheetFormatPr defaultRowHeight="15"/>
  <cols>
    <col min="2" max="2" width="3.140625" style="59" customWidth="1"/>
    <col min="3" max="3" width="29" style="59" customWidth="1"/>
    <col min="4" max="4" width="18.85546875" style="59" bestFit="1" customWidth="1"/>
    <col min="5" max="5" width="14.85546875" style="59" customWidth="1"/>
    <col min="6" max="6" width="23.42578125" style="59" customWidth="1"/>
    <col min="7" max="7" width="22.28515625" style="59" bestFit="1" customWidth="1"/>
    <col min="8" max="8" width="3.140625" style="59" customWidth="1"/>
    <col min="9" max="10" width="9.140625" style="59"/>
    <col min="11" max="11" width="9.140625" style="6"/>
  </cols>
  <sheetData>
    <row r="1" spans="2:8" ht="18">
      <c r="C1" s="772" t="s">
        <v>687</v>
      </c>
      <c r="D1" s="772"/>
      <c r="E1" s="772"/>
    </row>
    <row r="2" spans="2:8" ht="18">
      <c r="C2" s="772" t="s">
        <v>261</v>
      </c>
      <c r="D2" s="772"/>
      <c r="E2" s="772"/>
      <c r="F2" s="772"/>
    </row>
    <row r="3" spans="2:8" ht="18">
      <c r="C3" s="7"/>
      <c r="D3" s="7"/>
      <c r="E3" s="7"/>
      <c r="F3" s="7"/>
    </row>
    <row r="4" spans="2:8" ht="18">
      <c r="C4" s="9" t="s">
        <v>135</v>
      </c>
      <c r="D4" s="7"/>
      <c r="E4" s="7"/>
      <c r="F4" s="7"/>
    </row>
    <row r="5" spans="2:8" ht="18.75" thickBot="1">
      <c r="C5" s="7"/>
      <c r="D5" s="7"/>
      <c r="E5" s="7"/>
      <c r="F5" s="7"/>
    </row>
    <row r="6" spans="2:8" ht="15.75" customHeight="1">
      <c r="B6" s="117"/>
      <c r="C6" s="104"/>
      <c r="D6" s="104"/>
      <c r="E6" s="104"/>
      <c r="F6" s="104"/>
      <c r="G6" s="104"/>
      <c r="H6" s="64"/>
    </row>
    <row r="7" spans="2:8" ht="15.75" customHeight="1">
      <c r="B7" s="120"/>
      <c r="C7" s="188"/>
      <c r="D7" s="189" t="s">
        <v>35</v>
      </c>
      <c r="E7" s="189" t="s">
        <v>253</v>
      </c>
      <c r="F7" s="189" t="s">
        <v>254</v>
      </c>
      <c r="G7" s="189" t="s">
        <v>255</v>
      </c>
      <c r="H7" s="105"/>
    </row>
    <row r="8" spans="2:8" ht="15.75" customHeight="1">
      <c r="B8" s="120"/>
      <c r="C8" s="188" t="s">
        <v>256</v>
      </c>
      <c r="D8" s="190">
        <v>116000000</v>
      </c>
      <c r="E8" s="191">
        <v>2.1000000000000001E-2</v>
      </c>
      <c r="F8" s="191">
        <v>1.6E-2</v>
      </c>
      <c r="G8" s="192">
        <v>38</v>
      </c>
      <c r="H8" s="105"/>
    </row>
    <row r="9" spans="2:8">
      <c r="B9" s="120"/>
      <c r="C9" s="188" t="s">
        <v>257</v>
      </c>
      <c r="D9" s="190">
        <v>130000000</v>
      </c>
      <c r="E9" s="191">
        <v>2.5999999999999999E-2</v>
      </c>
      <c r="F9" s="191">
        <v>2.4E-2</v>
      </c>
      <c r="G9" s="192">
        <v>41</v>
      </c>
      <c r="H9" s="105"/>
    </row>
    <row r="10" spans="2:8">
      <c r="B10" s="120"/>
      <c r="C10" s="188" t="s">
        <v>258</v>
      </c>
      <c r="D10" s="190">
        <v>129000000</v>
      </c>
      <c r="E10" s="191">
        <v>2.1999999999999999E-2</v>
      </c>
      <c r="F10" s="191">
        <v>1.9E-2</v>
      </c>
      <c r="G10" s="192">
        <v>51</v>
      </c>
      <c r="H10" s="105"/>
    </row>
    <row r="11" spans="2:8">
      <c r="B11" s="120"/>
      <c r="C11" s="188" t="s">
        <v>259</v>
      </c>
      <c r="D11" s="190">
        <v>132000000</v>
      </c>
      <c r="E11" s="191">
        <v>2.5000000000000001E-2</v>
      </c>
      <c r="F11" s="191">
        <v>2.1000000000000001E-2</v>
      </c>
      <c r="G11" s="192">
        <v>49</v>
      </c>
      <c r="H11" s="105"/>
    </row>
    <row r="12" spans="2:8">
      <c r="B12" s="120"/>
      <c r="C12" s="63"/>
      <c r="D12" s="63"/>
      <c r="E12" s="63"/>
      <c r="F12" s="63"/>
      <c r="G12" s="63"/>
      <c r="H12" s="105"/>
    </row>
    <row r="13" spans="2:8">
      <c r="B13" s="120"/>
      <c r="C13" s="63" t="s">
        <v>260</v>
      </c>
      <c r="D13" s="70">
        <v>0.45</v>
      </c>
      <c r="E13" s="63"/>
      <c r="F13" s="63"/>
      <c r="G13" s="63"/>
      <c r="H13" s="105"/>
    </row>
    <row r="14" spans="2:8">
      <c r="B14" s="120"/>
      <c r="C14" s="63" t="s">
        <v>262</v>
      </c>
      <c r="D14" s="107">
        <v>0.06</v>
      </c>
      <c r="E14" s="63"/>
      <c r="F14" s="63"/>
      <c r="G14" s="63"/>
      <c r="H14" s="105"/>
    </row>
    <row r="15" spans="2:8" ht="15.75" thickBot="1">
      <c r="B15" s="132"/>
      <c r="C15" s="73"/>
      <c r="D15" s="73"/>
      <c r="E15" s="73"/>
      <c r="F15" s="73"/>
      <c r="G15" s="73"/>
      <c r="H15" s="74"/>
    </row>
    <row r="17" spans="2:8">
      <c r="C17" s="9" t="s">
        <v>139</v>
      </c>
    </row>
    <row r="18" spans="2:8" ht="15.75" thickBot="1"/>
    <row r="19" spans="2:8">
      <c r="B19" s="169"/>
      <c r="C19" s="109"/>
      <c r="D19" s="109"/>
      <c r="E19" s="109"/>
      <c r="F19" s="109"/>
      <c r="G19" s="109"/>
      <c r="H19" s="79"/>
    </row>
    <row r="20" spans="2:8">
      <c r="B20" s="80"/>
      <c r="C20" s="81" t="s">
        <v>264</v>
      </c>
      <c r="D20" s="193">
        <f>((1+D14)^(1/365))-1</f>
        <v>1.5965358745284597E-4</v>
      </c>
      <c r="E20" s="81"/>
      <c r="F20" s="81"/>
      <c r="G20" s="81"/>
      <c r="H20" s="82"/>
    </row>
    <row r="21" spans="2:8">
      <c r="B21" s="80"/>
      <c r="C21" s="81"/>
      <c r="D21" s="155"/>
      <c r="E21" s="81"/>
      <c r="F21" s="81"/>
      <c r="G21" s="81"/>
      <c r="H21" s="82"/>
    </row>
    <row r="22" spans="2:8">
      <c r="B22" s="80"/>
      <c r="C22" s="113" t="s">
        <v>263</v>
      </c>
      <c r="D22" s="155"/>
      <c r="E22" s="81"/>
      <c r="F22" s="81"/>
      <c r="G22" s="81"/>
      <c r="H22" s="82"/>
    </row>
    <row r="23" spans="2:8">
      <c r="B23" s="80"/>
      <c r="C23" s="81"/>
      <c r="D23" s="155"/>
      <c r="E23" s="81"/>
      <c r="F23" s="81"/>
      <c r="G23" s="81"/>
      <c r="H23" s="82"/>
    </row>
    <row r="24" spans="2:8">
      <c r="B24" s="80"/>
      <c r="C24" s="81" t="s">
        <v>265</v>
      </c>
      <c r="D24" s="84">
        <f>D8/365</f>
        <v>317808.21917808219</v>
      </c>
      <c r="E24" s="81"/>
      <c r="F24" s="81"/>
      <c r="G24" s="81"/>
      <c r="H24" s="82"/>
    </row>
    <row r="25" spans="2:8">
      <c r="B25" s="80"/>
      <c r="C25" s="81" t="s">
        <v>269</v>
      </c>
      <c r="D25" s="195">
        <f>D13*D8/365</f>
        <v>143013.69863013699</v>
      </c>
      <c r="E25" s="81"/>
      <c r="F25" s="81"/>
      <c r="G25" s="81"/>
      <c r="H25" s="82"/>
    </row>
    <row r="26" spans="2:8">
      <c r="B26" s="80"/>
      <c r="C26" s="81" t="s">
        <v>266</v>
      </c>
      <c r="D26" s="84">
        <f>D8*E8/365</f>
        <v>6673.9726027397264</v>
      </c>
      <c r="E26" s="81"/>
      <c r="F26" s="81"/>
      <c r="G26" s="81"/>
      <c r="H26" s="82"/>
    </row>
    <row r="27" spans="2:8">
      <c r="B27" s="80"/>
      <c r="C27" s="81" t="s">
        <v>267</v>
      </c>
      <c r="D27" s="84">
        <f>D8*F8/365</f>
        <v>5084.9315068493152</v>
      </c>
      <c r="E27" s="81"/>
      <c r="F27" s="81"/>
      <c r="G27" s="81"/>
      <c r="H27" s="82"/>
    </row>
    <row r="28" spans="2:8">
      <c r="B28" s="80"/>
      <c r="C28" s="81" t="s">
        <v>262</v>
      </c>
      <c r="D28" s="194">
        <f>((1+D20)^G8)-1</f>
        <v>6.0847896565197068E-3</v>
      </c>
      <c r="E28" s="81"/>
      <c r="F28" s="81"/>
      <c r="G28" s="81"/>
      <c r="H28" s="82"/>
    </row>
    <row r="29" spans="2:8">
      <c r="B29" s="80"/>
      <c r="C29" s="81"/>
      <c r="D29" s="81"/>
      <c r="E29" s="81"/>
      <c r="F29" s="81"/>
      <c r="G29" s="81"/>
      <c r="H29" s="82"/>
    </row>
    <row r="30" spans="2:8" ht="15.75">
      <c r="B30" s="80"/>
      <c r="C30" s="81" t="s">
        <v>244</v>
      </c>
      <c r="D30" s="37">
        <f>-D25+((D24-D26-D27-D25)/D28)</f>
        <v>26650947.250154253</v>
      </c>
      <c r="E30" s="81"/>
      <c r="F30" s="81"/>
      <c r="G30" s="81"/>
      <c r="H30" s="82"/>
    </row>
    <row r="31" spans="2:8">
      <c r="B31" s="80"/>
      <c r="C31" s="81"/>
      <c r="D31" s="81"/>
      <c r="E31" s="81"/>
      <c r="F31" s="81"/>
      <c r="G31" s="81"/>
      <c r="H31" s="82"/>
    </row>
    <row r="32" spans="2:8">
      <c r="B32" s="80"/>
      <c r="C32" s="113" t="s">
        <v>268</v>
      </c>
      <c r="D32" s="81"/>
      <c r="E32" s="81"/>
      <c r="F32" s="81"/>
      <c r="G32" s="81"/>
      <c r="H32" s="82"/>
    </row>
    <row r="33" spans="2:8">
      <c r="B33" s="80"/>
      <c r="C33" s="81"/>
      <c r="D33" s="81"/>
      <c r="E33" s="81"/>
      <c r="F33" s="81"/>
      <c r="G33" s="81"/>
      <c r="H33" s="82"/>
    </row>
    <row r="34" spans="2:8">
      <c r="B34" s="80"/>
      <c r="C34" s="81" t="s">
        <v>265</v>
      </c>
      <c r="D34" s="84">
        <f>D9/365</f>
        <v>356164.38356164383</v>
      </c>
      <c r="E34" s="81"/>
      <c r="F34" s="81"/>
      <c r="G34" s="81"/>
      <c r="H34" s="82"/>
    </row>
    <row r="35" spans="2:8">
      <c r="B35" s="80"/>
      <c r="C35" s="81" t="s">
        <v>269</v>
      </c>
      <c r="D35" s="84">
        <f>D9*D13/365</f>
        <v>160273.97260273973</v>
      </c>
      <c r="E35" s="81"/>
      <c r="F35" s="81"/>
      <c r="G35" s="81"/>
      <c r="H35" s="82"/>
    </row>
    <row r="36" spans="2:8">
      <c r="B36" s="80"/>
      <c r="C36" s="81" t="s">
        <v>266</v>
      </c>
      <c r="D36" s="84">
        <f>D9/365*E9</f>
        <v>9260.2739726027394</v>
      </c>
      <c r="E36" s="81"/>
      <c r="F36" s="81"/>
      <c r="G36" s="81"/>
      <c r="H36" s="82"/>
    </row>
    <row r="37" spans="2:8">
      <c r="B37" s="80"/>
      <c r="C37" s="81" t="s">
        <v>267</v>
      </c>
      <c r="D37" s="84">
        <f>D9*F9/365</f>
        <v>8547.9452054794529</v>
      </c>
      <c r="E37" s="81"/>
      <c r="F37" s="81"/>
      <c r="G37" s="81"/>
      <c r="H37" s="82"/>
    </row>
    <row r="38" spans="2:8">
      <c r="B38" s="80"/>
      <c r="C38" s="81" t="s">
        <v>262</v>
      </c>
      <c r="D38" s="194">
        <f>((1+D20)^G9)-1</f>
        <v>6.5667417315597998E-3</v>
      </c>
      <c r="E38" s="81"/>
      <c r="F38" s="81"/>
      <c r="G38" s="81"/>
      <c r="H38" s="82"/>
    </row>
    <row r="39" spans="2:8">
      <c r="B39" s="80"/>
      <c r="C39" s="81"/>
      <c r="D39" s="81"/>
      <c r="E39" s="81"/>
      <c r="F39" s="81"/>
      <c r="G39" s="81"/>
      <c r="H39" s="82"/>
    </row>
    <row r="40" spans="2:8" ht="15.75">
      <c r="B40" s="80"/>
      <c r="C40" s="81" t="s">
        <v>244</v>
      </c>
      <c r="D40" s="37">
        <f>-D35+((D34-D36-D37-D35)/D38)</f>
        <v>26958531.526471153</v>
      </c>
      <c r="E40" s="81"/>
      <c r="F40" s="81"/>
      <c r="G40" s="81"/>
      <c r="H40" s="82"/>
    </row>
    <row r="41" spans="2:8">
      <c r="B41" s="80"/>
      <c r="C41" s="81"/>
      <c r="D41" s="81"/>
      <c r="E41" s="81"/>
      <c r="F41" s="81"/>
      <c r="G41" s="81"/>
      <c r="H41" s="82"/>
    </row>
    <row r="42" spans="2:8">
      <c r="B42" s="80"/>
      <c r="C42" s="113" t="s">
        <v>270</v>
      </c>
      <c r="D42" s="81"/>
      <c r="E42" s="81"/>
      <c r="F42" s="81"/>
      <c r="G42" s="81"/>
      <c r="H42" s="82"/>
    </row>
    <row r="43" spans="2:8">
      <c r="B43" s="80"/>
      <c r="C43" s="81"/>
      <c r="D43" s="81"/>
      <c r="E43" s="81"/>
      <c r="F43" s="81"/>
      <c r="G43" s="81"/>
      <c r="H43" s="82"/>
    </row>
    <row r="44" spans="2:8">
      <c r="B44" s="80"/>
      <c r="C44" s="81" t="s">
        <v>265</v>
      </c>
      <c r="D44" s="84">
        <f>D10/365</f>
        <v>353424.65753424657</v>
      </c>
      <c r="E44" s="81"/>
      <c r="F44" s="81"/>
      <c r="G44" s="81"/>
      <c r="H44" s="82"/>
    </row>
    <row r="45" spans="2:8">
      <c r="B45" s="80"/>
      <c r="C45" s="81" t="s">
        <v>269</v>
      </c>
      <c r="D45" s="84">
        <f>D10*D13/365</f>
        <v>159041.09589041097</v>
      </c>
      <c r="E45" s="81"/>
      <c r="F45" s="81"/>
      <c r="G45" s="81"/>
      <c r="H45" s="82"/>
    </row>
    <row r="46" spans="2:8">
      <c r="B46" s="80"/>
      <c r="C46" s="81" t="s">
        <v>266</v>
      </c>
      <c r="D46" s="84">
        <f>D10*E10/365</f>
        <v>7775.3424657534242</v>
      </c>
      <c r="E46" s="81"/>
      <c r="F46" s="81"/>
      <c r="G46" s="81"/>
      <c r="H46" s="82"/>
    </row>
    <row r="47" spans="2:8">
      <c r="B47" s="80"/>
      <c r="C47" s="81" t="s">
        <v>267</v>
      </c>
      <c r="D47" s="84">
        <f>D10*F10/365</f>
        <v>6715.0684931506848</v>
      </c>
      <c r="E47" s="81"/>
      <c r="F47" s="81"/>
      <c r="G47" s="81"/>
      <c r="H47" s="82"/>
    </row>
    <row r="48" spans="2:8">
      <c r="B48" s="80"/>
      <c r="C48" s="81" t="s">
        <v>262</v>
      </c>
      <c r="D48" s="194">
        <f>((1+D20)^G10)-1</f>
        <v>8.1749166857443267E-3</v>
      </c>
      <c r="E48" s="81"/>
      <c r="F48" s="81"/>
      <c r="G48" s="81"/>
      <c r="H48" s="82"/>
    </row>
    <row r="49" spans="2:8">
      <c r="B49" s="80"/>
      <c r="C49" s="81"/>
      <c r="D49" s="81"/>
      <c r="E49" s="81"/>
      <c r="F49" s="81"/>
      <c r="G49" s="81"/>
      <c r="H49" s="82"/>
    </row>
    <row r="50" spans="2:8" ht="15.75">
      <c r="B50" s="80"/>
      <c r="C50" s="81" t="s">
        <v>244</v>
      </c>
      <c r="D50" s="37">
        <f>-D45+((D44-D46-D47-D45)/D48)</f>
        <v>21846461.541052021</v>
      </c>
      <c r="E50" s="81"/>
      <c r="F50" s="81"/>
      <c r="G50" s="81"/>
      <c r="H50" s="82"/>
    </row>
    <row r="51" spans="2:8">
      <c r="B51" s="80"/>
      <c r="C51" s="81"/>
      <c r="D51" s="81"/>
      <c r="E51" s="81"/>
      <c r="F51" s="81"/>
      <c r="G51" s="81"/>
      <c r="H51" s="82"/>
    </row>
    <row r="52" spans="2:8">
      <c r="B52" s="80"/>
      <c r="C52" s="113" t="s">
        <v>271</v>
      </c>
      <c r="D52" s="81"/>
      <c r="E52" s="81"/>
      <c r="F52" s="81"/>
      <c r="G52" s="81"/>
      <c r="H52" s="82"/>
    </row>
    <row r="53" spans="2:8">
      <c r="B53" s="80"/>
      <c r="C53" s="81"/>
      <c r="D53" s="81"/>
      <c r="E53" s="81"/>
      <c r="F53" s="81"/>
      <c r="G53" s="81"/>
      <c r="H53" s="82"/>
    </row>
    <row r="54" spans="2:8">
      <c r="B54" s="80"/>
      <c r="C54" s="81" t="s">
        <v>265</v>
      </c>
      <c r="D54" s="84">
        <f>D11/365</f>
        <v>361643.83561643836</v>
      </c>
      <c r="E54" s="81"/>
      <c r="F54" s="81"/>
      <c r="G54" s="81"/>
      <c r="H54" s="82"/>
    </row>
    <row r="55" spans="2:8">
      <c r="B55" s="80"/>
      <c r="C55" s="81" t="s">
        <v>269</v>
      </c>
      <c r="D55" s="84">
        <f>D11*D13/365</f>
        <v>162739.72602739726</v>
      </c>
      <c r="E55" s="81"/>
      <c r="F55" s="81"/>
      <c r="G55" s="81"/>
      <c r="H55" s="82"/>
    </row>
    <row r="56" spans="2:8">
      <c r="B56" s="80"/>
      <c r="C56" s="81" t="s">
        <v>266</v>
      </c>
      <c r="D56" s="84">
        <f>D11*E11/365</f>
        <v>9041.0958904109593</v>
      </c>
      <c r="E56" s="81"/>
      <c r="F56" s="81"/>
      <c r="G56" s="81"/>
      <c r="H56" s="82"/>
    </row>
    <row r="57" spans="2:8">
      <c r="B57" s="80"/>
      <c r="C57" s="81" t="s">
        <v>267</v>
      </c>
      <c r="D57" s="84">
        <f>D11*F11/365</f>
        <v>7594.5205479452052</v>
      </c>
      <c r="E57" s="81"/>
      <c r="F57" s="81"/>
      <c r="G57" s="81"/>
      <c r="H57" s="82"/>
    </row>
    <row r="58" spans="2:8">
      <c r="B58" s="80"/>
      <c r="C58" s="81" t="s">
        <v>262</v>
      </c>
      <c r="D58" s="194">
        <f>((1+D20)^G11)-1</f>
        <v>7.8530762778008523E-3</v>
      </c>
      <c r="E58" s="81"/>
      <c r="F58" s="81"/>
      <c r="G58" s="81"/>
      <c r="H58" s="82"/>
    </row>
    <row r="59" spans="2:8">
      <c r="B59" s="80"/>
      <c r="C59" s="81"/>
      <c r="D59" s="81"/>
      <c r="E59" s="81"/>
      <c r="F59" s="81"/>
      <c r="G59" s="81"/>
      <c r="H59" s="82"/>
    </row>
    <row r="60" spans="2:8" ht="15.75">
      <c r="B60" s="80"/>
      <c r="C60" s="81" t="s">
        <v>244</v>
      </c>
      <c r="D60" s="37">
        <f>-D55+((D54-D56-D55-D57)/D58)</f>
        <v>23047081.075780325</v>
      </c>
      <c r="E60" s="81"/>
      <c r="F60" s="81"/>
      <c r="G60" s="81"/>
      <c r="H60" s="82"/>
    </row>
    <row r="61" spans="2:8" ht="15.75" thickBot="1">
      <c r="B61" s="89"/>
      <c r="C61" s="90"/>
      <c r="D61" s="90"/>
      <c r="E61" s="90"/>
      <c r="F61" s="90"/>
      <c r="G61" s="90"/>
      <c r="H61" s="91"/>
    </row>
  </sheetData>
  <mergeCells count="2">
    <mergeCell ref="C2:F2"/>
    <mergeCell ref="C1:E1"/>
  </mergeCells>
  <phoneticPr fontId="0" type="noConversion"/>
  <pageMargins left="0.75" right="0.75" top="1" bottom="1" header="0.5" footer="0.5"/>
  <headerFooter alignWithMargins="0"/>
</worksheet>
</file>

<file path=xl/worksheets/sheet36.xml><?xml version="1.0" encoding="utf-8"?>
<worksheet xmlns="http://schemas.openxmlformats.org/spreadsheetml/2006/main" xmlns:r="http://schemas.openxmlformats.org/officeDocument/2006/relationships">
  <dimension ref="B1:K1270"/>
  <sheetViews>
    <sheetView zoomScaleNormal="100" workbookViewId="0"/>
  </sheetViews>
  <sheetFormatPr defaultRowHeight="15"/>
  <cols>
    <col min="2" max="2" width="3.140625" style="6" customWidth="1"/>
    <col min="3" max="3" width="38.5703125" style="6" bestFit="1" customWidth="1"/>
    <col min="4" max="4" width="20.28515625" style="6" customWidth="1"/>
    <col min="5" max="8" width="19.7109375" style="6" customWidth="1"/>
    <col min="9" max="9" width="21.140625" customWidth="1"/>
    <col min="10" max="10" width="3.140625" customWidth="1"/>
  </cols>
  <sheetData>
    <row r="1" spans="2:9" ht="18">
      <c r="C1" s="103" t="s">
        <v>252</v>
      </c>
      <c r="D1" s="103"/>
      <c r="E1" s="103"/>
      <c r="F1" s="103"/>
      <c r="G1" s="103"/>
    </row>
    <row r="2" spans="2:9" ht="18">
      <c r="C2" s="772" t="s">
        <v>199</v>
      </c>
      <c r="D2" s="772"/>
      <c r="E2" s="772"/>
      <c r="F2" s="772"/>
      <c r="G2" s="103"/>
    </row>
    <row r="3" spans="2:9" ht="18">
      <c r="C3" s="7"/>
      <c r="D3" s="7"/>
      <c r="E3" s="7"/>
      <c r="F3" s="7"/>
      <c r="G3" s="103"/>
    </row>
    <row r="4" spans="2:9" ht="16.5" customHeight="1">
      <c r="C4" s="9" t="s">
        <v>135</v>
      </c>
      <c r="D4" s="7"/>
      <c r="E4" s="7"/>
      <c r="F4" s="7"/>
      <c r="G4" s="103"/>
    </row>
    <row r="5" spans="2:9" ht="15.75" thickBot="1"/>
    <row r="6" spans="2:9">
      <c r="B6" s="10"/>
      <c r="C6" s="11"/>
      <c r="D6" s="11"/>
      <c r="E6" s="11"/>
      <c r="F6" s="11"/>
      <c r="G6" s="11"/>
      <c r="H6" s="11"/>
      <c r="I6" s="119"/>
    </row>
    <row r="7" spans="2:9">
      <c r="B7" s="13"/>
      <c r="C7" s="14" t="s">
        <v>225</v>
      </c>
      <c r="D7" s="21">
        <v>352000000</v>
      </c>
      <c r="E7" s="651"/>
      <c r="F7" s="14"/>
      <c r="G7" s="14"/>
      <c r="H7" s="14"/>
      <c r="I7" s="123"/>
    </row>
    <row r="8" spans="2:9">
      <c r="B8" s="13"/>
      <c r="C8" s="14"/>
      <c r="D8" s="14"/>
      <c r="E8" s="14"/>
      <c r="F8" s="14"/>
      <c r="G8" s="14"/>
      <c r="H8" s="14"/>
      <c r="I8" s="123"/>
    </row>
    <row r="9" spans="2:9" ht="15.75">
      <c r="B9" s="13"/>
      <c r="C9" s="14"/>
      <c r="D9" s="748">
        <v>2012</v>
      </c>
      <c r="E9" s="748">
        <v>2013</v>
      </c>
      <c r="F9" s="748">
        <v>2014</v>
      </c>
      <c r="G9" s="748">
        <v>2015</v>
      </c>
      <c r="H9" s="748">
        <v>2016</v>
      </c>
      <c r="I9" s="123"/>
    </row>
    <row r="10" spans="2:9">
      <c r="B10" s="13"/>
      <c r="C10" s="14" t="s">
        <v>35</v>
      </c>
      <c r="D10" s="21">
        <v>512000000</v>
      </c>
      <c r="E10" s="21">
        <v>576000000</v>
      </c>
      <c r="F10" s="21">
        <v>640000000</v>
      </c>
      <c r="G10" s="21">
        <v>720000000</v>
      </c>
      <c r="H10" s="21">
        <v>800000000</v>
      </c>
      <c r="I10" s="649"/>
    </row>
    <row r="11" spans="2:9">
      <c r="B11" s="13"/>
      <c r="C11" s="14" t="s">
        <v>138</v>
      </c>
      <c r="D11" s="176">
        <v>359200000</v>
      </c>
      <c r="E11" s="176">
        <v>403200000</v>
      </c>
      <c r="F11" s="176">
        <v>448000000</v>
      </c>
      <c r="G11" s="176">
        <v>505600000</v>
      </c>
      <c r="H11" s="176">
        <v>564000000</v>
      </c>
      <c r="I11" s="649"/>
    </row>
    <row r="12" spans="2:9">
      <c r="B12" s="13"/>
      <c r="C12" s="14" t="s">
        <v>201</v>
      </c>
      <c r="D12" s="176">
        <v>48000000</v>
      </c>
      <c r="E12" s="176">
        <v>51200000</v>
      </c>
      <c r="F12" s="176">
        <v>52800000</v>
      </c>
      <c r="G12" s="176">
        <v>53120000</v>
      </c>
      <c r="H12" s="176">
        <v>53600000</v>
      </c>
      <c r="I12" s="649"/>
    </row>
    <row r="13" spans="2:9">
      <c r="B13" s="13"/>
      <c r="C13" s="14" t="s">
        <v>77</v>
      </c>
      <c r="D13" s="177">
        <v>51200000</v>
      </c>
      <c r="E13" s="177">
        <v>57600000</v>
      </c>
      <c r="F13" s="177">
        <v>64000000</v>
      </c>
      <c r="G13" s="177">
        <v>72320000</v>
      </c>
      <c r="H13" s="177">
        <v>77600000</v>
      </c>
      <c r="I13" s="649"/>
    </row>
    <row r="14" spans="2:9">
      <c r="B14" s="13"/>
      <c r="C14" s="14" t="s">
        <v>202</v>
      </c>
      <c r="D14" s="497">
        <f>D10-D11-D12-D13</f>
        <v>53600000</v>
      </c>
      <c r="E14" s="497">
        <f>E10-E11-E12-E13</f>
        <v>64000000</v>
      </c>
      <c r="F14" s="497">
        <f>F10-F11-F12-F13</f>
        <v>75200000</v>
      </c>
      <c r="G14" s="497">
        <f>G10-G11-G12-G13</f>
        <v>88960000</v>
      </c>
      <c r="H14" s="497">
        <f>H10-H11-H12-H13</f>
        <v>104800000</v>
      </c>
      <c r="I14" s="649"/>
    </row>
    <row r="15" spans="2:9">
      <c r="B15" s="13"/>
      <c r="C15" s="14" t="s">
        <v>203</v>
      </c>
      <c r="D15" s="177">
        <v>12160000</v>
      </c>
      <c r="E15" s="177">
        <v>14080000</v>
      </c>
      <c r="F15" s="177">
        <v>15360000</v>
      </c>
      <c r="G15" s="177">
        <v>16000000</v>
      </c>
      <c r="H15" s="177">
        <v>17280000</v>
      </c>
      <c r="I15" s="649"/>
    </row>
    <row r="16" spans="2:9">
      <c r="B16" s="13"/>
      <c r="C16" s="14" t="s">
        <v>204</v>
      </c>
      <c r="D16" s="497">
        <f>D14-D15</f>
        <v>41440000</v>
      </c>
      <c r="E16" s="497">
        <f>E14-E15</f>
        <v>49920000</v>
      </c>
      <c r="F16" s="497">
        <f>F14-F15</f>
        <v>59840000</v>
      </c>
      <c r="G16" s="497">
        <f>G14-G15</f>
        <v>72960000</v>
      </c>
      <c r="H16" s="497">
        <f>H14-H15</f>
        <v>87520000</v>
      </c>
      <c r="I16" s="649"/>
    </row>
    <row r="17" spans="2:9">
      <c r="B17" s="13"/>
      <c r="C17" s="14" t="s">
        <v>205</v>
      </c>
      <c r="D17" s="650">
        <f>D16*$D$30</f>
        <v>16576000</v>
      </c>
      <c r="E17" s="650">
        <f>E16*$D$30</f>
        <v>19968000</v>
      </c>
      <c r="F17" s="650">
        <f>F16*$D$30</f>
        <v>23936000</v>
      </c>
      <c r="G17" s="650">
        <f>G16*$D$30</f>
        <v>29184000</v>
      </c>
      <c r="H17" s="650">
        <f>H16*$D$30</f>
        <v>35008000</v>
      </c>
      <c r="I17" s="649"/>
    </row>
    <row r="18" spans="2:9" ht="15.75" thickBot="1">
      <c r="B18" s="13"/>
      <c r="C18" s="14" t="s">
        <v>40</v>
      </c>
      <c r="D18" s="496">
        <f>D16-D17</f>
        <v>24864000</v>
      </c>
      <c r="E18" s="496">
        <f>E16-E17</f>
        <v>29952000</v>
      </c>
      <c r="F18" s="496">
        <f>F16-F17</f>
        <v>35904000</v>
      </c>
      <c r="G18" s="496">
        <f>G16-G17</f>
        <v>43776000</v>
      </c>
      <c r="H18" s="496">
        <f>H16-H17</f>
        <v>52512000</v>
      </c>
      <c r="I18" s="649"/>
    </row>
    <row r="19" spans="2:9" ht="15.75" thickTop="1">
      <c r="B19" s="13"/>
      <c r="C19" s="14"/>
      <c r="D19" s="23"/>
      <c r="E19" s="23"/>
      <c r="F19" s="23"/>
      <c r="G19" s="23"/>
      <c r="H19" s="23"/>
      <c r="I19" s="649"/>
    </row>
    <row r="20" spans="2:9">
      <c r="B20" s="13"/>
      <c r="C20" s="14" t="s">
        <v>206</v>
      </c>
      <c r="D20" s="23"/>
      <c r="E20" s="23"/>
      <c r="F20" s="23"/>
      <c r="G20" s="23"/>
      <c r="H20" s="23"/>
      <c r="I20" s="649"/>
    </row>
    <row r="21" spans="2:9">
      <c r="B21" s="13"/>
      <c r="C21" s="14" t="s">
        <v>207</v>
      </c>
      <c r="D21" s="21">
        <v>12800000</v>
      </c>
      <c r="E21" s="21">
        <v>16000000</v>
      </c>
      <c r="F21" s="21">
        <v>16000000</v>
      </c>
      <c r="G21" s="21">
        <v>19200000</v>
      </c>
      <c r="H21" s="21">
        <v>19200000</v>
      </c>
      <c r="I21" s="649"/>
    </row>
    <row r="22" spans="2:9">
      <c r="B22" s="13"/>
      <c r="C22" s="14" t="s">
        <v>208</v>
      </c>
      <c r="D22" s="177">
        <v>9600000</v>
      </c>
      <c r="E22" s="177">
        <v>16000000</v>
      </c>
      <c r="F22" s="177">
        <v>11520000</v>
      </c>
      <c r="G22" s="177">
        <v>76800000</v>
      </c>
      <c r="H22" s="177">
        <v>4480000</v>
      </c>
      <c r="I22" s="649"/>
    </row>
    <row r="23" spans="2:9">
      <c r="B23" s="13"/>
      <c r="C23" s="14" t="s">
        <v>18</v>
      </c>
      <c r="D23" s="497">
        <f>D21+D22</f>
        <v>22400000</v>
      </c>
      <c r="E23" s="497">
        <f>E21+E22</f>
        <v>32000000</v>
      </c>
      <c r="F23" s="497">
        <f>F21+F22</f>
        <v>27520000</v>
      </c>
      <c r="G23" s="497">
        <f>G21+G22</f>
        <v>96000000</v>
      </c>
      <c r="H23" s="497">
        <f>H21+H22</f>
        <v>23680000</v>
      </c>
      <c r="I23" s="649"/>
    </row>
    <row r="24" spans="2:9">
      <c r="B24" s="13"/>
      <c r="C24" s="14"/>
      <c r="D24" s="23"/>
      <c r="E24" s="23"/>
      <c r="F24" s="23"/>
      <c r="G24" s="23"/>
      <c r="H24" s="23"/>
      <c r="I24" s="649"/>
    </row>
    <row r="25" spans="2:9">
      <c r="B25" s="13"/>
      <c r="C25" s="14" t="s">
        <v>209</v>
      </c>
      <c r="D25" s="23"/>
      <c r="E25" s="23"/>
      <c r="F25" s="23"/>
      <c r="G25" s="23"/>
      <c r="H25" s="23"/>
      <c r="I25" s="649"/>
    </row>
    <row r="26" spans="2:9">
      <c r="B26" s="13"/>
      <c r="C26" s="14" t="s">
        <v>210</v>
      </c>
      <c r="D26" s="21">
        <v>22400000</v>
      </c>
      <c r="E26" s="21">
        <v>10240000</v>
      </c>
      <c r="F26" s="21">
        <v>10240000</v>
      </c>
      <c r="G26" s="21">
        <v>9600000</v>
      </c>
      <c r="H26" s="21">
        <v>7680000</v>
      </c>
      <c r="I26" s="649"/>
    </row>
    <row r="27" spans="2:9">
      <c r="B27" s="13"/>
      <c r="C27" s="14" t="s">
        <v>211</v>
      </c>
      <c r="D27" s="177">
        <v>0</v>
      </c>
      <c r="E27" s="177">
        <v>21760000</v>
      </c>
      <c r="F27" s="177">
        <v>17280000</v>
      </c>
      <c r="G27" s="177">
        <v>17280000</v>
      </c>
      <c r="H27" s="177">
        <v>16000000</v>
      </c>
      <c r="I27" s="649"/>
    </row>
    <row r="28" spans="2:9">
      <c r="B28" s="13"/>
      <c r="C28" s="14" t="s">
        <v>18</v>
      </c>
      <c r="D28" s="497">
        <f>D26+D27</f>
        <v>22400000</v>
      </c>
      <c r="E28" s="497">
        <f>E26+E27</f>
        <v>32000000</v>
      </c>
      <c r="F28" s="497">
        <f>F26+F27</f>
        <v>27520000</v>
      </c>
      <c r="G28" s="497">
        <f>G26+G27</f>
        <v>26880000</v>
      </c>
      <c r="H28" s="497">
        <f>H26+H27</f>
        <v>23680000</v>
      </c>
      <c r="I28" s="649"/>
    </row>
    <row r="29" spans="2:9">
      <c r="B29" s="13"/>
      <c r="C29" s="14"/>
      <c r="D29" s="14"/>
      <c r="E29" s="14"/>
      <c r="F29" s="14"/>
      <c r="G29" s="14"/>
      <c r="H29" s="14"/>
      <c r="I29" s="649"/>
    </row>
    <row r="30" spans="2:9">
      <c r="B30" s="13"/>
      <c r="C30" s="14" t="s">
        <v>49</v>
      </c>
      <c r="D30" s="48">
        <v>0.4</v>
      </c>
      <c r="E30" s="14"/>
      <c r="F30" s="14"/>
      <c r="G30" s="14"/>
      <c r="H30" s="14"/>
      <c r="I30" s="649"/>
    </row>
    <row r="31" spans="2:9">
      <c r="B31" s="13"/>
      <c r="C31" s="14" t="s">
        <v>224</v>
      </c>
      <c r="D31" s="21">
        <v>71000000</v>
      </c>
      <c r="E31" s="651"/>
      <c r="F31" s="14"/>
      <c r="G31" s="14"/>
      <c r="H31" s="14"/>
      <c r="I31" s="123"/>
    </row>
    <row r="32" spans="2:9">
      <c r="B32" s="13"/>
      <c r="C32" s="14" t="s">
        <v>212</v>
      </c>
      <c r="D32" s="21">
        <v>96000000</v>
      </c>
      <c r="E32" s="14"/>
      <c r="F32" s="14"/>
      <c r="G32" s="14"/>
      <c r="H32" s="14"/>
      <c r="I32" s="649"/>
    </row>
    <row r="33" spans="2:9">
      <c r="B33" s="13"/>
      <c r="C33" s="14" t="s">
        <v>217</v>
      </c>
      <c r="D33" s="178">
        <v>0.5</v>
      </c>
      <c r="E33" s="14"/>
      <c r="F33" s="14"/>
      <c r="G33" s="14"/>
      <c r="H33" s="14"/>
      <c r="I33" s="649"/>
    </row>
    <row r="34" spans="2:9">
      <c r="B34" s="13"/>
      <c r="C34" s="14" t="s">
        <v>218</v>
      </c>
      <c r="D34" s="178">
        <v>1</v>
      </c>
      <c r="E34" s="14"/>
      <c r="F34" s="14"/>
      <c r="G34" s="14"/>
      <c r="H34" s="14"/>
      <c r="I34" s="649"/>
    </row>
    <row r="35" spans="2:9">
      <c r="B35" s="13"/>
      <c r="C35" s="14" t="s">
        <v>213</v>
      </c>
      <c r="D35" s="21">
        <v>16000000</v>
      </c>
      <c r="E35" s="14"/>
      <c r="F35" s="14"/>
      <c r="G35" s="14"/>
      <c r="H35" s="14"/>
      <c r="I35" s="649"/>
    </row>
    <row r="36" spans="2:9">
      <c r="B36" s="13"/>
      <c r="C36" s="14" t="s">
        <v>214</v>
      </c>
      <c r="D36" s="21">
        <v>16000000</v>
      </c>
      <c r="E36" s="14"/>
      <c r="F36" s="14"/>
      <c r="G36" s="14"/>
      <c r="H36" s="14"/>
      <c r="I36" s="649"/>
    </row>
    <row r="37" spans="2:9">
      <c r="B37" s="13"/>
      <c r="C37" s="14" t="s">
        <v>215</v>
      </c>
      <c r="D37" s="21">
        <v>576000000</v>
      </c>
      <c r="E37" s="14"/>
      <c r="F37" s="14"/>
      <c r="G37" s="14"/>
      <c r="H37" s="14"/>
      <c r="I37" s="649"/>
    </row>
    <row r="38" spans="2:9">
      <c r="B38" s="13"/>
      <c r="C38" s="14" t="s">
        <v>216</v>
      </c>
      <c r="D38" s="21">
        <v>192000000</v>
      </c>
      <c r="E38" s="14"/>
      <c r="F38" s="14"/>
      <c r="G38" s="14"/>
      <c r="H38" s="14"/>
      <c r="I38" s="649"/>
    </row>
    <row r="39" spans="2:9">
      <c r="B39" s="13"/>
      <c r="C39" s="14" t="s">
        <v>227</v>
      </c>
      <c r="D39" s="18">
        <v>94</v>
      </c>
      <c r="E39" s="651"/>
      <c r="F39" s="14"/>
      <c r="G39" s="14"/>
      <c r="H39" s="14"/>
      <c r="I39" s="123"/>
    </row>
    <row r="40" spans="2:9">
      <c r="B40" s="13"/>
      <c r="C40" s="14" t="s">
        <v>228</v>
      </c>
      <c r="D40" s="176">
        <v>11600000</v>
      </c>
      <c r="E40" s="651"/>
      <c r="F40" s="14"/>
      <c r="G40" s="14"/>
      <c r="H40" s="14"/>
      <c r="I40" s="123"/>
    </row>
    <row r="41" spans="2:9">
      <c r="B41" s="13"/>
      <c r="C41" s="14" t="s">
        <v>226</v>
      </c>
      <c r="D41" s="176">
        <v>5200000</v>
      </c>
      <c r="E41" s="651"/>
      <c r="F41" s="14"/>
      <c r="G41" s="14"/>
      <c r="H41" s="14"/>
      <c r="I41" s="123"/>
    </row>
    <row r="42" spans="2:9">
      <c r="B42" s="13"/>
      <c r="C42" s="14" t="s">
        <v>219</v>
      </c>
      <c r="D42" s="48">
        <v>0.06</v>
      </c>
      <c r="E42" s="14"/>
      <c r="F42" s="14"/>
      <c r="G42" s="14"/>
      <c r="H42" s="14"/>
      <c r="I42" s="123"/>
    </row>
    <row r="43" spans="2:9">
      <c r="B43" s="13"/>
      <c r="C43" s="14" t="s">
        <v>220</v>
      </c>
      <c r="D43" s="48">
        <v>0.13</v>
      </c>
      <c r="E43" s="14"/>
      <c r="F43" s="14"/>
      <c r="G43" s="14"/>
      <c r="H43" s="14"/>
      <c r="I43" s="123"/>
    </row>
    <row r="44" spans="2:9">
      <c r="B44" s="13"/>
      <c r="C44" s="14" t="s">
        <v>221</v>
      </c>
      <c r="D44" s="48">
        <v>0.11</v>
      </c>
      <c r="E44" s="14"/>
      <c r="F44" s="14"/>
      <c r="G44" s="14"/>
      <c r="H44" s="14"/>
      <c r="I44" s="123"/>
    </row>
    <row r="45" spans="2:9">
      <c r="B45" s="13"/>
      <c r="C45" s="14" t="s">
        <v>222</v>
      </c>
      <c r="D45" s="48">
        <v>0.08</v>
      </c>
      <c r="E45" s="14"/>
      <c r="F45" s="14"/>
      <c r="G45" s="14"/>
      <c r="H45" s="14"/>
      <c r="I45" s="123"/>
    </row>
    <row r="46" spans="2:9">
      <c r="B46" s="13"/>
      <c r="C46" s="14" t="s">
        <v>223</v>
      </c>
      <c r="D46" s="179">
        <v>1.3</v>
      </c>
      <c r="E46" s="14"/>
      <c r="F46" s="14"/>
      <c r="G46" s="14"/>
      <c r="H46" s="14"/>
      <c r="I46" s="123"/>
    </row>
    <row r="47" spans="2:9">
      <c r="B47" s="13"/>
      <c r="C47" s="14" t="s">
        <v>871</v>
      </c>
      <c r="D47" s="749">
        <v>68.75</v>
      </c>
      <c r="E47" s="14"/>
      <c r="F47" s="14"/>
      <c r="G47" s="14"/>
      <c r="H47" s="14"/>
      <c r="I47" s="123"/>
    </row>
    <row r="48" spans="2:9" ht="15.75" thickBot="1">
      <c r="B48" s="24"/>
      <c r="C48" s="25"/>
      <c r="D48" s="25"/>
      <c r="E48" s="25"/>
      <c r="F48" s="25"/>
      <c r="G48" s="25"/>
      <c r="H48" s="25"/>
      <c r="I48" s="26"/>
    </row>
    <row r="49" spans="2:10">
      <c r="I49" s="6"/>
    </row>
    <row r="50" spans="2:10">
      <c r="C50" s="9" t="s">
        <v>139</v>
      </c>
      <c r="I50" s="6"/>
    </row>
    <row r="51" spans="2:10" ht="15.75" thickBot="1">
      <c r="I51" s="6"/>
    </row>
    <row r="52" spans="2:10">
      <c r="B52" s="27"/>
      <c r="C52" s="28"/>
      <c r="D52" s="28"/>
      <c r="E52" s="28"/>
      <c r="F52" s="28"/>
      <c r="G52" s="28"/>
      <c r="H52" s="28"/>
      <c r="I52" s="28"/>
      <c r="J52" s="137"/>
    </row>
    <row r="53" spans="2:10">
      <c r="B53" s="30"/>
      <c r="C53" s="31" t="s">
        <v>229</v>
      </c>
      <c r="D53" s="180">
        <f>D33/(1+D33)</f>
        <v>0.33333333333333331</v>
      </c>
      <c r="E53" s="31"/>
      <c r="F53" s="31"/>
      <c r="G53" s="31"/>
      <c r="H53" s="31"/>
      <c r="I53" s="31"/>
      <c r="J53" s="141"/>
    </row>
    <row r="54" spans="2:10">
      <c r="B54" s="30"/>
      <c r="C54" s="31" t="s">
        <v>230</v>
      </c>
      <c r="D54" s="180">
        <f>1-D53</f>
        <v>0.66666666666666674</v>
      </c>
      <c r="E54" s="31"/>
      <c r="F54" s="31"/>
      <c r="G54" s="31"/>
      <c r="H54" s="31"/>
      <c r="I54" s="31"/>
      <c r="J54" s="141"/>
    </row>
    <row r="55" spans="2:10">
      <c r="B55" s="30"/>
      <c r="C55" s="31" t="s">
        <v>231</v>
      </c>
      <c r="D55" s="180">
        <f>(D45-D42)/(D43-D42)</f>
        <v>0.28571428571428575</v>
      </c>
      <c r="E55" s="31"/>
      <c r="F55" s="31"/>
      <c r="G55" s="31"/>
      <c r="H55" s="31"/>
      <c r="I55" s="31"/>
      <c r="J55" s="141"/>
    </row>
    <row r="56" spans="2:10">
      <c r="B56" s="30"/>
      <c r="C56" s="31" t="s">
        <v>232</v>
      </c>
      <c r="D56" s="180">
        <f>(D53*D55)+(D46*D54)</f>
        <v>0.96190476190476204</v>
      </c>
      <c r="E56" s="31"/>
      <c r="F56" s="31"/>
      <c r="G56" s="31"/>
      <c r="H56" s="31"/>
      <c r="I56" s="31"/>
      <c r="J56" s="141"/>
    </row>
    <row r="57" spans="2:10">
      <c r="B57" s="30"/>
      <c r="C57" s="31" t="s">
        <v>233</v>
      </c>
      <c r="D57" s="35">
        <f>D42+(D56*(D43-D42))</f>
        <v>0.12733333333333335</v>
      </c>
      <c r="E57" s="31"/>
      <c r="F57" s="31"/>
      <c r="G57" s="31"/>
      <c r="H57" s="31"/>
      <c r="I57" s="181"/>
      <c r="J57" s="141"/>
    </row>
    <row r="58" spans="2:10">
      <c r="B58" s="30"/>
      <c r="C58" s="31"/>
      <c r="D58" s="57"/>
      <c r="E58" s="31"/>
      <c r="F58" s="31"/>
      <c r="G58" s="31"/>
      <c r="H58" s="31"/>
      <c r="I58" s="181"/>
      <c r="J58" s="141"/>
    </row>
    <row r="59" spans="2:10">
      <c r="B59" s="30"/>
      <c r="C59" s="31" t="s">
        <v>234</v>
      </c>
      <c r="D59" s="180">
        <f>D34/(1+D34)</f>
        <v>0.5</v>
      </c>
      <c r="E59" s="31"/>
      <c r="F59" s="31"/>
      <c r="G59" s="31"/>
      <c r="H59" s="31"/>
      <c r="I59" s="181"/>
      <c r="J59" s="141"/>
    </row>
    <row r="60" spans="2:10">
      <c r="B60" s="30"/>
      <c r="C60" s="31" t="s">
        <v>235</v>
      </c>
      <c r="D60" s="180">
        <f>1-D59</f>
        <v>0.5</v>
      </c>
      <c r="E60" s="31"/>
      <c r="F60" s="31"/>
      <c r="G60" s="31"/>
      <c r="H60" s="31"/>
      <c r="I60" s="181"/>
      <c r="J60" s="141"/>
    </row>
    <row r="61" spans="2:10">
      <c r="B61" s="30"/>
      <c r="C61" s="31" t="s">
        <v>236</v>
      </c>
      <c r="D61" s="180">
        <f>(D56-(D59*D53))/D60</f>
        <v>1.5904761904761908</v>
      </c>
      <c r="E61" s="31"/>
      <c r="F61" s="31"/>
      <c r="G61" s="31"/>
      <c r="H61" s="31"/>
      <c r="I61" s="181"/>
      <c r="J61" s="141"/>
    </row>
    <row r="62" spans="2:10">
      <c r="B62" s="30"/>
      <c r="C62" s="31" t="s">
        <v>237</v>
      </c>
      <c r="D62" s="35">
        <f>D42+(D61*(D43-D42))</f>
        <v>0.17133333333333337</v>
      </c>
      <c r="E62" s="31"/>
      <c r="F62" s="31"/>
      <c r="G62" s="31"/>
      <c r="H62" s="31"/>
      <c r="I62" s="181"/>
      <c r="J62" s="141"/>
    </row>
    <row r="63" spans="2:10">
      <c r="B63" s="30"/>
      <c r="C63" s="31"/>
      <c r="D63" s="31"/>
      <c r="E63" s="31"/>
      <c r="F63" s="31"/>
      <c r="G63" s="31"/>
      <c r="H63" s="31"/>
      <c r="I63" s="181"/>
      <c r="J63" s="141"/>
    </row>
    <row r="64" spans="2:10">
      <c r="B64" s="30"/>
      <c r="C64" s="31"/>
      <c r="D64" s="53" t="s">
        <v>100</v>
      </c>
      <c r="E64" s="53" t="s">
        <v>101</v>
      </c>
      <c r="F64" s="53" t="s">
        <v>102</v>
      </c>
      <c r="G64" s="53" t="s">
        <v>103</v>
      </c>
      <c r="H64" s="53" t="s">
        <v>104</v>
      </c>
      <c r="I64" s="182" t="s">
        <v>200</v>
      </c>
      <c r="J64" s="141"/>
    </row>
    <row r="65" spans="2:10">
      <c r="B65" s="30"/>
      <c r="C65" s="31" t="s">
        <v>238</v>
      </c>
      <c r="D65" s="54">
        <f>-D7</f>
        <v>-352000000</v>
      </c>
      <c r="E65" s="57"/>
      <c r="F65" s="57"/>
      <c r="G65" s="57"/>
      <c r="H65" s="57"/>
      <c r="I65" s="31"/>
      <c r="J65" s="141"/>
    </row>
    <row r="66" spans="2:10">
      <c r="B66" s="30"/>
      <c r="C66" s="31" t="s">
        <v>239</v>
      </c>
      <c r="D66" s="54">
        <f>D32</f>
        <v>96000000</v>
      </c>
      <c r="E66" s="54">
        <f>D18-D27</f>
        <v>24864000</v>
      </c>
      <c r="F66" s="54">
        <f>E18-E27</f>
        <v>8192000</v>
      </c>
      <c r="G66" s="54">
        <f>F18-F27</f>
        <v>18624000</v>
      </c>
      <c r="H66" s="54">
        <f>G18-G27</f>
        <v>26496000</v>
      </c>
      <c r="I66" s="54">
        <f>H18-H27</f>
        <v>36512000</v>
      </c>
      <c r="J66" s="141"/>
    </row>
    <row r="67" spans="2:10">
      <c r="B67" s="30"/>
      <c r="C67" s="31" t="s">
        <v>240</v>
      </c>
      <c r="D67" s="57"/>
      <c r="E67" s="57"/>
      <c r="F67" s="330">
        <f>D35</f>
        <v>16000000</v>
      </c>
      <c r="G67" s="330">
        <f>D36</f>
        <v>16000000</v>
      </c>
      <c r="H67" s="330"/>
      <c r="I67" s="330"/>
      <c r="J67" s="141"/>
    </row>
    <row r="68" spans="2:10">
      <c r="B68" s="30"/>
      <c r="C68" s="31" t="s">
        <v>241</v>
      </c>
      <c r="D68" s="57"/>
      <c r="E68" s="57"/>
      <c r="F68" s="330"/>
      <c r="G68" s="330"/>
      <c r="H68" s="330"/>
      <c r="I68" s="330">
        <f>D37</f>
        <v>576000000</v>
      </c>
      <c r="J68" s="141"/>
    </row>
    <row r="69" spans="2:10">
      <c r="B69" s="30"/>
      <c r="C69" s="31" t="s">
        <v>242</v>
      </c>
      <c r="D69" s="183"/>
      <c r="E69" s="183"/>
      <c r="F69" s="284"/>
      <c r="G69" s="284"/>
      <c r="H69" s="284"/>
      <c r="I69" s="284">
        <f>-D38</f>
        <v>-192000000</v>
      </c>
      <c r="J69" s="141"/>
    </row>
    <row r="70" spans="2:10">
      <c r="B70" s="30"/>
      <c r="C70" s="31" t="s">
        <v>18</v>
      </c>
      <c r="D70" s="54">
        <f>D65+D66+D67+D69</f>
        <v>-256000000</v>
      </c>
      <c r="E70" s="54">
        <f>E65+E66+E67+E69</f>
        <v>24864000</v>
      </c>
      <c r="F70" s="54">
        <f>F65+F66+F67+F69</f>
        <v>24192000</v>
      </c>
      <c r="G70" s="54">
        <f>G65+G66+G67+G69</f>
        <v>34624000</v>
      </c>
      <c r="H70" s="54">
        <f>H65+H66+H67+H69</f>
        <v>26496000</v>
      </c>
      <c r="I70" s="54">
        <f>I65+I66+I67+I68-I69</f>
        <v>804512000</v>
      </c>
      <c r="J70" s="141"/>
    </row>
    <row r="71" spans="2:10">
      <c r="B71" s="30"/>
      <c r="C71" s="31"/>
      <c r="D71" s="57"/>
      <c r="E71" s="57"/>
      <c r="F71" s="57"/>
      <c r="G71" s="57"/>
      <c r="H71" s="57"/>
      <c r="I71" s="184"/>
      <c r="J71" s="141"/>
    </row>
    <row r="72" spans="2:10">
      <c r="B72" s="30"/>
      <c r="C72" s="185" t="s">
        <v>243</v>
      </c>
      <c r="D72" s="57"/>
      <c r="E72" s="57"/>
      <c r="F72" s="57"/>
      <c r="G72" s="57"/>
      <c r="H72" s="57"/>
      <c r="I72" s="184"/>
      <c r="J72" s="141"/>
    </row>
    <row r="73" spans="2:10">
      <c r="B73" s="30"/>
      <c r="C73" s="31" t="s">
        <v>238</v>
      </c>
      <c r="D73" s="41">
        <f>D65</f>
        <v>-352000000</v>
      </c>
      <c r="E73" s="41"/>
      <c r="F73" s="41"/>
      <c r="G73" s="41"/>
      <c r="H73" s="41"/>
      <c r="I73" s="41"/>
      <c r="J73" s="141"/>
    </row>
    <row r="74" spans="2:10">
      <c r="B74" s="30"/>
      <c r="C74" s="31" t="s">
        <v>239</v>
      </c>
      <c r="D74" s="41">
        <f>D66</f>
        <v>96000000</v>
      </c>
      <c r="E74" s="41">
        <f>E66/(1+D62)</f>
        <v>21227091.633466136</v>
      </c>
      <c r="F74" s="41">
        <f>F66/((1+D62)^2)</f>
        <v>5970750.7072288124</v>
      </c>
      <c r="G74" s="41">
        <f>G66/((1+D62)^3)</f>
        <v>11588612.886424731</v>
      </c>
      <c r="H74" s="41">
        <f>H66/((1+D62)^4)</f>
        <v>14075320.910701344</v>
      </c>
      <c r="I74" s="41">
        <f>I66/((1+D62)^5)</f>
        <v>16558962.03912119</v>
      </c>
      <c r="J74" s="141"/>
    </row>
    <row r="75" spans="2:10">
      <c r="B75" s="30"/>
      <c r="C75" s="31" t="s">
        <v>240</v>
      </c>
      <c r="D75" s="41"/>
      <c r="E75" s="330"/>
      <c r="F75" s="330">
        <f>F67/((1+D45)^2)</f>
        <v>13717421.12482853</v>
      </c>
      <c r="G75" s="330">
        <f>G67/((1+D45)^3)</f>
        <v>12701315.856322713</v>
      </c>
      <c r="H75" s="330"/>
      <c r="I75" s="330"/>
      <c r="J75" s="141"/>
    </row>
    <row r="76" spans="2:10">
      <c r="B76" s="30"/>
      <c r="C76" s="31" t="s">
        <v>241</v>
      </c>
      <c r="D76" s="41"/>
      <c r="E76" s="330"/>
      <c r="F76" s="330"/>
      <c r="G76" s="330"/>
      <c r="H76" s="330"/>
      <c r="I76" s="330">
        <f>I68/((1+D57)^5)</f>
        <v>316344829.63734049</v>
      </c>
      <c r="J76" s="141"/>
    </row>
    <row r="77" spans="2:10">
      <c r="B77" s="30"/>
      <c r="C77" s="31" t="s">
        <v>242</v>
      </c>
      <c r="D77" s="652"/>
      <c r="E77" s="284"/>
      <c r="F77" s="284"/>
      <c r="G77" s="284"/>
      <c r="H77" s="284"/>
      <c r="I77" s="284">
        <f>I69/((1+D45)^5)</f>
        <v>-130671973.83048058</v>
      </c>
      <c r="J77" s="141"/>
    </row>
    <row r="78" spans="2:10">
      <c r="B78" s="30"/>
      <c r="C78" s="31" t="s">
        <v>18</v>
      </c>
      <c r="D78" s="41">
        <f t="shared" ref="D78:I78" si="0">D73+D74+D75+D76+D77</f>
        <v>-256000000</v>
      </c>
      <c r="E78" s="41">
        <f t="shared" si="0"/>
        <v>21227091.633466136</v>
      </c>
      <c r="F78" s="41">
        <f t="shared" si="0"/>
        <v>19688171.832057342</v>
      </c>
      <c r="G78" s="41">
        <f t="shared" si="0"/>
        <v>24289928.742747445</v>
      </c>
      <c r="H78" s="41">
        <f t="shared" si="0"/>
        <v>14075320.910701344</v>
      </c>
      <c r="I78" s="41">
        <f t="shared" si="0"/>
        <v>202231817.84598112</v>
      </c>
      <c r="J78" s="141"/>
    </row>
    <row r="79" spans="2:10">
      <c r="B79" s="30"/>
      <c r="C79" s="31"/>
      <c r="D79" s="57"/>
      <c r="E79" s="57"/>
      <c r="F79" s="57"/>
      <c r="G79" s="57"/>
      <c r="H79" s="57"/>
      <c r="I79" s="181"/>
      <c r="J79" s="141"/>
    </row>
    <row r="80" spans="2:10" ht="15.75">
      <c r="B80" s="110" t="s">
        <v>98</v>
      </c>
      <c r="C80" s="31" t="s">
        <v>244</v>
      </c>
      <c r="D80" s="37">
        <f>D78+E78+F78+G78+H78+I78</f>
        <v>25512330.964953393</v>
      </c>
      <c r="E80" s="57"/>
      <c r="F80" s="57"/>
      <c r="G80" s="57"/>
      <c r="H80" s="57"/>
      <c r="I80" s="181"/>
      <c r="J80" s="141"/>
    </row>
    <row r="81" spans="2:11" ht="15.75">
      <c r="B81" s="110"/>
      <c r="C81" s="31"/>
      <c r="D81" s="57"/>
      <c r="E81" s="57"/>
      <c r="F81" s="57"/>
      <c r="G81" s="57"/>
      <c r="H81" s="57"/>
      <c r="I81" s="181"/>
      <c r="J81" s="141"/>
    </row>
    <row r="82" spans="2:11" ht="15.75">
      <c r="B82" s="110" t="s">
        <v>111</v>
      </c>
      <c r="C82" s="31" t="s">
        <v>245</v>
      </c>
      <c r="D82" s="32">
        <f>D7+D80</f>
        <v>377512330.96495342</v>
      </c>
      <c r="E82" s="57"/>
      <c r="F82" s="57"/>
      <c r="G82" s="57"/>
      <c r="H82" s="57"/>
      <c r="I82" s="181"/>
      <c r="J82" s="141"/>
    </row>
    <row r="83" spans="2:11" ht="15.75">
      <c r="B83" s="110"/>
      <c r="C83" s="31"/>
      <c r="D83" s="57"/>
      <c r="E83" s="57"/>
      <c r="F83" s="57"/>
      <c r="G83" s="57"/>
      <c r="H83" s="57"/>
      <c r="I83" s="181"/>
      <c r="J83" s="141"/>
    </row>
    <row r="84" spans="2:11" ht="15.75">
      <c r="B84" s="110"/>
      <c r="C84" s="31" t="s">
        <v>246</v>
      </c>
      <c r="D84" s="32">
        <f>D7/D41</f>
        <v>67.692307692307693</v>
      </c>
      <c r="E84" s="57"/>
      <c r="F84" s="57"/>
      <c r="G84" s="57"/>
      <c r="H84" s="57"/>
      <c r="I84" s="31"/>
      <c r="J84" s="33"/>
      <c r="K84" s="6"/>
    </row>
    <row r="85" spans="2:11" ht="15.75">
      <c r="B85" s="110"/>
      <c r="C85" s="31" t="s">
        <v>247</v>
      </c>
      <c r="D85" s="37">
        <f>D82/D41</f>
        <v>72.598525185567965</v>
      </c>
      <c r="E85" s="57"/>
      <c r="F85" s="57"/>
      <c r="G85" s="57"/>
      <c r="H85" s="57"/>
      <c r="I85" s="31"/>
      <c r="J85" s="33"/>
      <c r="K85" s="6"/>
    </row>
    <row r="86" spans="2:11" ht="15.75">
      <c r="B86" s="110"/>
      <c r="C86" s="31"/>
      <c r="D86" s="57"/>
      <c r="E86" s="57"/>
      <c r="F86" s="57"/>
      <c r="G86" s="57"/>
      <c r="H86" s="57"/>
      <c r="I86" s="31"/>
      <c r="J86" s="33"/>
      <c r="K86" s="6"/>
    </row>
    <row r="87" spans="2:11" ht="15.75">
      <c r="B87" s="110" t="s">
        <v>140</v>
      </c>
      <c r="C87" s="31" t="s">
        <v>248</v>
      </c>
      <c r="D87" s="32">
        <f>((D39*D40)+D80)/D40</f>
        <v>96.19933887628909</v>
      </c>
      <c r="E87" s="57"/>
      <c r="F87" s="57"/>
      <c r="G87" s="57"/>
      <c r="H87" s="57"/>
      <c r="I87" s="31"/>
      <c r="J87" s="33"/>
      <c r="K87" s="6"/>
    </row>
    <row r="88" spans="2:11" ht="15.75">
      <c r="B88" s="110"/>
      <c r="C88" s="31"/>
      <c r="D88" s="57"/>
      <c r="E88" s="57"/>
      <c r="F88" s="57"/>
      <c r="G88" s="57"/>
      <c r="H88" s="57"/>
      <c r="I88" s="31"/>
      <c r="J88" s="33"/>
      <c r="K88" s="6"/>
    </row>
    <row r="89" spans="2:11" ht="15.75">
      <c r="B89" s="110"/>
      <c r="C89" s="31" t="s">
        <v>249</v>
      </c>
      <c r="D89" s="186">
        <f>D47/D87</f>
        <v>0.71466187609055687</v>
      </c>
      <c r="E89" s="57"/>
      <c r="F89" s="57"/>
      <c r="G89" s="57"/>
      <c r="H89" s="57"/>
      <c r="I89" s="31"/>
      <c r="J89" s="33"/>
      <c r="K89" s="6"/>
    </row>
    <row r="90" spans="2:11" ht="15.75">
      <c r="B90" s="110"/>
      <c r="C90" s="31"/>
      <c r="D90" s="187"/>
      <c r="E90" s="57"/>
      <c r="F90" s="57"/>
      <c r="G90" s="57"/>
      <c r="H90" s="57"/>
      <c r="I90" s="31"/>
      <c r="J90" s="33"/>
      <c r="K90" s="6"/>
    </row>
    <row r="91" spans="2:11" ht="15.75">
      <c r="B91" s="110" t="s">
        <v>250</v>
      </c>
      <c r="C91" s="31" t="s">
        <v>251</v>
      </c>
      <c r="D91" s="186">
        <f>D47/D39</f>
        <v>0.7313829787234043</v>
      </c>
      <c r="E91" s="57"/>
      <c r="F91" s="57"/>
      <c r="G91" s="57"/>
      <c r="H91" s="57"/>
      <c r="I91" s="31"/>
      <c r="J91" s="33"/>
      <c r="K91" s="6"/>
    </row>
    <row r="92" spans="2:11" ht="15.75" thickBot="1">
      <c r="B92" s="38"/>
      <c r="C92" s="39"/>
      <c r="D92" s="39"/>
      <c r="E92" s="39"/>
      <c r="F92" s="39"/>
      <c r="G92" s="39"/>
      <c r="H92" s="39"/>
      <c r="I92" s="39"/>
      <c r="J92" s="40"/>
      <c r="K92" s="6"/>
    </row>
    <row r="93" spans="2:11">
      <c r="I93" s="6"/>
      <c r="J93" s="6"/>
      <c r="K93" s="6"/>
    </row>
    <row r="94" spans="2:11">
      <c r="I94" s="6"/>
      <c r="J94" s="6"/>
      <c r="K94" s="6"/>
    </row>
    <row r="95" spans="2:11">
      <c r="I95" s="6"/>
      <c r="J95" s="6"/>
      <c r="K95" s="6"/>
    </row>
    <row r="96" spans="2:11">
      <c r="I96" s="6"/>
      <c r="J96" s="6"/>
      <c r="K96" s="6"/>
    </row>
    <row r="97" spans="9:11">
      <c r="I97" s="6"/>
      <c r="J97" s="6"/>
      <c r="K97" s="6"/>
    </row>
    <row r="98" spans="9:11">
      <c r="I98" s="6"/>
      <c r="J98" s="6"/>
      <c r="K98" s="6"/>
    </row>
    <row r="99" spans="9:11">
      <c r="I99" s="6"/>
      <c r="J99" s="6"/>
      <c r="K99" s="6"/>
    </row>
    <row r="100" spans="9:11">
      <c r="I100" s="6"/>
      <c r="J100" s="6"/>
      <c r="K100" s="6"/>
    </row>
    <row r="101" spans="9:11">
      <c r="I101" s="6"/>
      <c r="J101" s="6"/>
      <c r="K101" s="6"/>
    </row>
    <row r="102" spans="9:11">
      <c r="I102" s="6"/>
      <c r="J102" s="6"/>
      <c r="K102" s="6"/>
    </row>
    <row r="103" spans="9:11">
      <c r="I103" s="6"/>
      <c r="J103" s="6"/>
      <c r="K103" s="6"/>
    </row>
    <row r="104" spans="9:11">
      <c r="I104" s="6"/>
      <c r="J104" s="6"/>
      <c r="K104" s="6"/>
    </row>
    <row r="105" spans="9:11">
      <c r="I105" s="6"/>
      <c r="J105" s="6"/>
      <c r="K105" s="6"/>
    </row>
    <row r="106" spans="9:11">
      <c r="I106" s="6"/>
      <c r="J106" s="6"/>
      <c r="K106" s="6"/>
    </row>
    <row r="107" spans="9:11">
      <c r="I107" s="6"/>
      <c r="J107" s="6"/>
      <c r="K107" s="6"/>
    </row>
    <row r="108" spans="9:11">
      <c r="I108" s="6"/>
      <c r="J108" s="6"/>
      <c r="K108" s="6"/>
    </row>
    <row r="109" spans="9:11">
      <c r="I109" s="6"/>
      <c r="J109" s="6"/>
      <c r="K109" s="6"/>
    </row>
    <row r="110" spans="9:11">
      <c r="I110" s="6"/>
      <c r="J110" s="6"/>
      <c r="K110" s="6"/>
    </row>
    <row r="111" spans="9:11">
      <c r="I111" s="6"/>
      <c r="J111" s="6"/>
      <c r="K111" s="6"/>
    </row>
    <row r="112" spans="9:11">
      <c r="I112" s="6"/>
      <c r="J112" s="6"/>
      <c r="K112" s="6"/>
    </row>
    <row r="113" spans="9:11">
      <c r="I113" s="6"/>
      <c r="J113" s="6"/>
      <c r="K113" s="6"/>
    </row>
    <row r="114" spans="9:11">
      <c r="I114" s="6"/>
      <c r="J114" s="6"/>
      <c r="K114" s="6"/>
    </row>
    <row r="115" spans="9:11">
      <c r="I115" s="6"/>
      <c r="J115" s="6"/>
      <c r="K115" s="6"/>
    </row>
    <row r="116" spans="9:11">
      <c r="I116" s="6"/>
      <c r="J116" s="6"/>
      <c r="K116" s="6"/>
    </row>
    <row r="117" spans="9:11">
      <c r="I117" s="6"/>
      <c r="J117" s="6"/>
      <c r="K117" s="6"/>
    </row>
    <row r="118" spans="9:11">
      <c r="I118" s="6"/>
      <c r="J118" s="6"/>
      <c r="K118" s="6"/>
    </row>
    <row r="119" spans="9:11">
      <c r="I119" s="6"/>
      <c r="J119" s="6"/>
      <c r="K119" s="6"/>
    </row>
    <row r="120" spans="9:11">
      <c r="I120" s="6"/>
      <c r="J120" s="6"/>
      <c r="K120" s="6"/>
    </row>
    <row r="121" spans="9:11">
      <c r="I121" s="6"/>
      <c r="J121" s="6"/>
      <c r="K121" s="6"/>
    </row>
    <row r="122" spans="9:11">
      <c r="I122" s="6"/>
      <c r="J122" s="6"/>
      <c r="K122" s="6"/>
    </row>
    <row r="123" spans="9:11">
      <c r="I123" s="6"/>
      <c r="J123" s="6"/>
      <c r="K123" s="6"/>
    </row>
    <row r="124" spans="9:11">
      <c r="I124" s="6"/>
      <c r="J124" s="6"/>
      <c r="K124" s="6"/>
    </row>
    <row r="125" spans="9:11">
      <c r="I125" s="6"/>
      <c r="J125" s="6"/>
      <c r="K125" s="6"/>
    </row>
    <row r="126" spans="9:11">
      <c r="I126" s="6"/>
      <c r="J126" s="6"/>
      <c r="K126" s="6"/>
    </row>
    <row r="127" spans="9:11">
      <c r="I127" s="6"/>
      <c r="J127" s="6"/>
      <c r="K127" s="6"/>
    </row>
    <row r="128" spans="9:11">
      <c r="I128" s="6"/>
      <c r="J128" s="6"/>
      <c r="K128" s="6"/>
    </row>
    <row r="129" spans="9:11">
      <c r="I129" s="6"/>
      <c r="J129" s="6"/>
      <c r="K129" s="6"/>
    </row>
    <row r="130" spans="9:11">
      <c r="I130" s="6"/>
      <c r="J130" s="6"/>
      <c r="K130" s="6"/>
    </row>
    <row r="131" spans="9:11">
      <c r="I131" s="6"/>
      <c r="J131" s="6"/>
      <c r="K131" s="6"/>
    </row>
    <row r="132" spans="9:11">
      <c r="I132" s="6"/>
      <c r="J132" s="6"/>
      <c r="K132" s="6"/>
    </row>
    <row r="133" spans="9:11">
      <c r="I133" s="6"/>
      <c r="J133" s="6"/>
      <c r="K133" s="6"/>
    </row>
    <row r="134" spans="9:11">
      <c r="I134" s="6"/>
      <c r="J134" s="6"/>
      <c r="K134" s="6"/>
    </row>
    <row r="135" spans="9:11">
      <c r="I135" s="6"/>
      <c r="J135" s="6"/>
      <c r="K135" s="6"/>
    </row>
    <row r="136" spans="9:11">
      <c r="I136" s="6"/>
      <c r="J136" s="6"/>
      <c r="K136" s="6"/>
    </row>
    <row r="137" spans="9:11">
      <c r="I137" s="6"/>
      <c r="J137" s="6"/>
      <c r="K137" s="6"/>
    </row>
    <row r="138" spans="9:11">
      <c r="I138" s="6"/>
      <c r="J138" s="6"/>
      <c r="K138" s="6"/>
    </row>
    <row r="139" spans="9:11">
      <c r="I139" s="6"/>
      <c r="J139" s="6"/>
      <c r="K139" s="6"/>
    </row>
    <row r="140" spans="9:11">
      <c r="I140" s="6"/>
      <c r="J140" s="6"/>
      <c r="K140" s="6"/>
    </row>
    <row r="141" spans="9:11">
      <c r="I141" s="6"/>
      <c r="J141" s="6"/>
      <c r="K141" s="6"/>
    </row>
    <row r="142" spans="9:11">
      <c r="I142" s="6"/>
      <c r="J142" s="6"/>
      <c r="K142" s="6"/>
    </row>
    <row r="143" spans="9:11">
      <c r="I143" s="6"/>
      <c r="J143" s="6"/>
      <c r="K143" s="6"/>
    </row>
    <row r="144" spans="9:11">
      <c r="I144" s="6"/>
      <c r="J144" s="6"/>
      <c r="K144" s="6"/>
    </row>
    <row r="145" spans="9:11">
      <c r="I145" s="6"/>
      <c r="J145" s="6"/>
      <c r="K145" s="6"/>
    </row>
    <row r="146" spans="9:11">
      <c r="I146" s="6"/>
      <c r="J146" s="6"/>
      <c r="K146" s="6"/>
    </row>
    <row r="147" spans="9:11">
      <c r="I147" s="6"/>
      <c r="J147" s="6"/>
      <c r="K147" s="6"/>
    </row>
    <row r="148" spans="9:11">
      <c r="I148" s="6"/>
      <c r="J148" s="6"/>
      <c r="K148" s="6"/>
    </row>
    <row r="149" spans="9:11">
      <c r="I149" s="6"/>
      <c r="J149" s="6"/>
      <c r="K149" s="6"/>
    </row>
    <row r="150" spans="9:11">
      <c r="I150" s="6"/>
      <c r="J150" s="6"/>
      <c r="K150" s="6"/>
    </row>
    <row r="151" spans="9:11">
      <c r="I151" s="6"/>
      <c r="J151" s="6"/>
      <c r="K151" s="6"/>
    </row>
    <row r="152" spans="9:11">
      <c r="I152" s="6"/>
      <c r="J152" s="6"/>
      <c r="K152" s="6"/>
    </row>
    <row r="153" spans="9:11">
      <c r="I153" s="6"/>
      <c r="J153" s="6"/>
      <c r="K153" s="6"/>
    </row>
    <row r="154" spans="9:11">
      <c r="I154" s="6"/>
      <c r="J154" s="6"/>
      <c r="K154" s="6"/>
    </row>
    <row r="155" spans="9:11">
      <c r="I155" s="6"/>
      <c r="J155" s="6"/>
      <c r="K155" s="6"/>
    </row>
    <row r="156" spans="9:11">
      <c r="I156" s="6"/>
      <c r="J156" s="6"/>
      <c r="K156" s="6"/>
    </row>
    <row r="157" spans="9:11">
      <c r="I157" s="6"/>
      <c r="J157" s="6"/>
      <c r="K157" s="6"/>
    </row>
    <row r="158" spans="9:11">
      <c r="I158" s="6"/>
      <c r="J158" s="6"/>
      <c r="K158" s="6"/>
    </row>
    <row r="159" spans="9:11">
      <c r="I159" s="6"/>
      <c r="J159" s="6"/>
      <c r="K159" s="6"/>
    </row>
    <row r="160" spans="9:11">
      <c r="I160" s="6"/>
      <c r="J160" s="6"/>
      <c r="K160" s="6"/>
    </row>
    <row r="161" spans="9:11">
      <c r="I161" s="6"/>
      <c r="J161" s="6"/>
      <c r="K161" s="6"/>
    </row>
    <row r="162" spans="9:11">
      <c r="I162" s="6"/>
      <c r="J162" s="6"/>
      <c r="K162" s="6"/>
    </row>
    <row r="163" spans="9:11">
      <c r="I163" s="6"/>
      <c r="J163" s="6"/>
      <c r="K163" s="6"/>
    </row>
    <row r="164" spans="9:11">
      <c r="I164" s="6"/>
      <c r="J164" s="6"/>
      <c r="K164" s="6"/>
    </row>
    <row r="165" spans="9:11">
      <c r="I165" s="6"/>
      <c r="J165" s="6"/>
      <c r="K165" s="6"/>
    </row>
    <row r="166" spans="9:11">
      <c r="I166" s="6"/>
      <c r="J166" s="6"/>
      <c r="K166" s="6"/>
    </row>
    <row r="167" spans="9:11">
      <c r="I167" s="6"/>
      <c r="J167" s="6"/>
      <c r="K167" s="6"/>
    </row>
    <row r="168" spans="9:11">
      <c r="I168" s="6"/>
      <c r="J168" s="6"/>
      <c r="K168" s="6"/>
    </row>
    <row r="169" spans="9:11">
      <c r="I169" s="6"/>
      <c r="J169" s="6"/>
      <c r="K169" s="6"/>
    </row>
    <row r="170" spans="9:11">
      <c r="I170" s="6"/>
      <c r="J170" s="6"/>
      <c r="K170" s="6"/>
    </row>
    <row r="171" spans="9:11">
      <c r="I171" s="6"/>
      <c r="J171" s="6"/>
      <c r="K171" s="6"/>
    </row>
    <row r="172" spans="9:11">
      <c r="I172" s="6"/>
      <c r="J172" s="6"/>
      <c r="K172" s="6"/>
    </row>
    <row r="173" spans="9:11">
      <c r="I173" s="6"/>
      <c r="J173" s="6"/>
      <c r="K173" s="6"/>
    </row>
    <row r="174" spans="9:11">
      <c r="I174" s="6"/>
      <c r="J174" s="6"/>
      <c r="K174" s="6"/>
    </row>
    <row r="175" spans="9:11">
      <c r="I175" s="6"/>
      <c r="J175" s="6"/>
      <c r="K175" s="6"/>
    </row>
    <row r="176" spans="9:11">
      <c r="I176" s="6"/>
      <c r="J176" s="6"/>
      <c r="K176" s="6"/>
    </row>
    <row r="177" spans="9:11">
      <c r="I177" s="6"/>
      <c r="J177" s="6"/>
      <c r="K177" s="6"/>
    </row>
    <row r="178" spans="9:11">
      <c r="I178" s="6"/>
      <c r="J178" s="6"/>
      <c r="K178" s="6"/>
    </row>
    <row r="179" spans="9:11">
      <c r="I179" s="6"/>
      <c r="J179" s="6"/>
      <c r="K179" s="6"/>
    </row>
    <row r="180" spans="9:11">
      <c r="I180" s="6"/>
      <c r="J180" s="6"/>
      <c r="K180" s="6"/>
    </row>
    <row r="181" spans="9:11">
      <c r="I181" s="6"/>
      <c r="J181" s="6"/>
      <c r="K181" s="6"/>
    </row>
    <row r="182" spans="9:11">
      <c r="I182" s="6"/>
      <c r="J182" s="6"/>
      <c r="K182" s="6"/>
    </row>
    <row r="183" spans="9:11">
      <c r="I183" s="6"/>
      <c r="J183" s="6"/>
      <c r="K183" s="6"/>
    </row>
    <row r="184" spans="9:11">
      <c r="I184" s="6"/>
      <c r="J184" s="6"/>
      <c r="K184" s="6"/>
    </row>
    <row r="185" spans="9:11">
      <c r="I185" s="6"/>
      <c r="J185" s="6"/>
      <c r="K185" s="6"/>
    </row>
    <row r="186" spans="9:11">
      <c r="I186" s="6"/>
      <c r="J186" s="6"/>
      <c r="K186" s="6"/>
    </row>
    <row r="187" spans="9:11">
      <c r="I187" s="6"/>
      <c r="J187" s="6"/>
      <c r="K187" s="6"/>
    </row>
    <row r="188" spans="9:11">
      <c r="I188" s="6"/>
      <c r="J188" s="6"/>
      <c r="K188" s="6"/>
    </row>
    <row r="189" spans="9:11">
      <c r="I189" s="6"/>
      <c r="J189" s="6"/>
      <c r="K189" s="6"/>
    </row>
    <row r="190" spans="9:11">
      <c r="I190" s="6"/>
      <c r="J190" s="6"/>
      <c r="K190" s="6"/>
    </row>
    <row r="191" spans="9:11">
      <c r="I191" s="6"/>
      <c r="J191" s="6"/>
      <c r="K191" s="6"/>
    </row>
    <row r="192" spans="9:11">
      <c r="I192" s="6"/>
      <c r="J192" s="6"/>
      <c r="K192" s="6"/>
    </row>
    <row r="193" spans="9:11">
      <c r="I193" s="6"/>
      <c r="J193" s="6"/>
      <c r="K193" s="6"/>
    </row>
    <row r="194" spans="9:11">
      <c r="I194" s="6"/>
      <c r="J194" s="6"/>
      <c r="K194" s="6"/>
    </row>
    <row r="195" spans="9:11">
      <c r="I195" s="6"/>
      <c r="J195" s="6"/>
      <c r="K195" s="6"/>
    </row>
    <row r="196" spans="9:11">
      <c r="I196" s="6"/>
      <c r="J196" s="6"/>
      <c r="K196" s="6"/>
    </row>
    <row r="197" spans="9:11">
      <c r="I197" s="6"/>
      <c r="J197" s="6"/>
      <c r="K197" s="6"/>
    </row>
    <row r="198" spans="9:11">
      <c r="I198" s="6"/>
      <c r="J198" s="6"/>
      <c r="K198" s="6"/>
    </row>
    <row r="199" spans="9:11">
      <c r="I199" s="6"/>
      <c r="J199" s="6"/>
      <c r="K199" s="6"/>
    </row>
    <row r="200" spans="9:11">
      <c r="I200" s="6"/>
      <c r="J200" s="6"/>
      <c r="K200" s="6"/>
    </row>
    <row r="201" spans="9:11">
      <c r="I201" s="6"/>
      <c r="J201" s="6"/>
      <c r="K201" s="6"/>
    </row>
    <row r="202" spans="9:11">
      <c r="I202" s="6"/>
      <c r="J202" s="6"/>
      <c r="K202" s="6"/>
    </row>
    <row r="203" spans="9:11">
      <c r="I203" s="6"/>
      <c r="J203" s="6"/>
      <c r="K203" s="6"/>
    </row>
    <row r="204" spans="9:11">
      <c r="I204" s="6"/>
      <c r="J204" s="6"/>
      <c r="K204" s="6"/>
    </row>
    <row r="205" spans="9:11">
      <c r="I205" s="6"/>
      <c r="J205" s="6"/>
      <c r="K205" s="6"/>
    </row>
    <row r="206" spans="9:11">
      <c r="I206" s="6"/>
      <c r="J206" s="6"/>
      <c r="K206" s="6"/>
    </row>
    <row r="207" spans="9:11">
      <c r="I207" s="6"/>
      <c r="J207" s="6"/>
      <c r="K207" s="6"/>
    </row>
    <row r="208" spans="9:11">
      <c r="I208" s="6"/>
      <c r="J208" s="6"/>
      <c r="K208" s="6"/>
    </row>
    <row r="209" spans="9:11">
      <c r="I209" s="6"/>
      <c r="J209" s="6"/>
      <c r="K209" s="6"/>
    </row>
    <row r="210" spans="9:11">
      <c r="I210" s="6"/>
      <c r="J210" s="6"/>
      <c r="K210" s="6"/>
    </row>
    <row r="211" spans="9:11">
      <c r="I211" s="6"/>
      <c r="J211" s="6"/>
      <c r="K211" s="6"/>
    </row>
    <row r="212" spans="9:11">
      <c r="I212" s="6"/>
      <c r="J212" s="6"/>
      <c r="K212" s="6"/>
    </row>
    <row r="213" spans="9:11">
      <c r="I213" s="6"/>
      <c r="J213" s="6"/>
      <c r="K213" s="6"/>
    </row>
    <row r="214" spans="9:11">
      <c r="I214" s="6"/>
      <c r="J214" s="6"/>
      <c r="K214" s="6"/>
    </row>
    <row r="215" spans="9:11">
      <c r="I215" s="6"/>
      <c r="J215" s="6"/>
      <c r="K215" s="6"/>
    </row>
    <row r="216" spans="9:11">
      <c r="I216" s="6"/>
      <c r="J216" s="6"/>
      <c r="K216" s="6"/>
    </row>
    <row r="217" spans="9:11">
      <c r="I217" s="6"/>
      <c r="J217" s="6"/>
      <c r="K217" s="6"/>
    </row>
    <row r="218" spans="9:11">
      <c r="I218" s="6"/>
      <c r="J218" s="6"/>
      <c r="K218" s="6"/>
    </row>
    <row r="219" spans="9:11">
      <c r="I219" s="6"/>
      <c r="J219" s="6"/>
      <c r="K219" s="6"/>
    </row>
    <row r="220" spans="9:11">
      <c r="I220" s="6"/>
      <c r="J220" s="6"/>
      <c r="K220" s="6"/>
    </row>
    <row r="221" spans="9:11">
      <c r="I221" s="6"/>
      <c r="J221" s="6"/>
      <c r="K221" s="6"/>
    </row>
    <row r="222" spans="9:11">
      <c r="I222" s="6"/>
      <c r="J222" s="6"/>
      <c r="K222" s="6"/>
    </row>
    <row r="223" spans="9:11">
      <c r="I223" s="6"/>
      <c r="J223" s="6"/>
      <c r="K223" s="6"/>
    </row>
    <row r="224" spans="9:11">
      <c r="I224" s="6"/>
      <c r="J224" s="6"/>
      <c r="K224" s="6"/>
    </row>
    <row r="225" spans="9:11">
      <c r="I225" s="6"/>
      <c r="J225" s="6"/>
      <c r="K225" s="6"/>
    </row>
    <row r="226" spans="9:11">
      <c r="I226" s="6"/>
      <c r="J226" s="6"/>
      <c r="K226" s="6"/>
    </row>
    <row r="227" spans="9:11">
      <c r="I227" s="6"/>
      <c r="J227" s="6"/>
      <c r="K227" s="6"/>
    </row>
    <row r="228" spans="9:11">
      <c r="I228" s="6"/>
      <c r="J228" s="6"/>
      <c r="K228" s="6"/>
    </row>
    <row r="229" spans="9:11">
      <c r="I229" s="6"/>
      <c r="J229" s="6"/>
      <c r="K229" s="6"/>
    </row>
    <row r="230" spans="9:11">
      <c r="I230" s="6"/>
      <c r="J230" s="6"/>
      <c r="K230" s="6"/>
    </row>
    <row r="231" spans="9:11">
      <c r="I231" s="6"/>
      <c r="J231" s="6"/>
      <c r="K231" s="6"/>
    </row>
    <row r="232" spans="9:11">
      <c r="I232" s="6"/>
      <c r="J232" s="6"/>
      <c r="K232" s="6"/>
    </row>
    <row r="233" spans="9:11">
      <c r="I233" s="6"/>
      <c r="J233" s="6"/>
      <c r="K233" s="6"/>
    </row>
    <row r="234" spans="9:11">
      <c r="I234" s="6"/>
      <c r="J234" s="6"/>
      <c r="K234" s="6"/>
    </row>
    <row r="235" spans="9:11">
      <c r="I235" s="6"/>
      <c r="J235" s="6"/>
      <c r="K235" s="6"/>
    </row>
    <row r="236" spans="9:11">
      <c r="I236" s="6"/>
      <c r="J236" s="6"/>
      <c r="K236" s="6"/>
    </row>
    <row r="237" spans="9:11">
      <c r="I237" s="6"/>
      <c r="J237" s="6"/>
      <c r="K237" s="6"/>
    </row>
    <row r="238" spans="9:11">
      <c r="I238" s="6"/>
      <c r="J238" s="6"/>
      <c r="K238" s="6"/>
    </row>
    <row r="239" spans="9:11">
      <c r="I239" s="6"/>
      <c r="J239" s="6"/>
      <c r="K239" s="6"/>
    </row>
    <row r="240" spans="9:11">
      <c r="I240" s="6"/>
      <c r="J240" s="6"/>
      <c r="K240" s="6"/>
    </row>
    <row r="241" spans="9:11">
      <c r="I241" s="6"/>
      <c r="J241" s="6"/>
      <c r="K241" s="6"/>
    </row>
    <row r="242" spans="9:11">
      <c r="I242" s="6"/>
      <c r="J242" s="6"/>
      <c r="K242" s="6"/>
    </row>
    <row r="243" spans="9:11">
      <c r="I243" s="6"/>
      <c r="J243" s="6"/>
      <c r="K243" s="6"/>
    </row>
    <row r="244" spans="9:11">
      <c r="I244" s="6"/>
      <c r="J244" s="6"/>
      <c r="K244" s="6"/>
    </row>
    <row r="245" spans="9:11">
      <c r="I245" s="6"/>
      <c r="J245" s="6"/>
      <c r="K245" s="6"/>
    </row>
    <row r="246" spans="9:11">
      <c r="I246" s="6"/>
      <c r="J246" s="6"/>
      <c r="K246" s="6"/>
    </row>
    <row r="247" spans="9:11">
      <c r="I247" s="6"/>
      <c r="J247" s="6"/>
      <c r="K247" s="6"/>
    </row>
    <row r="248" spans="9:11">
      <c r="I248" s="6"/>
      <c r="J248" s="6"/>
      <c r="K248" s="6"/>
    </row>
    <row r="249" spans="9:11">
      <c r="I249" s="6"/>
      <c r="J249" s="6"/>
      <c r="K249" s="6"/>
    </row>
    <row r="250" spans="9:11">
      <c r="I250" s="6"/>
      <c r="J250" s="6"/>
      <c r="K250" s="6"/>
    </row>
    <row r="251" spans="9:11">
      <c r="I251" s="6"/>
      <c r="J251" s="6"/>
      <c r="K251" s="6"/>
    </row>
    <row r="252" spans="9:11">
      <c r="I252" s="6"/>
      <c r="J252" s="6"/>
      <c r="K252" s="6"/>
    </row>
    <row r="253" spans="9:11">
      <c r="I253" s="6"/>
      <c r="J253" s="6"/>
      <c r="K253" s="6"/>
    </row>
    <row r="254" spans="9:11">
      <c r="I254" s="6"/>
      <c r="J254" s="6"/>
      <c r="K254" s="6"/>
    </row>
    <row r="255" spans="9:11">
      <c r="I255" s="6"/>
      <c r="J255" s="6"/>
      <c r="K255" s="6"/>
    </row>
    <row r="256" spans="9:11">
      <c r="I256" s="6"/>
      <c r="J256" s="6"/>
      <c r="K256" s="6"/>
    </row>
    <row r="257" spans="9:11">
      <c r="I257" s="6"/>
      <c r="J257" s="6"/>
      <c r="K257" s="6"/>
    </row>
    <row r="258" spans="9:11">
      <c r="I258" s="6"/>
      <c r="J258" s="6"/>
      <c r="K258" s="6"/>
    </row>
    <row r="259" spans="9:11">
      <c r="I259" s="6"/>
      <c r="J259" s="6"/>
      <c r="K259" s="6"/>
    </row>
    <row r="260" spans="9:11">
      <c r="I260" s="6"/>
      <c r="J260" s="6"/>
      <c r="K260" s="6"/>
    </row>
    <row r="261" spans="9:11">
      <c r="I261" s="6"/>
      <c r="J261" s="6"/>
      <c r="K261" s="6"/>
    </row>
    <row r="262" spans="9:11">
      <c r="I262" s="6"/>
      <c r="J262" s="6"/>
      <c r="K262" s="6"/>
    </row>
    <row r="263" spans="9:11">
      <c r="I263" s="6"/>
      <c r="J263" s="6"/>
      <c r="K263" s="6"/>
    </row>
    <row r="264" spans="9:11">
      <c r="I264" s="6"/>
      <c r="J264" s="6"/>
      <c r="K264" s="6"/>
    </row>
    <row r="265" spans="9:11">
      <c r="I265" s="6"/>
      <c r="J265" s="6"/>
      <c r="K265" s="6"/>
    </row>
    <row r="266" spans="9:11">
      <c r="I266" s="6"/>
      <c r="J266" s="6"/>
      <c r="K266" s="6"/>
    </row>
    <row r="267" spans="9:11">
      <c r="I267" s="6"/>
      <c r="J267" s="6"/>
      <c r="K267" s="6"/>
    </row>
    <row r="268" spans="9:11">
      <c r="I268" s="6"/>
      <c r="J268" s="6"/>
      <c r="K268" s="6"/>
    </row>
    <row r="269" spans="9:11">
      <c r="I269" s="6"/>
      <c r="J269" s="6"/>
      <c r="K269" s="6"/>
    </row>
    <row r="270" spans="9:11">
      <c r="I270" s="6"/>
      <c r="J270" s="6"/>
      <c r="K270" s="6"/>
    </row>
    <row r="271" spans="9:11">
      <c r="I271" s="6"/>
      <c r="J271" s="6"/>
      <c r="K271" s="6"/>
    </row>
    <row r="272" spans="9:11">
      <c r="I272" s="6"/>
      <c r="J272" s="6"/>
      <c r="K272" s="6"/>
    </row>
    <row r="273" spans="9:11">
      <c r="I273" s="6"/>
      <c r="J273" s="6"/>
      <c r="K273" s="6"/>
    </row>
    <row r="274" spans="9:11">
      <c r="I274" s="6"/>
      <c r="J274" s="6"/>
      <c r="K274" s="6"/>
    </row>
    <row r="275" spans="9:11">
      <c r="I275" s="6"/>
      <c r="J275" s="6"/>
      <c r="K275" s="6"/>
    </row>
    <row r="276" spans="9:11">
      <c r="I276" s="6"/>
      <c r="J276" s="6"/>
      <c r="K276" s="6"/>
    </row>
    <row r="277" spans="9:11">
      <c r="I277" s="6"/>
      <c r="J277" s="6"/>
      <c r="K277" s="6"/>
    </row>
    <row r="278" spans="9:11">
      <c r="I278" s="6"/>
      <c r="J278" s="6"/>
      <c r="K278" s="6"/>
    </row>
    <row r="279" spans="9:11">
      <c r="I279" s="6"/>
      <c r="J279" s="6"/>
      <c r="K279" s="6"/>
    </row>
    <row r="280" spans="9:11">
      <c r="I280" s="6"/>
      <c r="J280" s="6"/>
      <c r="K280" s="6"/>
    </row>
    <row r="281" spans="9:11">
      <c r="I281" s="6"/>
      <c r="J281" s="6"/>
      <c r="K281" s="6"/>
    </row>
    <row r="282" spans="9:11">
      <c r="I282" s="6"/>
      <c r="J282" s="6"/>
      <c r="K282" s="6"/>
    </row>
    <row r="283" spans="9:11">
      <c r="I283" s="6"/>
      <c r="J283" s="6"/>
      <c r="K283" s="6"/>
    </row>
    <row r="284" spans="9:11">
      <c r="I284" s="6"/>
      <c r="J284" s="6"/>
      <c r="K284" s="6"/>
    </row>
    <row r="285" spans="9:11">
      <c r="I285" s="6"/>
      <c r="J285" s="6"/>
      <c r="K285" s="6"/>
    </row>
    <row r="286" spans="9:11">
      <c r="I286" s="6"/>
      <c r="J286" s="6"/>
      <c r="K286" s="6"/>
    </row>
    <row r="287" spans="9:11">
      <c r="I287" s="6"/>
      <c r="J287" s="6"/>
      <c r="K287" s="6"/>
    </row>
    <row r="288" spans="9:11">
      <c r="I288" s="6"/>
      <c r="J288" s="6"/>
      <c r="K288" s="6"/>
    </row>
    <row r="289" spans="9:11">
      <c r="I289" s="6"/>
      <c r="J289" s="6"/>
      <c r="K289" s="6"/>
    </row>
    <row r="290" spans="9:11">
      <c r="I290" s="6"/>
      <c r="J290" s="6"/>
      <c r="K290" s="6"/>
    </row>
    <row r="291" spans="9:11">
      <c r="I291" s="6"/>
      <c r="J291" s="6"/>
      <c r="K291" s="6"/>
    </row>
    <row r="292" spans="9:11">
      <c r="I292" s="6"/>
      <c r="J292" s="6"/>
      <c r="K292" s="6"/>
    </row>
    <row r="293" spans="9:11">
      <c r="I293" s="6"/>
      <c r="J293" s="6"/>
      <c r="K293" s="6"/>
    </row>
    <row r="294" spans="9:11">
      <c r="I294" s="6"/>
      <c r="J294" s="6"/>
      <c r="K294" s="6"/>
    </row>
    <row r="295" spans="9:11">
      <c r="I295" s="6"/>
      <c r="J295" s="6"/>
      <c r="K295" s="6"/>
    </row>
    <row r="296" spans="9:11">
      <c r="I296" s="6"/>
      <c r="J296" s="6"/>
      <c r="K296" s="6"/>
    </row>
    <row r="297" spans="9:11">
      <c r="I297" s="6"/>
      <c r="J297" s="6"/>
      <c r="K297" s="6"/>
    </row>
    <row r="298" spans="9:11">
      <c r="I298" s="6"/>
      <c r="J298" s="6"/>
      <c r="K298" s="6"/>
    </row>
    <row r="299" spans="9:11">
      <c r="I299" s="6"/>
      <c r="J299" s="6"/>
      <c r="K299" s="6"/>
    </row>
    <row r="300" spans="9:11">
      <c r="I300" s="6"/>
      <c r="J300" s="6"/>
      <c r="K300" s="6"/>
    </row>
    <row r="301" spans="9:11">
      <c r="I301" s="6"/>
      <c r="J301" s="6"/>
      <c r="K301" s="6"/>
    </row>
    <row r="302" spans="9:11">
      <c r="I302" s="6"/>
      <c r="J302" s="6"/>
      <c r="K302" s="6"/>
    </row>
    <row r="303" spans="9:11">
      <c r="I303" s="6"/>
      <c r="J303" s="6"/>
      <c r="K303" s="6"/>
    </row>
    <row r="304" spans="9:11">
      <c r="I304" s="6"/>
      <c r="J304" s="6"/>
      <c r="K304" s="6"/>
    </row>
    <row r="305" spans="9:11">
      <c r="I305" s="6"/>
      <c r="J305" s="6"/>
      <c r="K305" s="6"/>
    </row>
    <row r="306" spans="9:11">
      <c r="I306" s="6"/>
      <c r="J306" s="6"/>
      <c r="K306" s="6"/>
    </row>
    <row r="307" spans="9:11">
      <c r="I307" s="6"/>
      <c r="J307" s="6"/>
      <c r="K307" s="6"/>
    </row>
    <row r="308" spans="9:11">
      <c r="I308" s="6"/>
      <c r="J308" s="6"/>
      <c r="K308" s="6"/>
    </row>
    <row r="309" spans="9:11">
      <c r="I309" s="6"/>
      <c r="J309" s="6"/>
      <c r="K309" s="6"/>
    </row>
    <row r="310" spans="9:11">
      <c r="I310" s="6"/>
      <c r="J310" s="6"/>
      <c r="K310" s="6"/>
    </row>
    <row r="311" spans="9:11">
      <c r="I311" s="6"/>
      <c r="J311" s="6"/>
      <c r="K311" s="6"/>
    </row>
    <row r="312" spans="9:11">
      <c r="I312" s="6"/>
      <c r="J312" s="6"/>
      <c r="K312" s="6"/>
    </row>
    <row r="313" spans="9:11">
      <c r="I313" s="6"/>
      <c r="J313" s="6"/>
      <c r="K313" s="6"/>
    </row>
    <row r="314" spans="9:11">
      <c r="I314" s="6"/>
      <c r="J314" s="6"/>
      <c r="K314" s="6"/>
    </row>
    <row r="315" spans="9:11">
      <c r="I315" s="6"/>
      <c r="J315" s="6"/>
      <c r="K315" s="6"/>
    </row>
    <row r="316" spans="9:11">
      <c r="I316" s="6"/>
      <c r="J316" s="6"/>
      <c r="K316" s="6"/>
    </row>
    <row r="317" spans="9:11">
      <c r="I317" s="6"/>
      <c r="J317" s="6"/>
      <c r="K317" s="6"/>
    </row>
    <row r="318" spans="9:11">
      <c r="I318" s="6"/>
      <c r="J318" s="6"/>
      <c r="K318" s="6"/>
    </row>
    <row r="319" spans="9:11">
      <c r="I319" s="6"/>
      <c r="J319" s="6"/>
      <c r="K319" s="6"/>
    </row>
    <row r="320" spans="9:11">
      <c r="I320" s="6"/>
      <c r="J320" s="6"/>
      <c r="K320" s="6"/>
    </row>
    <row r="321" spans="9:11">
      <c r="I321" s="6"/>
      <c r="J321" s="6"/>
      <c r="K321" s="6"/>
    </row>
    <row r="322" spans="9:11">
      <c r="I322" s="6"/>
      <c r="J322" s="6"/>
      <c r="K322" s="6"/>
    </row>
    <row r="323" spans="9:11">
      <c r="I323" s="6"/>
      <c r="J323" s="6"/>
      <c r="K323" s="6"/>
    </row>
    <row r="324" spans="9:11">
      <c r="I324" s="6"/>
      <c r="J324" s="6"/>
      <c r="K324" s="6"/>
    </row>
    <row r="325" spans="9:11">
      <c r="I325" s="6"/>
      <c r="J325" s="6"/>
      <c r="K325" s="6"/>
    </row>
    <row r="326" spans="9:11">
      <c r="I326" s="6"/>
      <c r="J326" s="6"/>
      <c r="K326" s="6"/>
    </row>
    <row r="327" spans="9:11">
      <c r="I327" s="6"/>
      <c r="J327" s="6"/>
      <c r="K327" s="6"/>
    </row>
    <row r="328" spans="9:11">
      <c r="I328" s="6"/>
      <c r="J328" s="6"/>
      <c r="K328" s="6"/>
    </row>
    <row r="329" spans="9:11">
      <c r="I329" s="6"/>
      <c r="J329" s="6"/>
      <c r="K329" s="6"/>
    </row>
    <row r="330" spans="9:11">
      <c r="I330" s="6"/>
      <c r="J330" s="6"/>
      <c r="K330" s="6"/>
    </row>
    <row r="331" spans="9:11">
      <c r="I331" s="6"/>
      <c r="J331" s="6"/>
      <c r="K331" s="6"/>
    </row>
    <row r="332" spans="9:11">
      <c r="I332" s="6"/>
      <c r="J332" s="6"/>
      <c r="K332" s="6"/>
    </row>
    <row r="333" spans="9:11">
      <c r="I333" s="6"/>
      <c r="J333" s="6"/>
      <c r="K333" s="6"/>
    </row>
    <row r="334" spans="9:11">
      <c r="I334" s="6"/>
      <c r="J334" s="6"/>
      <c r="K334" s="6"/>
    </row>
    <row r="335" spans="9:11">
      <c r="I335" s="6"/>
      <c r="J335" s="6"/>
      <c r="K335" s="6"/>
    </row>
    <row r="336" spans="9:11">
      <c r="I336" s="6"/>
      <c r="J336" s="6"/>
      <c r="K336" s="6"/>
    </row>
    <row r="337" spans="9:11">
      <c r="I337" s="6"/>
      <c r="J337" s="6"/>
      <c r="K337" s="6"/>
    </row>
    <row r="338" spans="9:11">
      <c r="I338" s="6"/>
      <c r="J338" s="6"/>
      <c r="K338" s="6"/>
    </row>
    <row r="339" spans="9:11">
      <c r="I339" s="6"/>
      <c r="J339" s="6"/>
      <c r="K339" s="6"/>
    </row>
    <row r="340" spans="9:11">
      <c r="I340" s="6"/>
      <c r="J340" s="6"/>
      <c r="K340" s="6"/>
    </row>
    <row r="341" spans="9:11">
      <c r="I341" s="6"/>
      <c r="J341" s="6"/>
      <c r="K341" s="6"/>
    </row>
    <row r="342" spans="9:11">
      <c r="I342" s="6"/>
      <c r="J342" s="6"/>
      <c r="K342" s="6"/>
    </row>
    <row r="343" spans="9:11">
      <c r="I343" s="6"/>
      <c r="J343" s="6"/>
      <c r="K343" s="6"/>
    </row>
    <row r="344" spans="9:11">
      <c r="I344" s="6"/>
      <c r="J344" s="6"/>
      <c r="K344" s="6"/>
    </row>
    <row r="345" spans="9:11">
      <c r="I345" s="6"/>
      <c r="J345" s="6"/>
      <c r="K345" s="6"/>
    </row>
    <row r="346" spans="9:11">
      <c r="I346" s="6"/>
      <c r="J346" s="6"/>
      <c r="K346" s="6"/>
    </row>
    <row r="347" spans="9:11">
      <c r="I347" s="6"/>
      <c r="J347" s="6"/>
      <c r="K347" s="6"/>
    </row>
    <row r="348" spans="9:11">
      <c r="I348" s="6"/>
      <c r="J348" s="6"/>
      <c r="K348" s="6"/>
    </row>
    <row r="349" spans="9:11">
      <c r="I349" s="6"/>
      <c r="J349" s="6"/>
      <c r="K349" s="6"/>
    </row>
    <row r="350" spans="9:11">
      <c r="I350" s="6"/>
      <c r="J350" s="6"/>
      <c r="K350" s="6"/>
    </row>
    <row r="351" spans="9:11">
      <c r="I351" s="6"/>
      <c r="J351" s="6"/>
      <c r="K351" s="6"/>
    </row>
    <row r="352" spans="9:11">
      <c r="I352" s="6"/>
      <c r="J352" s="6"/>
      <c r="K352" s="6"/>
    </row>
    <row r="353" spans="9:11">
      <c r="I353" s="6"/>
      <c r="J353" s="6"/>
      <c r="K353" s="6"/>
    </row>
    <row r="354" spans="9:11">
      <c r="I354" s="6"/>
      <c r="J354" s="6"/>
      <c r="K354" s="6"/>
    </row>
    <row r="355" spans="9:11">
      <c r="I355" s="6"/>
      <c r="J355" s="6"/>
      <c r="K355" s="6"/>
    </row>
    <row r="356" spans="9:11">
      <c r="I356" s="6"/>
      <c r="J356" s="6"/>
      <c r="K356" s="6"/>
    </row>
    <row r="357" spans="9:11">
      <c r="I357" s="6"/>
      <c r="J357" s="6"/>
      <c r="K357" s="6"/>
    </row>
    <row r="358" spans="9:11">
      <c r="I358" s="6"/>
      <c r="J358" s="6"/>
      <c r="K358" s="6"/>
    </row>
    <row r="359" spans="9:11">
      <c r="I359" s="6"/>
      <c r="J359" s="6"/>
      <c r="K359" s="6"/>
    </row>
    <row r="360" spans="9:11">
      <c r="I360" s="6"/>
      <c r="J360" s="6"/>
      <c r="K360" s="6"/>
    </row>
    <row r="361" spans="9:11">
      <c r="I361" s="6"/>
      <c r="J361" s="6"/>
      <c r="K361" s="6"/>
    </row>
    <row r="362" spans="9:11">
      <c r="I362" s="6"/>
      <c r="J362" s="6"/>
      <c r="K362" s="6"/>
    </row>
    <row r="363" spans="9:11">
      <c r="I363" s="6"/>
      <c r="J363" s="6"/>
      <c r="K363" s="6"/>
    </row>
    <row r="364" spans="9:11">
      <c r="I364" s="6"/>
      <c r="J364" s="6"/>
      <c r="K364" s="6"/>
    </row>
    <row r="365" spans="9:11">
      <c r="I365" s="6"/>
      <c r="J365" s="6"/>
      <c r="K365" s="6"/>
    </row>
    <row r="366" spans="9:11">
      <c r="I366" s="6"/>
      <c r="J366" s="6"/>
      <c r="K366" s="6"/>
    </row>
    <row r="367" spans="9:11">
      <c r="I367" s="6"/>
      <c r="J367" s="6"/>
      <c r="K367" s="6"/>
    </row>
    <row r="368" spans="9:11">
      <c r="I368" s="6"/>
      <c r="J368" s="6"/>
      <c r="K368" s="6"/>
    </row>
    <row r="369" spans="9:11">
      <c r="I369" s="6"/>
      <c r="J369" s="6"/>
      <c r="K369" s="6"/>
    </row>
    <row r="370" spans="9:11">
      <c r="I370" s="6"/>
      <c r="J370" s="6"/>
      <c r="K370" s="6"/>
    </row>
    <row r="371" spans="9:11">
      <c r="I371" s="6"/>
      <c r="J371" s="6"/>
      <c r="K371" s="6"/>
    </row>
    <row r="372" spans="9:11">
      <c r="I372" s="6"/>
      <c r="J372" s="6"/>
      <c r="K372" s="6"/>
    </row>
    <row r="373" spans="9:11">
      <c r="I373" s="6"/>
      <c r="J373" s="6"/>
      <c r="K373" s="6"/>
    </row>
    <row r="374" spans="9:11">
      <c r="I374" s="6"/>
      <c r="J374" s="6"/>
      <c r="K374" s="6"/>
    </row>
    <row r="375" spans="9:11">
      <c r="I375" s="6"/>
      <c r="J375" s="6"/>
      <c r="K375" s="6"/>
    </row>
    <row r="376" spans="9:11">
      <c r="I376" s="6"/>
      <c r="J376" s="6"/>
      <c r="K376" s="6"/>
    </row>
    <row r="377" spans="9:11">
      <c r="I377" s="6"/>
      <c r="J377" s="6"/>
      <c r="K377" s="6"/>
    </row>
    <row r="378" spans="9:11">
      <c r="I378" s="6"/>
      <c r="J378" s="6"/>
      <c r="K378" s="6"/>
    </row>
    <row r="379" spans="9:11">
      <c r="I379" s="6"/>
      <c r="J379" s="6"/>
      <c r="K379" s="6"/>
    </row>
    <row r="380" spans="9:11">
      <c r="I380" s="6"/>
      <c r="J380" s="6"/>
      <c r="K380" s="6"/>
    </row>
    <row r="381" spans="9:11">
      <c r="I381" s="6"/>
      <c r="J381" s="6"/>
      <c r="K381" s="6"/>
    </row>
    <row r="382" spans="9:11">
      <c r="I382" s="6"/>
      <c r="J382" s="6"/>
      <c r="K382" s="6"/>
    </row>
    <row r="383" spans="9:11">
      <c r="I383" s="6"/>
      <c r="J383" s="6"/>
      <c r="K383" s="6"/>
    </row>
    <row r="384" spans="9:11">
      <c r="I384" s="6"/>
      <c r="J384" s="6"/>
      <c r="K384" s="6"/>
    </row>
    <row r="385" spans="9:11">
      <c r="I385" s="6"/>
      <c r="J385" s="6"/>
      <c r="K385" s="6"/>
    </row>
    <row r="386" spans="9:11">
      <c r="I386" s="6"/>
      <c r="J386" s="6"/>
      <c r="K386" s="6"/>
    </row>
    <row r="387" spans="9:11">
      <c r="I387" s="6"/>
      <c r="J387" s="6"/>
      <c r="K387" s="6"/>
    </row>
    <row r="388" spans="9:11">
      <c r="I388" s="6"/>
      <c r="J388" s="6"/>
      <c r="K388" s="6"/>
    </row>
    <row r="389" spans="9:11">
      <c r="I389" s="6"/>
      <c r="J389" s="6"/>
      <c r="K389" s="6"/>
    </row>
    <row r="390" spans="9:11">
      <c r="I390" s="6"/>
      <c r="J390" s="6"/>
      <c r="K390" s="6"/>
    </row>
    <row r="391" spans="9:11">
      <c r="I391" s="6"/>
      <c r="J391" s="6"/>
      <c r="K391" s="6"/>
    </row>
    <row r="392" spans="9:11">
      <c r="I392" s="6"/>
      <c r="J392" s="6"/>
      <c r="K392" s="6"/>
    </row>
    <row r="393" spans="9:11">
      <c r="I393" s="6"/>
      <c r="J393" s="6"/>
      <c r="K393" s="6"/>
    </row>
    <row r="394" spans="9:11">
      <c r="I394" s="6"/>
      <c r="J394" s="6"/>
      <c r="K394" s="6"/>
    </row>
    <row r="395" spans="9:11">
      <c r="I395" s="6"/>
      <c r="J395" s="6"/>
      <c r="K395" s="6"/>
    </row>
    <row r="396" spans="9:11">
      <c r="I396" s="6"/>
      <c r="J396" s="6"/>
      <c r="K396" s="6"/>
    </row>
    <row r="397" spans="9:11">
      <c r="I397" s="6"/>
      <c r="J397" s="6"/>
      <c r="K397" s="6"/>
    </row>
    <row r="398" spans="9:11">
      <c r="I398" s="6"/>
      <c r="J398" s="6"/>
      <c r="K398" s="6"/>
    </row>
    <row r="399" spans="9:11">
      <c r="I399" s="6"/>
      <c r="J399" s="6"/>
      <c r="K399" s="6"/>
    </row>
    <row r="400" spans="9:11">
      <c r="I400" s="6"/>
      <c r="J400" s="6"/>
      <c r="K400" s="6"/>
    </row>
    <row r="401" spans="9:11">
      <c r="I401" s="6"/>
      <c r="J401" s="6"/>
      <c r="K401" s="6"/>
    </row>
    <row r="402" spans="9:11">
      <c r="I402" s="6"/>
      <c r="J402" s="6"/>
      <c r="K402" s="6"/>
    </row>
    <row r="403" spans="9:11">
      <c r="I403" s="6"/>
      <c r="J403" s="6"/>
      <c r="K403" s="6"/>
    </row>
    <row r="404" spans="9:11">
      <c r="I404" s="6"/>
      <c r="J404" s="6"/>
      <c r="K404" s="6"/>
    </row>
    <row r="405" spans="9:11">
      <c r="I405" s="6"/>
      <c r="J405" s="6"/>
      <c r="K405" s="6"/>
    </row>
    <row r="406" spans="9:11">
      <c r="I406" s="6"/>
      <c r="J406" s="6"/>
      <c r="K406" s="6"/>
    </row>
    <row r="407" spans="9:11">
      <c r="I407" s="6"/>
      <c r="J407" s="6"/>
      <c r="K407" s="6"/>
    </row>
    <row r="408" spans="9:11">
      <c r="I408" s="6"/>
      <c r="J408" s="6"/>
      <c r="K408" s="6"/>
    </row>
    <row r="409" spans="9:11">
      <c r="I409" s="6"/>
      <c r="J409" s="6"/>
      <c r="K409" s="6"/>
    </row>
    <row r="410" spans="9:11">
      <c r="I410" s="6"/>
      <c r="J410" s="6"/>
      <c r="K410" s="6"/>
    </row>
    <row r="411" spans="9:11">
      <c r="I411" s="6"/>
      <c r="J411" s="6"/>
      <c r="K411" s="6"/>
    </row>
    <row r="412" spans="9:11">
      <c r="I412" s="6"/>
      <c r="J412" s="6"/>
      <c r="K412" s="6"/>
    </row>
    <row r="413" spans="9:11">
      <c r="I413" s="6"/>
      <c r="J413" s="6"/>
      <c r="K413" s="6"/>
    </row>
    <row r="414" spans="9:11">
      <c r="I414" s="6"/>
      <c r="J414" s="6"/>
      <c r="K414" s="6"/>
    </row>
    <row r="415" spans="9:11">
      <c r="I415" s="6"/>
      <c r="J415" s="6"/>
      <c r="K415" s="6"/>
    </row>
    <row r="416" spans="9:11">
      <c r="I416" s="6"/>
      <c r="J416" s="6"/>
      <c r="K416" s="6"/>
    </row>
    <row r="417" spans="9:11">
      <c r="I417" s="6"/>
      <c r="J417" s="6"/>
      <c r="K417" s="6"/>
    </row>
    <row r="418" spans="9:11">
      <c r="I418" s="6"/>
      <c r="J418" s="6"/>
      <c r="K418" s="6"/>
    </row>
    <row r="419" spans="9:11">
      <c r="I419" s="6"/>
      <c r="J419" s="6"/>
      <c r="K419" s="6"/>
    </row>
    <row r="420" spans="9:11">
      <c r="I420" s="6"/>
      <c r="J420" s="6"/>
      <c r="K420" s="6"/>
    </row>
    <row r="421" spans="9:11">
      <c r="I421" s="6"/>
      <c r="J421" s="6"/>
      <c r="K421" s="6"/>
    </row>
    <row r="422" spans="9:11">
      <c r="I422" s="6"/>
      <c r="J422" s="6"/>
      <c r="K422" s="6"/>
    </row>
    <row r="423" spans="9:11">
      <c r="I423" s="6"/>
      <c r="J423" s="6"/>
      <c r="K423" s="6"/>
    </row>
    <row r="424" spans="9:11">
      <c r="I424" s="6"/>
      <c r="J424" s="6"/>
      <c r="K424" s="6"/>
    </row>
    <row r="425" spans="9:11">
      <c r="I425" s="6"/>
      <c r="J425" s="6"/>
      <c r="K425" s="6"/>
    </row>
    <row r="426" spans="9:11">
      <c r="I426" s="6"/>
      <c r="J426" s="6"/>
      <c r="K426" s="6"/>
    </row>
    <row r="427" spans="9:11">
      <c r="I427" s="6"/>
      <c r="J427" s="6"/>
      <c r="K427" s="6"/>
    </row>
    <row r="428" spans="9:11">
      <c r="I428" s="6"/>
      <c r="J428" s="6"/>
      <c r="K428" s="6"/>
    </row>
    <row r="429" spans="9:11">
      <c r="I429" s="6"/>
      <c r="J429" s="6"/>
      <c r="K429" s="6"/>
    </row>
    <row r="430" spans="9:11">
      <c r="I430" s="6"/>
      <c r="J430" s="6"/>
      <c r="K430" s="6"/>
    </row>
    <row r="431" spans="9:11">
      <c r="I431" s="6"/>
      <c r="J431" s="6"/>
      <c r="K431" s="6"/>
    </row>
    <row r="432" spans="9:11">
      <c r="I432" s="6"/>
      <c r="J432" s="6"/>
      <c r="K432" s="6"/>
    </row>
    <row r="433" spans="9:11">
      <c r="I433" s="6"/>
      <c r="J433" s="6"/>
      <c r="K433" s="6"/>
    </row>
    <row r="434" spans="9:11">
      <c r="I434" s="6"/>
      <c r="J434" s="6"/>
      <c r="K434" s="6"/>
    </row>
    <row r="435" spans="9:11">
      <c r="I435" s="6"/>
      <c r="J435" s="6"/>
      <c r="K435" s="6"/>
    </row>
    <row r="436" spans="9:11">
      <c r="I436" s="6"/>
      <c r="J436" s="6"/>
      <c r="K436" s="6"/>
    </row>
    <row r="437" spans="9:11">
      <c r="I437" s="6"/>
      <c r="J437" s="6"/>
      <c r="K437" s="6"/>
    </row>
    <row r="438" spans="9:11">
      <c r="I438" s="6"/>
      <c r="J438" s="6"/>
      <c r="K438" s="6"/>
    </row>
    <row r="439" spans="9:11">
      <c r="I439" s="6"/>
      <c r="J439" s="6"/>
      <c r="K439" s="6"/>
    </row>
    <row r="440" spans="9:11">
      <c r="I440" s="6"/>
      <c r="J440" s="6"/>
      <c r="K440" s="6"/>
    </row>
    <row r="441" spans="9:11">
      <c r="I441" s="6"/>
      <c r="J441" s="6"/>
      <c r="K441" s="6"/>
    </row>
    <row r="442" spans="9:11">
      <c r="I442" s="6"/>
      <c r="J442" s="6"/>
      <c r="K442" s="6"/>
    </row>
    <row r="443" spans="9:11">
      <c r="I443" s="6"/>
      <c r="J443" s="6"/>
      <c r="K443" s="6"/>
    </row>
    <row r="444" spans="9:11">
      <c r="I444" s="6"/>
      <c r="J444" s="6"/>
      <c r="K444" s="6"/>
    </row>
    <row r="445" spans="9:11">
      <c r="I445" s="6"/>
      <c r="J445" s="6"/>
      <c r="K445" s="6"/>
    </row>
    <row r="446" spans="9:11">
      <c r="I446" s="6"/>
      <c r="J446" s="6"/>
      <c r="K446" s="6"/>
    </row>
    <row r="447" spans="9:11">
      <c r="I447" s="6"/>
      <c r="J447" s="6"/>
      <c r="K447" s="6"/>
    </row>
    <row r="448" spans="9:11">
      <c r="I448" s="6"/>
      <c r="J448" s="6"/>
      <c r="K448" s="6"/>
    </row>
    <row r="449" spans="9:11">
      <c r="I449" s="6"/>
      <c r="J449" s="6"/>
      <c r="K449" s="6"/>
    </row>
    <row r="450" spans="9:11">
      <c r="I450" s="6"/>
      <c r="J450" s="6"/>
      <c r="K450" s="6"/>
    </row>
    <row r="451" spans="9:11">
      <c r="I451" s="6"/>
      <c r="J451" s="6"/>
      <c r="K451" s="6"/>
    </row>
    <row r="452" spans="9:11">
      <c r="I452" s="6"/>
      <c r="J452" s="6"/>
      <c r="K452" s="6"/>
    </row>
    <row r="453" spans="9:11">
      <c r="I453" s="6"/>
      <c r="J453" s="6"/>
      <c r="K453" s="6"/>
    </row>
    <row r="454" spans="9:11">
      <c r="I454" s="6"/>
      <c r="J454" s="6"/>
      <c r="K454" s="6"/>
    </row>
    <row r="455" spans="9:11">
      <c r="I455" s="6"/>
      <c r="J455" s="6"/>
      <c r="K455" s="6"/>
    </row>
    <row r="456" spans="9:11">
      <c r="I456" s="6"/>
      <c r="J456" s="6"/>
      <c r="K456" s="6"/>
    </row>
    <row r="457" spans="9:11">
      <c r="I457" s="6"/>
      <c r="J457" s="6"/>
      <c r="K457" s="6"/>
    </row>
    <row r="458" spans="9:11">
      <c r="I458" s="6"/>
      <c r="J458" s="6"/>
      <c r="K458" s="6"/>
    </row>
    <row r="459" spans="9:11">
      <c r="I459" s="6"/>
      <c r="J459" s="6"/>
      <c r="K459" s="6"/>
    </row>
    <row r="460" spans="9:11">
      <c r="I460" s="6"/>
      <c r="J460" s="6"/>
      <c r="K460" s="6"/>
    </row>
    <row r="461" spans="9:11">
      <c r="I461" s="6"/>
      <c r="J461" s="6"/>
      <c r="K461" s="6"/>
    </row>
    <row r="462" spans="9:11">
      <c r="I462" s="6"/>
      <c r="J462" s="6"/>
      <c r="K462" s="6"/>
    </row>
    <row r="463" spans="9:11">
      <c r="I463" s="6"/>
      <c r="J463" s="6"/>
      <c r="K463" s="6"/>
    </row>
    <row r="464" spans="9:11">
      <c r="I464" s="6"/>
      <c r="J464" s="6"/>
      <c r="K464" s="6"/>
    </row>
    <row r="465" spans="9:11">
      <c r="I465" s="6"/>
      <c r="J465" s="6"/>
      <c r="K465" s="6"/>
    </row>
    <row r="466" spans="9:11">
      <c r="I466" s="6"/>
      <c r="J466" s="6"/>
      <c r="K466" s="6"/>
    </row>
    <row r="467" spans="9:11">
      <c r="I467" s="6"/>
      <c r="J467" s="6"/>
      <c r="K467" s="6"/>
    </row>
    <row r="468" spans="9:11">
      <c r="I468" s="6"/>
      <c r="J468" s="6"/>
      <c r="K468" s="6"/>
    </row>
    <row r="469" spans="9:11">
      <c r="I469" s="6"/>
      <c r="J469" s="6"/>
      <c r="K469" s="6"/>
    </row>
    <row r="470" spans="9:11">
      <c r="I470" s="6"/>
      <c r="J470" s="6"/>
      <c r="K470" s="6"/>
    </row>
    <row r="471" spans="9:11">
      <c r="I471" s="6"/>
      <c r="J471" s="6"/>
      <c r="K471" s="6"/>
    </row>
    <row r="472" spans="9:11">
      <c r="I472" s="6"/>
      <c r="J472" s="6"/>
      <c r="K472" s="6"/>
    </row>
    <row r="473" spans="9:11">
      <c r="I473" s="6"/>
      <c r="J473" s="6"/>
      <c r="K473" s="6"/>
    </row>
    <row r="474" spans="9:11">
      <c r="I474" s="6"/>
      <c r="J474" s="6"/>
      <c r="K474" s="6"/>
    </row>
    <row r="475" spans="9:11">
      <c r="I475" s="6"/>
      <c r="J475" s="6"/>
      <c r="K475" s="6"/>
    </row>
    <row r="476" spans="9:11">
      <c r="I476" s="6"/>
      <c r="J476" s="6"/>
      <c r="K476" s="6"/>
    </row>
    <row r="477" spans="9:11">
      <c r="I477" s="6"/>
      <c r="J477" s="6"/>
      <c r="K477" s="6"/>
    </row>
    <row r="478" spans="9:11">
      <c r="I478" s="6"/>
      <c r="J478" s="6"/>
      <c r="K478" s="6"/>
    </row>
    <row r="479" spans="9:11">
      <c r="I479" s="6"/>
      <c r="J479" s="6"/>
      <c r="K479" s="6"/>
    </row>
    <row r="480" spans="9:11">
      <c r="I480" s="6"/>
      <c r="J480" s="6"/>
      <c r="K480" s="6"/>
    </row>
    <row r="481" spans="9:11">
      <c r="I481" s="6"/>
      <c r="J481" s="6"/>
      <c r="K481" s="6"/>
    </row>
    <row r="482" spans="9:11">
      <c r="I482" s="6"/>
      <c r="J482" s="6"/>
      <c r="K482" s="6"/>
    </row>
    <row r="483" spans="9:11">
      <c r="I483" s="6"/>
      <c r="J483" s="6"/>
      <c r="K483" s="6"/>
    </row>
    <row r="484" spans="9:11">
      <c r="I484" s="6"/>
      <c r="J484" s="6"/>
      <c r="K484" s="6"/>
    </row>
    <row r="485" spans="9:11">
      <c r="I485" s="6"/>
      <c r="J485" s="6"/>
      <c r="K485" s="6"/>
    </row>
    <row r="486" spans="9:11">
      <c r="I486" s="6"/>
      <c r="J486" s="6"/>
      <c r="K486" s="6"/>
    </row>
    <row r="487" spans="9:11">
      <c r="I487" s="6"/>
      <c r="J487" s="6"/>
      <c r="K487" s="6"/>
    </row>
    <row r="488" spans="9:11">
      <c r="I488" s="6"/>
      <c r="J488" s="6"/>
      <c r="K488" s="6"/>
    </row>
    <row r="489" spans="9:11">
      <c r="I489" s="6"/>
      <c r="J489" s="6"/>
      <c r="K489" s="6"/>
    </row>
    <row r="490" spans="9:11">
      <c r="I490" s="6"/>
      <c r="J490" s="6"/>
      <c r="K490" s="6"/>
    </row>
    <row r="491" spans="9:11">
      <c r="I491" s="6"/>
      <c r="J491" s="6"/>
      <c r="K491" s="6"/>
    </row>
    <row r="492" spans="9:11">
      <c r="I492" s="6"/>
      <c r="J492" s="6"/>
      <c r="K492" s="6"/>
    </row>
    <row r="493" spans="9:11">
      <c r="I493" s="6"/>
      <c r="J493" s="6"/>
      <c r="K493" s="6"/>
    </row>
    <row r="494" spans="9:11">
      <c r="I494" s="6"/>
      <c r="J494" s="6"/>
      <c r="K494" s="6"/>
    </row>
    <row r="495" spans="9:11">
      <c r="I495" s="6"/>
      <c r="J495" s="6"/>
      <c r="K495" s="6"/>
    </row>
    <row r="496" spans="9:11">
      <c r="I496" s="6"/>
      <c r="J496" s="6"/>
      <c r="K496" s="6"/>
    </row>
    <row r="497" spans="9:11">
      <c r="I497" s="6"/>
      <c r="J497" s="6"/>
      <c r="K497" s="6"/>
    </row>
    <row r="498" spans="9:11">
      <c r="I498" s="6"/>
      <c r="J498" s="6"/>
      <c r="K498" s="6"/>
    </row>
    <row r="499" spans="9:11">
      <c r="I499" s="6"/>
      <c r="J499" s="6"/>
      <c r="K499" s="6"/>
    </row>
    <row r="500" spans="9:11">
      <c r="I500" s="6"/>
      <c r="J500" s="6"/>
      <c r="K500" s="6"/>
    </row>
    <row r="501" spans="9:11">
      <c r="I501" s="6"/>
      <c r="J501" s="6"/>
      <c r="K501" s="6"/>
    </row>
    <row r="502" spans="9:11">
      <c r="I502" s="6"/>
      <c r="J502" s="6"/>
      <c r="K502" s="6"/>
    </row>
    <row r="503" spans="9:11">
      <c r="I503" s="6"/>
      <c r="J503" s="6"/>
      <c r="K503" s="6"/>
    </row>
    <row r="504" spans="9:11">
      <c r="I504" s="6"/>
      <c r="J504" s="6"/>
      <c r="K504" s="6"/>
    </row>
    <row r="505" spans="9:11">
      <c r="I505" s="6"/>
      <c r="J505" s="6"/>
      <c r="K505" s="6"/>
    </row>
    <row r="506" spans="9:11">
      <c r="I506" s="6"/>
      <c r="J506" s="6"/>
      <c r="K506" s="6"/>
    </row>
    <row r="507" spans="9:11">
      <c r="I507" s="6"/>
      <c r="J507" s="6"/>
      <c r="K507" s="6"/>
    </row>
    <row r="508" spans="9:11">
      <c r="I508" s="6"/>
      <c r="J508" s="6"/>
      <c r="K508" s="6"/>
    </row>
    <row r="509" spans="9:11">
      <c r="I509" s="6"/>
      <c r="J509" s="6"/>
      <c r="K509" s="6"/>
    </row>
    <row r="510" spans="9:11">
      <c r="I510" s="6"/>
      <c r="J510" s="6"/>
      <c r="K510" s="6"/>
    </row>
    <row r="511" spans="9:11">
      <c r="I511" s="6"/>
      <c r="J511" s="6"/>
      <c r="K511" s="6"/>
    </row>
    <row r="512" spans="9:11">
      <c r="I512" s="6"/>
      <c r="J512" s="6"/>
      <c r="K512" s="6"/>
    </row>
    <row r="513" spans="9:11">
      <c r="I513" s="6"/>
      <c r="J513" s="6"/>
      <c r="K513" s="6"/>
    </row>
    <row r="514" spans="9:11">
      <c r="I514" s="6"/>
      <c r="J514" s="6"/>
      <c r="K514" s="6"/>
    </row>
    <row r="515" spans="9:11">
      <c r="I515" s="6"/>
      <c r="J515" s="6"/>
      <c r="K515" s="6"/>
    </row>
    <row r="516" spans="9:11">
      <c r="I516" s="6"/>
      <c r="J516" s="6"/>
      <c r="K516" s="6"/>
    </row>
    <row r="517" spans="9:11">
      <c r="I517" s="6"/>
      <c r="J517" s="6"/>
      <c r="K517" s="6"/>
    </row>
    <row r="518" spans="9:11">
      <c r="I518" s="6"/>
      <c r="J518" s="6"/>
      <c r="K518" s="6"/>
    </row>
    <row r="519" spans="9:11">
      <c r="I519" s="6"/>
      <c r="J519" s="6"/>
      <c r="K519" s="6"/>
    </row>
    <row r="520" spans="9:11">
      <c r="I520" s="6"/>
      <c r="J520" s="6"/>
      <c r="K520" s="6"/>
    </row>
    <row r="521" spans="9:11">
      <c r="I521" s="6"/>
      <c r="J521" s="6"/>
      <c r="K521" s="6"/>
    </row>
    <row r="522" spans="9:11">
      <c r="I522" s="6"/>
      <c r="J522" s="6"/>
      <c r="K522" s="6"/>
    </row>
    <row r="523" spans="9:11">
      <c r="I523" s="6"/>
      <c r="J523" s="6"/>
      <c r="K523" s="6"/>
    </row>
    <row r="524" spans="9:11">
      <c r="I524" s="6"/>
      <c r="J524" s="6"/>
      <c r="K524" s="6"/>
    </row>
    <row r="525" spans="9:11">
      <c r="I525" s="6"/>
      <c r="J525" s="6"/>
      <c r="K525" s="6"/>
    </row>
    <row r="526" spans="9:11">
      <c r="I526" s="6"/>
      <c r="J526" s="6"/>
      <c r="K526" s="6"/>
    </row>
    <row r="527" spans="9:11">
      <c r="I527" s="6"/>
      <c r="J527" s="6"/>
      <c r="K527" s="6"/>
    </row>
    <row r="528" spans="9:11">
      <c r="I528" s="6"/>
      <c r="J528" s="6"/>
      <c r="K528" s="6"/>
    </row>
    <row r="529" spans="9:11">
      <c r="I529" s="6"/>
      <c r="J529" s="6"/>
      <c r="K529" s="6"/>
    </row>
    <row r="530" spans="9:11">
      <c r="I530" s="6"/>
      <c r="J530" s="6"/>
      <c r="K530" s="6"/>
    </row>
    <row r="531" spans="9:11">
      <c r="I531" s="6"/>
      <c r="J531" s="6"/>
      <c r="K531" s="6"/>
    </row>
    <row r="532" spans="9:11">
      <c r="I532" s="6"/>
      <c r="J532" s="6"/>
      <c r="K532" s="6"/>
    </row>
    <row r="533" spans="9:11">
      <c r="I533" s="6"/>
      <c r="J533" s="6"/>
      <c r="K533" s="6"/>
    </row>
    <row r="534" spans="9:11">
      <c r="I534" s="6"/>
      <c r="J534" s="6"/>
      <c r="K534" s="6"/>
    </row>
    <row r="535" spans="9:11">
      <c r="I535" s="6"/>
      <c r="J535" s="6"/>
      <c r="K535" s="6"/>
    </row>
    <row r="536" spans="9:11">
      <c r="I536" s="6"/>
      <c r="J536" s="6"/>
      <c r="K536" s="6"/>
    </row>
    <row r="537" spans="9:11">
      <c r="I537" s="6"/>
      <c r="J537" s="6"/>
      <c r="K537" s="6"/>
    </row>
    <row r="538" spans="9:11">
      <c r="I538" s="6"/>
      <c r="J538" s="6"/>
      <c r="K538" s="6"/>
    </row>
    <row r="539" spans="9:11">
      <c r="I539" s="6"/>
      <c r="J539" s="6"/>
      <c r="K539" s="6"/>
    </row>
    <row r="540" spans="9:11">
      <c r="I540" s="6"/>
      <c r="J540" s="6"/>
      <c r="K540" s="6"/>
    </row>
    <row r="541" spans="9:11">
      <c r="I541" s="6"/>
      <c r="J541" s="6"/>
      <c r="K541" s="6"/>
    </row>
    <row r="542" spans="9:11">
      <c r="I542" s="6"/>
      <c r="J542" s="6"/>
      <c r="K542" s="6"/>
    </row>
    <row r="543" spans="9:11">
      <c r="I543" s="6"/>
      <c r="J543" s="6"/>
      <c r="K543" s="6"/>
    </row>
    <row r="544" spans="9:11">
      <c r="I544" s="6"/>
      <c r="J544" s="6"/>
      <c r="K544" s="6"/>
    </row>
    <row r="545" spans="9:11">
      <c r="I545" s="6"/>
      <c r="J545" s="6"/>
      <c r="K545" s="6"/>
    </row>
    <row r="546" spans="9:11">
      <c r="I546" s="6"/>
      <c r="J546" s="6"/>
      <c r="K546" s="6"/>
    </row>
    <row r="547" spans="9:11">
      <c r="I547" s="6"/>
      <c r="J547" s="6"/>
      <c r="K547" s="6"/>
    </row>
    <row r="548" spans="9:11">
      <c r="I548" s="6"/>
      <c r="J548" s="6"/>
      <c r="K548" s="6"/>
    </row>
    <row r="549" spans="9:11">
      <c r="I549" s="6"/>
      <c r="J549" s="6"/>
      <c r="K549" s="6"/>
    </row>
    <row r="550" spans="9:11">
      <c r="I550" s="6"/>
      <c r="J550" s="6"/>
      <c r="K550" s="6"/>
    </row>
    <row r="551" spans="9:11">
      <c r="I551" s="6"/>
      <c r="J551" s="6"/>
      <c r="K551" s="6"/>
    </row>
    <row r="552" spans="9:11">
      <c r="I552" s="6"/>
      <c r="J552" s="6"/>
      <c r="K552" s="6"/>
    </row>
    <row r="553" spans="9:11">
      <c r="I553" s="6"/>
      <c r="J553" s="6"/>
      <c r="K553" s="6"/>
    </row>
    <row r="554" spans="9:11">
      <c r="I554" s="6"/>
      <c r="J554" s="6"/>
      <c r="K554" s="6"/>
    </row>
    <row r="555" spans="9:11">
      <c r="I555" s="6"/>
      <c r="J555" s="6"/>
      <c r="K555" s="6"/>
    </row>
    <row r="556" spans="9:11">
      <c r="I556" s="6"/>
      <c r="J556" s="6"/>
      <c r="K556" s="6"/>
    </row>
    <row r="557" spans="9:11">
      <c r="I557" s="6"/>
      <c r="J557" s="6"/>
      <c r="K557" s="6"/>
    </row>
    <row r="558" spans="9:11">
      <c r="I558" s="6"/>
      <c r="J558" s="6"/>
      <c r="K558" s="6"/>
    </row>
    <row r="559" spans="9:11">
      <c r="I559" s="6"/>
      <c r="J559" s="6"/>
      <c r="K559" s="6"/>
    </row>
    <row r="560" spans="9:11">
      <c r="I560" s="6"/>
      <c r="J560" s="6"/>
      <c r="K560" s="6"/>
    </row>
    <row r="561" spans="9:11">
      <c r="I561" s="6"/>
      <c r="J561" s="6"/>
      <c r="K561" s="6"/>
    </row>
    <row r="562" spans="9:11">
      <c r="I562" s="6"/>
      <c r="J562" s="6"/>
      <c r="K562" s="6"/>
    </row>
    <row r="563" spans="9:11">
      <c r="I563" s="6"/>
      <c r="J563" s="6"/>
      <c r="K563" s="6"/>
    </row>
    <row r="564" spans="9:11">
      <c r="I564" s="6"/>
      <c r="J564" s="6"/>
      <c r="K564" s="6"/>
    </row>
    <row r="565" spans="9:11">
      <c r="I565" s="6"/>
      <c r="J565" s="6"/>
      <c r="K565" s="6"/>
    </row>
    <row r="566" spans="9:11">
      <c r="I566" s="6"/>
      <c r="J566" s="6"/>
      <c r="K566" s="6"/>
    </row>
    <row r="567" spans="9:11">
      <c r="I567" s="6"/>
      <c r="J567" s="6"/>
      <c r="K567" s="6"/>
    </row>
    <row r="568" spans="9:11">
      <c r="I568" s="6"/>
      <c r="J568" s="6"/>
      <c r="K568" s="6"/>
    </row>
    <row r="569" spans="9:11">
      <c r="I569" s="6"/>
      <c r="J569" s="6"/>
      <c r="K569" s="6"/>
    </row>
    <row r="570" spans="9:11">
      <c r="I570" s="6"/>
      <c r="J570" s="6"/>
      <c r="K570" s="6"/>
    </row>
    <row r="571" spans="9:11">
      <c r="I571" s="6"/>
      <c r="J571" s="6"/>
      <c r="K571" s="6"/>
    </row>
    <row r="572" spans="9:11">
      <c r="I572" s="6"/>
      <c r="J572" s="6"/>
      <c r="K572" s="6"/>
    </row>
    <row r="573" spans="9:11">
      <c r="I573" s="6"/>
      <c r="J573" s="6"/>
      <c r="K573" s="6"/>
    </row>
    <row r="574" spans="9:11">
      <c r="I574" s="6"/>
      <c r="J574" s="6"/>
      <c r="K574" s="6"/>
    </row>
    <row r="575" spans="9:11">
      <c r="I575" s="6"/>
      <c r="J575" s="6"/>
      <c r="K575" s="6"/>
    </row>
    <row r="576" spans="9:11">
      <c r="I576" s="6"/>
      <c r="J576" s="6"/>
      <c r="K576" s="6"/>
    </row>
    <row r="577" spans="9:11">
      <c r="I577" s="6"/>
      <c r="J577" s="6"/>
      <c r="K577" s="6"/>
    </row>
    <row r="578" spans="9:11">
      <c r="I578" s="6"/>
      <c r="J578" s="6"/>
      <c r="K578" s="6"/>
    </row>
    <row r="579" spans="9:11">
      <c r="I579" s="6"/>
      <c r="J579" s="6"/>
      <c r="K579" s="6"/>
    </row>
    <row r="580" spans="9:11">
      <c r="I580" s="6"/>
      <c r="J580" s="6"/>
      <c r="K580" s="6"/>
    </row>
    <row r="581" spans="9:11">
      <c r="I581" s="6"/>
      <c r="J581" s="6"/>
      <c r="K581" s="6"/>
    </row>
    <row r="582" spans="9:11">
      <c r="I582" s="6"/>
      <c r="J582" s="6"/>
      <c r="K582" s="6"/>
    </row>
    <row r="583" spans="9:11">
      <c r="I583" s="6"/>
      <c r="J583" s="6"/>
      <c r="K583" s="6"/>
    </row>
    <row r="584" spans="9:11">
      <c r="I584" s="6"/>
      <c r="J584" s="6"/>
      <c r="K584" s="6"/>
    </row>
    <row r="585" spans="9:11">
      <c r="I585" s="6"/>
      <c r="J585" s="6"/>
      <c r="K585" s="6"/>
    </row>
    <row r="586" spans="9:11">
      <c r="I586" s="6"/>
      <c r="J586" s="6"/>
      <c r="K586" s="6"/>
    </row>
    <row r="587" spans="9:11">
      <c r="I587" s="6"/>
      <c r="J587" s="6"/>
      <c r="K587" s="6"/>
    </row>
    <row r="588" spans="9:11">
      <c r="I588" s="6"/>
      <c r="J588" s="6"/>
      <c r="K588" s="6"/>
    </row>
    <row r="589" spans="9:11">
      <c r="I589" s="6"/>
      <c r="J589" s="6"/>
      <c r="K589" s="6"/>
    </row>
    <row r="590" spans="9:11">
      <c r="I590" s="6"/>
      <c r="J590" s="6"/>
      <c r="K590" s="6"/>
    </row>
    <row r="591" spans="9:11">
      <c r="I591" s="6"/>
      <c r="J591" s="6"/>
      <c r="K591" s="6"/>
    </row>
    <row r="592" spans="9:11">
      <c r="I592" s="6"/>
      <c r="J592" s="6"/>
      <c r="K592" s="6"/>
    </row>
    <row r="593" spans="9:11">
      <c r="I593" s="6"/>
      <c r="J593" s="6"/>
      <c r="K593" s="6"/>
    </row>
    <row r="594" spans="9:11">
      <c r="I594" s="6"/>
      <c r="J594" s="6"/>
      <c r="K594" s="6"/>
    </row>
    <row r="595" spans="9:11">
      <c r="I595" s="6"/>
      <c r="J595" s="6"/>
      <c r="K595" s="6"/>
    </row>
    <row r="596" spans="9:11">
      <c r="I596" s="6"/>
      <c r="J596" s="6"/>
      <c r="K596" s="6"/>
    </row>
    <row r="597" spans="9:11">
      <c r="I597" s="6"/>
      <c r="J597" s="6"/>
      <c r="K597" s="6"/>
    </row>
    <row r="598" spans="9:11">
      <c r="I598" s="6"/>
      <c r="J598" s="6"/>
      <c r="K598" s="6"/>
    </row>
    <row r="599" spans="9:11">
      <c r="I599" s="6"/>
      <c r="J599" s="6"/>
      <c r="K599" s="6"/>
    </row>
    <row r="600" spans="9:11">
      <c r="I600" s="6"/>
      <c r="J600" s="6"/>
      <c r="K600" s="6"/>
    </row>
    <row r="601" spans="9:11">
      <c r="I601" s="6"/>
      <c r="J601" s="6"/>
      <c r="K601" s="6"/>
    </row>
    <row r="602" spans="9:11">
      <c r="I602" s="6"/>
      <c r="J602" s="6"/>
      <c r="K602" s="6"/>
    </row>
    <row r="603" spans="9:11">
      <c r="I603" s="6"/>
      <c r="J603" s="6"/>
      <c r="K603" s="6"/>
    </row>
    <row r="604" spans="9:11">
      <c r="I604" s="6"/>
      <c r="J604" s="6"/>
      <c r="K604" s="6"/>
    </row>
    <row r="605" spans="9:11">
      <c r="I605" s="6"/>
      <c r="J605" s="6"/>
      <c r="K605" s="6"/>
    </row>
    <row r="606" spans="9:11">
      <c r="I606" s="6"/>
      <c r="J606" s="6"/>
      <c r="K606" s="6"/>
    </row>
    <row r="607" spans="9:11">
      <c r="I607" s="6"/>
      <c r="J607" s="6"/>
      <c r="K607" s="6"/>
    </row>
    <row r="608" spans="9:11">
      <c r="I608" s="6"/>
      <c r="J608" s="6"/>
      <c r="K608" s="6"/>
    </row>
    <row r="609" spans="9:11">
      <c r="I609" s="6"/>
      <c r="J609" s="6"/>
      <c r="K609" s="6"/>
    </row>
    <row r="610" spans="9:11">
      <c r="I610" s="6"/>
      <c r="J610" s="6"/>
      <c r="K610" s="6"/>
    </row>
    <row r="611" spans="9:11">
      <c r="I611" s="6"/>
      <c r="J611" s="6"/>
      <c r="K611" s="6"/>
    </row>
    <row r="612" spans="9:11">
      <c r="I612" s="6"/>
      <c r="J612" s="6"/>
      <c r="K612" s="6"/>
    </row>
    <row r="613" spans="9:11">
      <c r="I613" s="6"/>
      <c r="J613" s="6"/>
      <c r="K613" s="6"/>
    </row>
    <row r="614" spans="9:11">
      <c r="I614" s="6"/>
      <c r="J614" s="6"/>
      <c r="K614" s="6"/>
    </row>
    <row r="615" spans="9:11">
      <c r="I615" s="6"/>
      <c r="J615" s="6"/>
      <c r="K615" s="6"/>
    </row>
    <row r="616" spans="9:11">
      <c r="I616" s="6"/>
      <c r="J616" s="6"/>
      <c r="K616" s="6"/>
    </row>
    <row r="617" spans="9:11">
      <c r="I617" s="6"/>
      <c r="J617" s="6"/>
      <c r="K617" s="6"/>
    </row>
    <row r="618" spans="9:11">
      <c r="I618" s="6"/>
      <c r="J618" s="6"/>
      <c r="K618" s="6"/>
    </row>
    <row r="619" spans="9:11">
      <c r="I619" s="6"/>
      <c r="J619" s="6"/>
      <c r="K619" s="6"/>
    </row>
    <row r="620" spans="9:11">
      <c r="I620" s="6"/>
      <c r="J620" s="6"/>
      <c r="K620" s="6"/>
    </row>
    <row r="621" spans="9:11">
      <c r="I621" s="6"/>
      <c r="J621" s="6"/>
      <c r="K621" s="6"/>
    </row>
    <row r="622" spans="9:11">
      <c r="I622" s="6"/>
      <c r="J622" s="6"/>
      <c r="K622" s="6"/>
    </row>
    <row r="623" spans="9:11">
      <c r="I623" s="6"/>
      <c r="J623" s="6"/>
      <c r="K623" s="6"/>
    </row>
    <row r="624" spans="9:11">
      <c r="I624" s="6"/>
      <c r="J624" s="6"/>
      <c r="K624" s="6"/>
    </row>
    <row r="625" spans="9:11">
      <c r="I625" s="6"/>
      <c r="J625" s="6"/>
      <c r="K625" s="6"/>
    </row>
    <row r="626" spans="9:11">
      <c r="I626" s="6"/>
      <c r="J626" s="6"/>
      <c r="K626" s="6"/>
    </row>
    <row r="627" spans="9:11">
      <c r="I627" s="6"/>
      <c r="J627" s="6"/>
      <c r="K627" s="6"/>
    </row>
    <row r="628" spans="9:11">
      <c r="I628" s="6"/>
      <c r="J628" s="6"/>
      <c r="K628" s="6"/>
    </row>
    <row r="629" spans="9:11">
      <c r="I629" s="6"/>
      <c r="J629" s="6"/>
      <c r="K629" s="6"/>
    </row>
    <row r="630" spans="9:11">
      <c r="I630" s="6"/>
      <c r="J630" s="6"/>
      <c r="K630" s="6"/>
    </row>
    <row r="631" spans="9:11">
      <c r="I631" s="6"/>
      <c r="J631" s="6"/>
      <c r="K631" s="6"/>
    </row>
    <row r="632" spans="9:11">
      <c r="I632" s="6"/>
      <c r="J632" s="6"/>
      <c r="K632" s="6"/>
    </row>
    <row r="633" spans="9:11">
      <c r="I633" s="6"/>
      <c r="J633" s="6"/>
      <c r="K633" s="6"/>
    </row>
    <row r="634" spans="9:11">
      <c r="I634" s="6"/>
      <c r="J634" s="6"/>
      <c r="K634" s="6"/>
    </row>
    <row r="635" spans="9:11">
      <c r="I635" s="6"/>
      <c r="J635" s="6"/>
      <c r="K635" s="6"/>
    </row>
    <row r="636" spans="9:11">
      <c r="I636" s="6"/>
      <c r="J636" s="6"/>
      <c r="K636" s="6"/>
    </row>
    <row r="637" spans="9:11">
      <c r="I637" s="6"/>
      <c r="J637" s="6"/>
      <c r="K637" s="6"/>
    </row>
    <row r="638" spans="9:11">
      <c r="I638" s="6"/>
      <c r="J638" s="6"/>
      <c r="K638" s="6"/>
    </row>
    <row r="639" spans="9:11">
      <c r="I639" s="6"/>
      <c r="J639" s="6"/>
      <c r="K639" s="6"/>
    </row>
    <row r="640" spans="9:11">
      <c r="I640" s="6"/>
      <c r="J640" s="6"/>
      <c r="K640" s="6"/>
    </row>
    <row r="641" spans="9:11">
      <c r="I641" s="6"/>
      <c r="J641" s="6"/>
      <c r="K641" s="6"/>
    </row>
    <row r="642" spans="9:11">
      <c r="I642" s="6"/>
      <c r="J642" s="6"/>
      <c r="K642" s="6"/>
    </row>
    <row r="643" spans="9:11">
      <c r="I643" s="6"/>
      <c r="J643" s="6"/>
      <c r="K643" s="6"/>
    </row>
    <row r="644" spans="9:11">
      <c r="I644" s="6"/>
      <c r="J644" s="6"/>
      <c r="K644" s="6"/>
    </row>
    <row r="645" spans="9:11">
      <c r="I645" s="6"/>
      <c r="J645" s="6"/>
      <c r="K645" s="6"/>
    </row>
    <row r="646" spans="9:11">
      <c r="I646" s="6"/>
      <c r="J646" s="6"/>
      <c r="K646" s="6"/>
    </row>
    <row r="647" spans="9:11">
      <c r="I647" s="6"/>
      <c r="J647" s="6"/>
      <c r="K647" s="6"/>
    </row>
    <row r="648" spans="9:11">
      <c r="I648" s="6"/>
      <c r="J648" s="6"/>
      <c r="K648" s="6"/>
    </row>
    <row r="649" spans="9:11">
      <c r="I649" s="6"/>
      <c r="J649" s="6"/>
      <c r="K649" s="6"/>
    </row>
    <row r="650" spans="9:11">
      <c r="I650" s="6"/>
      <c r="J650" s="6"/>
      <c r="K650" s="6"/>
    </row>
    <row r="651" spans="9:11">
      <c r="I651" s="6"/>
      <c r="J651" s="6"/>
      <c r="K651" s="6"/>
    </row>
    <row r="652" spans="9:11">
      <c r="I652" s="6"/>
      <c r="J652" s="6"/>
      <c r="K652" s="6"/>
    </row>
    <row r="653" spans="9:11">
      <c r="I653" s="6"/>
      <c r="J653" s="6"/>
      <c r="K653" s="6"/>
    </row>
    <row r="654" spans="9:11">
      <c r="I654" s="6"/>
      <c r="J654" s="6"/>
      <c r="K654" s="6"/>
    </row>
    <row r="655" spans="9:11">
      <c r="I655" s="6"/>
      <c r="J655" s="6"/>
      <c r="K655" s="6"/>
    </row>
    <row r="656" spans="9:11">
      <c r="I656" s="6"/>
      <c r="J656" s="6"/>
      <c r="K656" s="6"/>
    </row>
    <row r="657" spans="9:11">
      <c r="I657" s="6"/>
      <c r="J657" s="6"/>
      <c r="K657" s="6"/>
    </row>
    <row r="658" spans="9:11">
      <c r="I658" s="6"/>
      <c r="J658" s="6"/>
      <c r="K658" s="6"/>
    </row>
    <row r="659" spans="9:11">
      <c r="I659" s="6"/>
      <c r="J659" s="6"/>
      <c r="K659" s="6"/>
    </row>
    <row r="660" spans="9:11">
      <c r="I660" s="6"/>
      <c r="J660" s="6"/>
      <c r="K660" s="6"/>
    </row>
    <row r="661" spans="9:11">
      <c r="I661" s="6"/>
      <c r="J661" s="6"/>
      <c r="K661" s="6"/>
    </row>
    <row r="662" spans="9:11">
      <c r="I662" s="6"/>
      <c r="J662" s="6"/>
      <c r="K662" s="6"/>
    </row>
    <row r="663" spans="9:11">
      <c r="I663" s="6"/>
      <c r="J663" s="6"/>
      <c r="K663" s="6"/>
    </row>
    <row r="664" spans="9:11">
      <c r="I664" s="6"/>
      <c r="J664" s="6"/>
      <c r="K664" s="6"/>
    </row>
    <row r="665" spans="9:11">
      <c r="I665" s="6"/>
      <c r="J665" s="6"/>
      <c r="K665" s="6"/>
    </row>
    <row r="666" spans="9:11">
      <c r="I666" s="6"/>
      <c r="J666" s="6"/>
      <c r="K666" s="6"/>
    </row>
    <row r="667" spans="9:11">
      <c r="I667" s="6"/>
      <c r="J667" s="6"/>
      <c r="K667" s="6"/>
    </row>
    <row r="668" spans="9:11">
      <c r="I668" s="6"/>
      <c r="J668" s="6"/>
      <c r="K668" s="6"/>
    </row>
    <row r="669" spans="9:11">
      <c r="I669" s="6"/>
      <c r="J669" s="6"/>
      <c r="K669" s="6"/>
    </row>
    <row r="670" spans="9:11">
      <c r="I670" s="6"/>
      <c r="J670" s="6"/>
      <c r="K670" s="6"/>
    </row>
    <row r="671" spans="9:11">
      <c r="I671" s="6"/>
      <c r="J671" s="6"/>
      <c r="K671" s="6"/>
    </row>
    <row r="672" spans="9:11">
      <c r="I672" s="6"/>
      <c r="J672" s="6"/>
      <c r="K672" s="6"/>
    </row>
    <row r="673" spans="9:11">
      <c r="I673" s="6"/>
      <c r="J673" s="6"/>
      <c r="K673" s="6"/>
    </row>
    <row r="674" spans="9:11">
      <c r="I674" s="6"/>
      <c r="J674" s="6"/>
      <c r="K674" s="6"/>
    </row>
    <row r="675" spans="9:11">
      <c r="I675" s="6"/>
      <c r="J675" s="6"/>
      <c r="K675" s="6"/>
    </row>
    <row r="676" spans="9:11">
      <c r="I676" s="6"/>
      <c r="J676" s="6"/>
      <c r="K676" s="6"/>
    </row>
    <row r="677" spans="9:11">
      <c r="I677" s="6"/>
      <c r="J677" s="6"/>
      <c r="K677" s="6"/>
    </row>
    <row r="678" spans="9:11">
      <c r="I678" s="6"/>
      <c r="J678" s="6"/>
      <c r="K678" s="6"/>
    </row>
    <row r="679" spans="9:11">
      <c r="I679" s="6"/>
      <c r="J679" s="6"/>
      <c r="K679" s="6"/>
    </row>
    <row r="680" spans="9:11">
      <c r="I680" s="6"/>
      <c r="J680" s="6"/>
      <c r="K680" s="6"/>
    </row>
    <row r="681" spans="9:11">
      <c r="I681" s="6"/>
      <c r="J681" s="6"/>
      <c r="K681" s="6"/>
    </row>
    <row r="682" spans="9:11">
      <c r="I682" s="6"/>
      <c r="J682" s="6"/>
      <c r="K682" s="6"/>
    </row>
    <row r="683" spans="9:11">
      <c r="I683" s="6"/>
      <c r="J683" s="6"/>
      <c r="K683" s="6"/>
    </row>
    <row r="684" spans="9:11">
      <c r="I684" s="6"/>
      <c r="J684" s="6"/>
      <c r="K684" s="6"/>
    </row>
    <row r="685" spans="9:11">
      <c r="I685" s="6"/>
      <c r="J685" s="6"/>
      <c r="K685" s="6"/>
    </row>
    <row r="686" spans="9:11">
      <c r="I686" s="6"/>
      <c r="J686" s="6"/>
      <c r="K686" s="6"/>
    </row>
    <row r="687" spans="9:11">
      <c r="I687" s="6"/>
      <c r="J687" s="6"/>
      <c r="K687" s="6"/>
    </row>
    <row r="688" spans="9:11">
      <c r="I688" s="6"/>
      <c r="J688" s="6"/>
      <c r="K688" s="6"/>
    </row>
    <row r="689" spans="9:11">
      <c r="I689" s="6"/>
      <c r="J689" s="6"/>
      <c r="K689" s="6"/>
    </row>
    <row r="690" spans="9:11">
      <c r="I690" s="6"/>
      <c r="J690" s="6"/>
      <c r="K690" s="6"/>
    </row>
    <row r="691" spans="9:11">
      <c r="I691" s="6"/>
      <c r="J691" s="6"/>
      <c r="K691" s="6"/>
    </row>
    <row r="692" spans="9:11">
      <c r="I692" s="6"/>
      <c r="J692" s="6"/>
      <c r="K692" s="6"/>
    </row>
    <row r="693" spans="9:11">
      <c r="I693" s="6"/>
      <c r="J693" s="6"/>
      <c r="K693" s="6"/>
    </row>
    <row r="694" spans="9:11">
      <c r="I694" s="6"/>
      <c r="J694" s="6"/>
      <c r="K694" s="6"/>
    </row>
    <row r="695" spans="9:11">
      <c r="I695" s="6"/>
      <c r="J695" s="6"/>
      <c r="K695" s="6"/>
    </row>
    <row r="696" spans="9:11">
      <c r="I696" s="6"/>
      <c r="J696" s="6"/>
      <c r="K696" s="6"/>
    </row>
    <row r="697" spans="9:11">
      <c r="I697" s="6"/>
      <c r="J697" s="6"/>
      <c r="K697" s="6"/>
    </row>
    <row r="698" spans="9:11">
      <c r="I698" s="6"/>
      <c r="J698" s="6"/>
      <c r="K698" s="6"/>
    </row>
    <row r="699" spans="9:11">
      <c r="I699" s="6"/>
      <c r="J699" s="6"/>
      <c r="K699" s="6"/>
    </row>
    <row r="700" spans="9:11">
      <c r="I700" s="6"/>
      <c r="J700" s="6"/>
      <c r="K700" s="6"/>
    </row>
    <row r="701" spans="9:11">
      <c r="I701" s="6"/>
      <c r="J701" s="6"/>
      <c r="K701" s="6"/>
    </row>
    <row r="702" spans="9:11">
      <c r="I702" s="6"/>
      <c r="J702" s="6"/>
      <c r="K702" s="6"/>
    </row>
    <row r="703" spans="9:11">
      <c r="I703" s="6"/>
      <c r="J703" s="6"/>
      <c r="K703" s="6"/>
    </row>
    <row r="704" spans="9:11">
      <c r="I704" s="6"/>
      <c r="J704" s="6"/>
      <c r="K704" s="6"/>
    </row>
    <row r="705" spans="9:11">
      <c r="I705" s="6"/>
      <c r="J705" s="6"/>
      <c r="K705" s="6"/>
    </row>
    <row r="706" spans="9:11">
      <c r="I706" s="6"/>
      <c r="J706" s="6"/>
      <c r="K706" s="6"/>
    </row>
    <row r="707" spans="9:11">
      <c r="I707" s="6"/>
      <c r="J707" s="6"/>
      <c r="K707" s="6"/>
    </row>
    <row r="708" spans="9:11">
      <c r="I708" s="6"/>
      <c r="J708" s="6"/>
      <c r="K708" s="6"/>
    </row>
    <row r="709" spans="9:11">
      <c r="I709" s="6"/>
      <c r="J709" s="6"/>
      <c r="K709" s="6"/>
    </row>
    <row r="710" spans="9:11">
      <c r="I710" s="6"/>
      <c r="J710" s="6"/>
      <c r="K710" s="6"/>
    </row>
    <row r="711" spans="9:11">
      <c r="I711" s="6"/>
      <c r="J711" s="6"/>
      <c r="K711" s="6"/>
    </row>
    <row r="712" spans="9:11">
      <c r="I712" s="6"/>
      <c r="J712" s="6"/>
      <c r="K712" s="6"/>
    </row>
    <row r="713" spans="9:11">
      <c r="I713" s="6"/>
      <c r="J713" s="6"/>
      <c r="K713" s="6"/>
    </row>
    <row r="714" spans="9:11">
      <c r="I714" s="6"/>
      <c r="J714" s="6"/>
      <c r="K714" s="6"/>
    </row>
    <row r="715" spans="9:11">
      <c r="I715" s="6"/>
      <c r="J715" s="6"/>
      <c r="K715" s="6"/>
    </row>
    <row r="716" spans="9:11">
      <c r="I716" s="6"/>
      <c r="J716" s="6"/>
      <c r="K716" s="6"/>
    </row>
    <row r="717" spans="9:11">
      <c r="I717" s="6"/>
      <c r="J717" s="6"/>
      <c r="K717" s="6"/>
    </row>
    <row r="718" spans="9:11">
      <c r="I718" s="6"/>
      <c r="J718" s="6"/>
      <c r="K718" s="6"/>
    </row>
    <row r="719" spans="9:11">
      <c r="I719" s="6"/>
      <c r="J719" s="6"/>
      <c r="K719" s="6"/>
    </row>
    <row r="720" spans="9:11">
      <c r="I720" s="6"/>
      <c r="J720" s="6"/>
      <c r="K720" s="6"/>
    </row>
    <row r="721" spans="9:11">
      <c r="I721" s="6"/>
      <c r="J721" s="6"/>
      <c r="K721" s="6"/>
    </row>
    <row r="722" spans="9:11">
      <c r="I722" s="6"/>
      <c r="J722" s="6"/>
      <c r="K722" s="6"/>
    </row>
    <row r="723" spans="9:11">
      <c r="I723" s="6"/>
      <c r="J723" s="6"/>
      <c r="K723" s="6"/>
    </row>
    <row r="724" spans="9:11">
      <c r="I724" s="6"/>
      <c r="J724" s="6"/>
      <c r="K724" s="6"/>
    </row>
    <row r="725" spans="9:11">
      <c r="I725" s="6"/>
      <c r="J725" s="6"/>
      <c r="K725" s="6"/>
    </row>
    <row r="726" spans="9:11">
      <c r="I726" s="6"/>
      <c r="J726" s="6"/>
      <c r="K726" s="6"/>
    </row>
    <row r="727" spans="9:11">
      <c r="I727" s="6"/>
      <c r="J727" s="6"/>
      <c r="K727" s="6"/>
    </row>
    <row r="728" spans="9:11">
      <c r="I728" s="6"/>
      <c r="J728" s="6"/>
      <c r="K728" s="6"/>
    </row>
    <row r="729" spans="9:11">
      <c r="I729" s="6"/>
      <c r="J729" s="6"/>
      <c r="K729" s="6"/>
    </row>
    <row r="730" spans="9:11">
      <c r="I730" s="6"/>
      <c r="J730" s="6"/>
      <c r="K730" s="6"/>
    </row>
    <row r="731" spans="9:11">
      <c r="I731" s="6"/>
      <c r="J731" s="6"/>
      <c r="K731" s="6"/>
    </row>
    <row r="732" spans="9:11">
      <c r="I732" s="6"/>
      <c r="J732" s="6"/>
      <c r="K732" s="6"/>
    </row>
    <row r="733" spans="9:11">
      <c r="I733" s="6"/>
      <c r="J733" s="6"/>
      <c r="K733" s="6"/>
    </row>
    <row r="734" spans="9:11">
      <c r="I734" s="6"/>
      <c r="J734" s="6"/>
      <c r="K734" s="6"/>
    </row>
    <row r="735" spans="9:11">
      <c r="I735" s="6"/>
      <c r="J735" s="6"/>
      <c r="K735" s="6"/>
    </row>
    <row r="736" spans="9:11">
      <c r="I736" s="6"/>
      <c r="J736" s="6"/>
      <c r="K736" s="6"/>
    </row>
    <row r="737" spans="9:11">
      <c r="I737" s="6"/>
      <c r="J737" s="6"/>
      <c r="K737" s="6"/>
    </row>
    <row r="738" spans="9:11">
      <c r="I738" s="6"/>
      <c r="J738" s="6"/>
      <c r="K738" s="6"/>
    </row>
    <row r="739" spans="9:11">
      <c r="I739" s="6"/>
      <c r="J739" s="6"/>
      <c r="K739" s="6"/>
    </row>
    <row r="740" spans="9:11">
      <c r="I740" s="6"/>
      <c r="J740" s="6"/>
      <c r="K740" s="6"/>
    </row>
    <row r="741" spans="9:11">
      <c r="I741" s="6"/>
      <c r="J741" s="6"/>
      <c r="K741" s="6"/>
    </row>
    <row r="742" spans="9:11">
      <c r="I742" s="6"/>
      <c r="J742" s="6"/>
      <c r="K742" s="6"/>
    </row>
    <row r="743" spans="9:11">
      <c r="I743" s="6"/>
      <c r="J743" s="6"/>
      <c r="K743" s="6"/>
    </row>
    <row r="744" spans="9:11">
      <c r="I744" s="6"/>
      <c r="J744" s="6"/>
      <c r="K744" s="6"/>
    </row>
    <row r="745" spans="9:11">
      <c r="I745" s="6"/>
      <c r="J745" s="6"/>
      <c r="K745" s="6"/>
    </row>
    <row r="746" spans="9:11">
      <c r="I746" s="6"/>
      <c r="J746" s="6"/>
      <c r="K746" s="6"/>
    </row>
    <row r="747" spans="9:11">
      <c r="I747" s="6"/>
      <c r="J747" s="6"/>
      <c r="K747" s="6"/>
    </row>
    <row r="748" spans="9:11">
      <c r="I748" s="6"/>
      <c r="J748" s="6"/>
      <c r="K748" s="6"/>
    </row>
    <row r="749" spans="9:11">
      <c r="I749" s="6"/>
      <c r="J749" s="6"/>
      <c r="K749" s="6"/>
    </row>
    <row r="750" spans="9:11">
      <c r="I750" s="6"/>
      <c r="J750" s="6"/>
      <c r="K750" s="6"/>
    </row>
    <row r="751" spans="9:11">
      <c r="I751" s="6"/>
      <c r="J751" s="6"/>
      <c r="K751" s="6"/>
    </row>
    <row r="752" spans="9:11">
      <c r="I752" s="6"/>
      <c r="J752" s="6"/>
      <c r="K752" s="6"/>
    </row>
    <row r="753" spans="9:11">
      <c r="I753" s="6"/>
      <c r="J753" s="6"/>
      <c r="K753" s="6"/>
    </row>
    <row r="754" spans="9:11">
      <c r="I754" s="6"/>
      <c r="J754" s="6"/>
      <c r="K754" s="6"/>
    </row>
    <row r="755" spans="9:11">
      <c r="I755" s="6"/>
      <c r="J755" s="6"/>
      <c r="K755" s="6"/>
    </row>
    <row r="756" spans="9:11">
      <c r="I756" s="6"/>
      <c r="J756" s="6"/>
      <c r="K756" s="6"/>
    </row>
    <row r="757" spans="9:11">
      <c r="I757" s="6"/>
      <c r="J757" s="6"/>
      <c r="K757" s="6"/>
    </row>
    <row r="758" spans="9:11">
      <c r="I758" s="6"/>
      <c r="J758" s="6"/>
      <c r="K758" s="6"/>
    </row>
    <row r="759" spans="9:11">
      <c r="I759" s="6"/>
      <c r="J759" s="6"/>
      <c r="K759" s="6"/>
    </row>
    <row r="760" spans="9:11">
      <c r="I760" s="6"/>
      <c r="J760" s="6"/>
      <c r="K760" s="6"/>
    </row>
    <row r="761" spans="9:11">
      <c r="I761" s="6"/>
      <c r="J761" s="6"/>
      <c r="K761" s="6"/>
    </row>
    <row r="762" spans="9:11">
      <c r="I762" s="6"/>
      <c r="J762" s="6"/>
      <c r="K762" s="6"/>
    </row>
    <row r="763" spans="9:11">
      <c r="I763" s="6"/>
      <c r="J763" s="6"/>
      <c r="K763" s="6"/>
    </row>
    <row r="764" spans="9:11">
      <c r="I764" s="6"/>
      <c r="J764" s="6"/>
      <c r="K764" s="6"/>
    </row>
    <row r="765" spans="9:11">
      <c r="I765" s="6"/>
      <c r="J765" s="6"/>
      <c r="K765" s="6"/>
    </row>
    <row r="766" spans="9:11">
      <c r="I766" s="6"/>
      <c r="J766" s="6"/>
      <c r="K766" s="6"/>
    </row>
    <row r="767" spans="9:11">
      <c r="I767" s="6"/>
      <c r="J767" s="6"/>
      <c r="K767" s="6"/>
    </row>
    <row r="768" spans="9:11">
      <c r="I768" s="6"/>
      <c r="J768" s="6"/>
      <c r="K768" s="6"/>
    </row>
    <row r="769" spans="9:11">
      <c r="I769" s="6"/>
      <c r="J769" s="6"/>
      <c r="K769" s="6"/>
    </row>
    <row r="770" spans="9:11">
      <c r="I770" s="6"/>
      <c r="J770" s="6"/>
      <c r="K770" s="6"/>
    </row>
    <row r="771" spans="9:11">
      <c r="I771" s="6"/>
      <c r="J771" s="6"/>
      <c r="K771" s="6"/>
    </row>
    <row r="772" spans="9:11">
      <c r="I772" s="6"/>
      <c r="J772" s="6"/>
      <c r="K772" s="6"/>
    </row>
    <row r="773" spans="9:11">
      <c r="I773" s="6"/>
      <c r="J773" s="6"/>
      <c r="K773" s="6"/>
    </row>
    <row r="774" spans="9:11">
      <c r="I774" s="6"/>
      <c r="J774" s="6"/>
      <c r="K774" s="6"/>
    </row>
    <row r="775" spans="9:11">
      <c r="I775" s="6"/>
      <c r="J775" s="6"/>
      <c r="K775" s="6"/>
    </row>
    <row r="776" spans="9:11">
      <c r="I776" s="6"/>
      <c r="J776" s="6"/>
      <c r="K776" s="6"/>
    </row>
    <row r="777" spans="9:11">
      <c r="I777" s="6"/>
      <c r="J777" s="6"/>
      <c r="K777" s="6"/>
    </row>
    <row r="778" spans="9:11">
      <c r="I778" s="6"/>
      <c r="J778" s="6"/>
      <c r="K778" s="6"/>
    </row>
    <row r="779" spans="9:11">
      <c r="I779" s="6"/>
      <c r="J779" s="6"/>
      <c r="K779" s="6"/>
    </row>
    <row r="780" spans="9:11">
      <c r="I780" s="6"/>
      <c r="J780" s="6"/>
      <c r="K780" s="6"/>
    </row>
    <row r="781" spans="9:11">
      <c r="I781" s="6"/>
      <c r="J781" s="6"/>
      <c r="K781" s="6"/>
    </row>
    <row r="782" spans="9:11">
      <c r="I782" s="6"/>
      <c r="J782" s="6"/>
      <c r="K782" s="6"/>
    </row>
    <row r="783" spans="9:11">
      <c r="I783" s="6"/>
      <c r="J783" s="6"/>
      <c r="K783" s="6"/>
    </row>
    <row r="784" spans="9:11">
      <c r="I784" s="6"/>
      <c r="J784" s="6"/>
      <c r="K784" s="6"/>
    </row>
    <row r="785" spans="9:11">
      <c r="I785" s="6"/>
      <c r="J785" s="6"/>
      <c r="K785" s="6"/>
    </row>
    <row r="786" spans="9:11">
      <c r="I786" s="6"/>
      <c r="J786" s="6"/>
      <c r="K786" s="6"/>
    </row>
    <row r="787" spans="9:11">
      <c r="I787" s="6"/>
      <c r="J787" s="6"/>
      <c r="K787" s="6"/>
    </row>
    <row r="788" spans="9:11">
      <c r="I788" s="6"/>
      <c r="J788" s="6"/>
      <c r="K788" s="6"/>
    </row>
    <row r="789" spans="9:11">
      <c r="I789" s="6"/>
      <c r="J789" s="6"/>
      <c r="K789" s="6"/>
    </row>
    <row r="790" spans="9:11">
      <c r="I790" s="6"/>
      <c r="J790" s="6"/>
      <c r="K790" s="6"/>
    </row>
    <row r="791" spans="9:11">
      <c r="I791" s="6"/>
      <c r="J791" s="6"/>
      <c r="K791" s="6"/>
    </row>
    <row r="792" spans="9:11">
      <c r="I792" s="6"/>
      <c r="J792" s="6"/>
      <c r="K792" s="6"/>
    </row>
    <row r="793" spans="9:11">
      <c r="I793" s="6"/>
      <c r="J793" s="6"/>
      <c r="K793" s="6"/>
    </row>
    <row r="794" spans="9:11">
      <c r="I794" s="6"/>
      <c r="J794" s="6"/>
      <c r="K794" s="6"/>
    </row>
    <row r="795" spans="9:11">
      <c r="I795" s="6"/>
      <c r="J795" s="6"/>
      <c r="K795" s="6"/>
    </row>
    <row r="796" spans="9:11">
      <c r="I796" s="6"/>
      <c r="J796" s="6"/>
      <c r="K796" s="6"/>
    </row>
    <row r="797" spans="9:11">
      <c r="I797" s="6"/>
      <c r="J797" s="6"/>
      <c r="K797" s="6"/>
    </row>
    <row r="798" spans="9:11">
      <c r="I798" s="6"/>
      <c r="J798" s="6"/>
      <c r="K798" s="6"/>
    </row>
    <row r="799" spans="9:11">
      <c r="I799" s="6"/>
      <c r="J799" s="6"/>
      <c r="K799" s="6"/>
    </row>
    <row r="800" spans="9:11">
      <c r="I800" s="6"/>
      <c r="J800" s="6"/>
      <c r="K800" s="6"/>
    </row>
    <row r="801" spans="9:11">
      <c r="I801" s="6"/>
      <c r="J801" s="6"/>
      <c r="K801" s="6"/>
    </row>
    <row r="802" spans="9:11">
      <c r="I802" s="6"/>
      <c r="J802" s="6"/>
      <c r="K802" s="6"/>
    </row>
    <row r="803" spans="9:11">
      <c r="I803" s="6"/>
      <c r="J803" s="6"/>
      <c r="K803" s="6"/>
    </row>
    <row r="804" spans="9:11">
      <c r="I804" s="6"/>
      <c r="J804" s="6"/>
      <c r="K804" s="6"/>
    </row>
    <row r="805" spans="9:11">
      <c r="I805" s="6"/>
      <c r="J805" s="6"/>
      <c r="K805" s="6"/>
    </row>
    <row r="806" spans="9:11">
      <c r="I806" s="6"/>
      <c r="J806" s="6"/>
      <c r="K806" s="6"/>
    </row>
    <row r="807" spans="9:11">
      <c r="I807" s="6"/>
      <c r="J807" s="6"/>
      <c r="K807" s="6"/>
    </row>
    <row r="808" spans="9:11">
      <c r="I808" s="6"/>
      <c r="J808" s="6"/>
      <c r="K808" s="6"/>
    </row>
    <row r="809" spans="9:11">
      <c r="I809" s="6"/>
      <c r="J809" s="6"/>
      <c r="K809" s="6"/>
    </row>
    <row r="810" spans="9:11">
      <c r="I810" s="6"/>
      <c r="J810" s="6"/>
      <c r="K810" s="6"/>
    </row>
    <row r="811" spans="9:11">
      <c r="I811" s="6"/>
      <c r="J811" s="6"/>
      <c r="K811" s="6"/>
    </row>
    <row r="812" spans="9:11">
      <c r="I812" s="6"/>
      <c r="J812" s="6"/>
      <c r="K812" s="6"/>
    </row>
    <row r="813" spans="9:11">
      <c r="I813" s="6"/>
      <c r="J813" s="6"/>
      <c r="K813" s="6"/>
    </row>
    <row r="814" spans="9:11">
      <c r="I814" s="6"/>
      <c r="J814" s="6"/>
      <c r="K814" s="6"/>
    </row>
    <row r="815" spans="9:11">
      <c r="I815" s="6"/>
      <c r="J815" s="6"/>
      <c r="K815" s="6"/>
    </row>
    <row r="816" spans="9:11">
      <c r="I816" s="6"/>
      <c r="J816" s="6"/>
      <c r="K816" s="6"/>
    </row>
    <row r="817" spans="9:11">
      <c r="I817" s="6"/>
      <c r="J817" s="6"/>
      <c r="K817" s="6"/>
    </row>
    <row r="818" spans="9:11">
      <c r="I818" s="6"/>
      <c r="J818" s="6"/>
      <c r="K818" s="6"/>
    </row>
    <row r="819" spans="9:11">
      <c r="I819" s="6"/>
      <c r="J819" s="6"/>
      <c r="K819" s="6"/>
    </row>
    <row r="820" spans="9:11">
      <c r="I820" s="6"/>
      <c r="J820" s="6"/>
      <c r="K820" s="6"/>
    </row>
    <row r="821" spans="9:11">
      <c r="I821" s="6"/>
      <c r="J821" s="6"/>
      <c r="K821" s="6"/>
    </row>
    <row r="822" spans="9:11">
      <c r="I822" s="6"/>
      <c r="J822" s="6"/>
      <c r="K822" s="6"/>
    </row>
    <row r="823" spans="9:11">
      <c r="I823" s="6"/>
      <c r="J823" s="6"/>
      <c r="K823" s="6"/>
    </row>
    <row r="824" spans="9:11">
      <c r="I824" s="6"/>
      <c r="J824" s="6"/>
      <c r="K824" s="6"/>
    </row>
    <row r="825" spans="9:11">
      <c r="I825" s="6"/>
      <c r="J825" s="6"/>
      <c r="K825" s="6"/>
    </row>
    <row r="826" spans="9:11">
      <c r="I826" s="6"/>
      <c r="J826" s="6"/>
      <c r="K826" s="6"/>
    </row>
    <row r="827" spans="9:11">
      <c r="I827" s="6"/>
      <c r="J827" s="6"/>
      <c r="K827" s="6"/>
    </row>
    <row r="828" spans="9:11">
      <c r="I828" s="6"/>
      <c r="J828" s="6"/>
      <c r="K828" s="6"/>
    </row>
    <row r="829" spans="9:11">
      <c r="I829" s="6"/>
      <c r="J829" s="6"/>
      <c r="K829" s="6"/>
    </row>
    <row r="830" spans="9:11">
      <c r="I830" s="6"/>
      <c r="J830" s="6"/>
      <c r="K830" s="6"/>
    </row>
    <row r="831" spans="9:11">
      <c r="I831" s="6"/>
      <c r="J831" s="6"/>
      <c r="K831" s="6"/>
    </row>
    <row r="832" spans="9:11">
      <c r="I832" s="6"/>
      <c r="J832" s="6"/>
      <c r="K832" s="6"/>
    </row>
    <row r="833" spans="9:11">
      <c r="I833" s="6"/>
      <c r="J833" s="6"/>
      <c r="K833" s="6"/>
    </row>
    <row r="834" spans="9:11">
      <c r="I834" s="6"/>
      <c r="J834" s="6"/>
      <c r="K834" s="6"/>
    </row>
    <row r="835" spans="9:11">
      <c r="I835" s="6"/>
      <c r="J835" s="6"/>
      <c r="K835" s="6"/>
    </row>
    <row r="836" spans="9:11">
      <c r="I836" s="6"/>
      <c r="J836" s="6"/>
      <c r="K836" s="6"/>
    </row>
    <row r="837" spans="9:11">
      <c r="I837" s="6"/>
      <c r="J837" s="6"/>
      <c r="K837" s="6"/>
    </row>
    <row r="838" spans="9:11">
      <c r="I838" s="6"/>
      <c r="J838" s="6"/>
      <c r="K838" s="6"/>
    </row>
    <row r="839" spans="9:11">
      <c r="I839" s="6"/>
      <c r="J839" s="6"/>
      <c r="K839" s="6"/>
    </row>
    <row r="840" spans="9:11">
      <c r="I840" s="6"/>
      <c r="J840" s="6"/>
      <c r="K840" s="6"/>
    </row>
    <row r="841" spans="9:11">
      <c r="I841" s="6"/>
      <c r="J841" s="6"/>
      <c r="K841" s="6"/>
    </row>
    <row r="842" spans="9:11">
      <c r="I842" s="6"/>
      <c r="J842" s="6"/>
      <c r="K842" s="6"/>
    </row>
    <row r="843" spans="9:11">
      <c r="I843" s="6"/>
      <c r="J843" s="6"/>
      <c r="K843" s="6"/>
    </row>
    <row r="844" spans="9:11">
      <c r="I844" s="6"/>
      <c r="J844" s="6"/>
      <c r="K844" s="6"/>
    </row>
    <row r="845" spans="9:11">
      <c r="I845" s="6"/>
      <c r="J845" s="6"/>
      <c r="K845" s="6"/>
    </row>
    <row r="846" spans="9:11">
      <c r="I846" s="6"/>
      <c r="J846" s="6"/>
      <c r="K846" s="6"/>
    </row>
    <row r="847" spans="9:11">
      <c r="I847" s="6"/>
      <c r="J847" s="6"/>
      <c r="K847" s="6"/>
    </row>
    <row r="848" spans="9:11">
      <c r="I848" s="6"/>
      <c r="J848" s="6"/>
      <c r="K848" s="6"/>
    </row>
    <row r="849" spans="9:11">
      <c r="I849" s="6"/>
      <c r="J849" s="6"/>
      <c r="K849" s="6"/>
    </row>
    <row r="850" spans="9:11">
      <c r="I850" s="6"/>
      <c r="J850" s="6"/>
      <c r="K850" s="6"/>
    </row>
    <row r="851" spans="9:11">
      <c r="I851" s="6"/>
      <c r="J851" s="6"/>
      <c r="K851" s="6"/>
    </row>
    <row r="852" spans="9:11">
      <c r="I852" s="6"/>
      <c r="J852" s="6"/>
      <c r="K852" s="6"/>
    </row>
    <row r="853" spans="9:11">
      <c r="I853" s="6"/>
      <c r="J853" s="6"/>
      <c r="K853" s="6"/>
    </row>
    <row r="854" spans="9:11">
      <c r="I854" s="6"/>
      <c r="J854" s="6"/>
      <c r="K854" s="6"/>
    </row>
    <row r="855" spans="9:11">
      <c r="I855" s="6"/>
      <c r="J855" s="6"/>
      <c r="K855" s="6"/>
    </row>
    <row r="856" spans="9:11">
      <c r="I856" s="6"/>
      <c r="J856" s="6"/>
      <c r="K856" s="6"/>
    </row>
    <row r="857" spans="9:11">
      <c r="I857" s="6"/>
      <c r="J857" s="6"/>
      <c r="K857" s="6"/>
    </row>
    <row r="858" spans="9:11">
      <c r="I858" s="6"/>
      <c r="J858" s="6"/>
      <c r="K858" s="6"/>
    </row>
    <row r="859" spans="9:11">
      <c r="I859" s="6"/>
      <c r="J859" s="6"/>
      <c r="K859" s="6"/>
    </row>
    <row r="860" spans="9:11">
      <c r="I860" s="6"/>
      <c r="J860" s="6"/>
      <c r="K860" s="6"/>
    </row>
    <row r="861" spans="9:11">
      <c r="I861" s="6"/>
      <c r="J861" s="6"/>
      <c r="K861" s="6"/>
    </row>
    <row r="862" spans="9:11">
      <c r="I862" s="6"/>
      <c r="J862" s="6"/>
      <c r="K862" s="6"/>
    </row>
    <row r="863" spans="9:11">
      <c r="I863" s="6"/>
      <c r="J863" s="6"/>
      <c r="K863" s="6"/>
    </row>
    <row r="864" spans="9:11">
      <c r="I864" s="6"/>
      <c r="J864" s="6"/>
      <c r="K864" s="6"/>
    </row>
    <row r="865" spans="9:11">
      <c r="I865" s="6"/>
      <c r="J865" s="6"/>
      <c r="K865" s="6"/>
    </row>
    <row r="866" spans="9:11">
      <c r="I866" s="6"/>
      <c r="J866" s="6"/>
      <c r="K866" s="6"/>
    </row>
    <row r="867" spans="9:11">
      <c r="I867" s="6"/>
      <c r="J867" s="6"/>
      <c r="K867" s="6"/>
    </row>
    <row r="868" spans="9:11">
      <c r="I868" s="6"/>
      <c r="J868" s="6"/>
      <c r="K868" s="6"/>
    </row>
    <row r="869" spans="9:11">
      <c r="I869" s="6"/>
      <c r="J869" s="6"/>
      <c r="K869" s="6"/>
    </row>
    <row r="870" spans="9:11">
      <c r="I870" s="6"/>
      <c r="J870" s="6"/>
      <c r="K870" s="6"/>
    </row>
    <row r="871" spans="9:11">
      <c r="I871" s="6"/>
      <c r="J871" s="6"/>
      <c r="K871" s="6"/>
    </row>
    <row r="872" spans="9:11">
      <c r="I872" s="6"/>
      <c r="J872" s="6"/>
      <c r="K872" s="6"/>
    </row>
    <row r="873" spans="9:11">
      <c r="I873" s="6"/>
      <c r="J873" s="6"/>
      <c r="K873" s="6"/>
    </row>
    <row r="874" spans="9:11">
      <c r="I874" s="6"/>
      <c r="J874" s="6"/>
      <c r="K874" s="6"/>
    </row>
    <row r="875" spans="9:11">
      <c r="I875" s="6"/>
      <c r="J875" s="6"/>
      <c r="K875" s="6"/>
    </row>
    <row r="876" spans="9:11">
      <c r="I876" s="6"/>
      <c r="J876" s="6"/>
      <c r="K876" s="6"/>
    </row>
    <row r="877" spans="9:11">
      <c r="I877" s="6"/>
      <c r="J877" s="6"/>
      <c r="K877" s="6"/>
    </row>
    <row r="878" spans="9:11">
      <c r="I878" s="6"/>
      <c r="J878" s="6"/>
      <c r="K878" s="6"/>
    </row>
    <row r="879" spans="9:11">
      <c r="I879" s="6"/>
      <c r="J879" s="6"/>
      <c r="K879" s="6"/>
    </row>
    <row r="880" spans="9:11">
      <c r="I880" s="6"/>
      <c r="J880" s="6"/>
      <c r="K880" s="6"/>
    </row>
    <row r="881" spans="9:11">
      <c r="I881" s="6"/>
      <c r="J881" s="6"/>
      <c r="K881" s="6"/>
    </row>
    <row r="882" spans="9:11">
      <c r="I882" s="6"/>
      <c r="J882" s="6"/>
      <c r="K882" s="6"/>
    </row>
    <row r="883" spans="9:11">
      <c r="I883" s="6"/>
      <c r="J883" s="6"/>
      <c r="K883" s="6"/>
    </row>
    <row r="884" spans="9:11">
      <c r="I884" s="6"/>
      <c r="J884" s="6"/>
      <c r="K884" s="6"/>
    </row>
    <row r="885" spans="9:11">
      <c r="I885" s="6"/>
      <c r="J885" s="6"/>
      <c r="K885" s="6"/>
    </row>
    <row r="886" spans="9:11">
      <c r="I886" s="6"/>
      <c r="J886" s="6"/>
      <c r="K886" s="6"/>
    </row>
    <row r="887" spans="9:11">
      <c r="I887" s="6"/>
      <c r="J887" s="6"/>
      <c r="K887" s="6"/>
    </row>
    <row r="888" spans="9:11">
      <c r="I888" s="6"/>
      <c r="J888" s="6"/>
      <c r="K888" s="6"/>
    </row>
    <row r="889" spans="9:11">
      <c r="I889" s="6"/>
      <c r="J889" s="6"/>
      <c r="K889" s="6"/>
    </row>
    <row r="890" spans="9:11">
      <c r="I890" s="6"/>
      <c r="J890" s="6"/>
      <c r="K890" s="6"/>
    </row>
    <row r="891" spans="9:11">
      <c r="I891" s="6"/>
      <c r="J891" s="6"/>
      <c r="K891" s="6"/>
    </row>
    <row r="892" spans="9:11">
      <c r="I892" s="6"/>
      <c r="J892" s="6"/>
      <c r="K892" s="6"/>
    </row>
    <row r="893" spans="9:11">
      <c r="I893" s="6"/>
      <c r="J893" s="6"/>
      <c r="K893" s="6"/>
    </row>
    <row r="894" spans="9:11">
      <c r="I894" s="6"/>
      <c r="J894" s="6"/>
      <c r="K894" s="6"/>
    </row>
    <row r="895" spans="9:11">
      <c r="I895" s="6"/>
      <c r="J895" s="6"/>
      <c r="K895" s="6"/>
    </row>
    <row r="896" spans="9:11">
      <c r="I896" s="6"/>
      <c r="J896" s="6"/>
      <c r="K896" s="6"/>
    </row>
    <row r="897" spans="9:11">
      <c r="I897" s="6"/>
      <c r="J897" s="6"/>
      <c r="K897" s="6"/>
    </row>
    <row r="898" spans="9:11">
      <c r="I898" s="6"/>
      <c r="J898" s="6"/>
      <c r="K898" s="6"/>
    </row>
    <row r="899" spans="9:11">
      <c r="I899" s="6"/>
      <c r="J899" s="6"/>
      <c r="K899" s="6"/>
    </row>
    <row r="900" spans="9:11">
      <c r="I900" s="6"/>
      <c r="J900" s="6"/>
      <c r="K900" s="6"/>
    </row>
    <row r="901" spans="9:11">
      <c r="I901" s="6"/>
      <c r="J901" s="6"/>
      <c r="K901" s="6"/>
    </row>
    <row r="902" spans="9:11">
      <c r="I902" s="6"/>
      <c r="J902" s="6"/>
      <c r="K902" s="6"/>
    </row>
    <row r="903" spans="9:11">
      <c r="I903" s="6"/>
      <c r="J903" s="6"/>
      <c r="K903" s="6"/>
    </row>
    <row r="904" spans="9:11">
      <c r="I904" s="6"/>
      <c r="J904" s="6"/>
      <c r="K904" s="6"/>
    </row>
    <row r="905" spans="9:11">
      <c r="I905" s="6"/>
      <c r="J905" s="6"/>
      <c r="K905" s="6"/>
    </row>
    <row r="906" spans="9:11">
      <c r="I906" s="6"/>
      <c r="J906" s="6"/>
      <c r="K906" s="6"/>
    </row>
    <row r="907" spans="9:11">
      <c r="I907" s="6"/>
      <c r="J907" s="6"/>
      <c r="K907" s="6"/>
    </row>
    <row r="908" spans="9:11">
      <c r="I908" s="6"/>
      <c r="J908" s="6"/>
      <c r="K908" s="6"/>
    </row>
    <row r="909" spans="9:11">
      <c r="I909" s="6"/>
      <c r="J909" s="6"/>
      <c r="K909" s="6"/>
    </row>
    <row r="910" spans="9:11">
      <c r="I910" s="6"/>
      <c r="J910" s="6"/>
      <c r="K910" s="6"/>
    </row>
    <row r="911" spans="9:11">
      <c r="I911" s="6"/>
      <c r="J911" s="6"/>
      <c r="K911" s="6"/>
    </row>
    <row r="912" spans="9:11">
      <c r="I912" s="6"/>
      <c r="J912" s="6"/>
      <c r="K912" s="6"/>
    </row>
    <row r="913" spans="9:11">
      <c r="I913" s="6"/>
      <c r="J913" s="6"/>
      <c r="K913" s="6"/>
    </row>
    <row r="914" spans="9:11">
      <c r="I914" s="6"/>
      <c r="J914" s="6"/>
      <c r="K914" s="6"/>
    </row>
    <row r="915" spans="9:11">
      <c r="I915" s="6"/>
      <c r="J915" s="6"/>
      <c r="K915" s="6"/>
    </row>
    <row r="916" spans="9:11">
      <c r="I916" s="6"/>
      <c r="J916" s="6"/>
      <c r="K916" s="6"/>
    </row>
    <row r="917" spans="9:11">
      <c r="I917" s="6"/>
      <c r="J917" s="6"/>
      <c r="K917" s="6"/>
    </row>
    <row r="918" spans="9:11">
      <c r="I918" s="6"/>
      <c r="J918" s="6"/>
      <c r="K918" s="6"/>
    </row>
    <row r="919" spans="9:11">
      <c r="I919" s="6"/>
      <c r="J919" s="6"/>
      <c r="K919" s="6"/>
    </row>
    <row r="920" spans="9:11">
      <c r="I920" s="6"/>
      <c r="J920" s="6"/>
      <c r="K920" s="6"/>
    </row>
    <row r="921" spans="9:11">
      <c r="I921" s="6"/>
      <c r="J921" s="6"/>
      <c r="K921" s="6"/>
    </row>
    <row r="922" spans="9:11">
      <c r="I922" s="6"/>
      <c r="J922" s="6"/>
      <c r="K922" s="6"/>
    </row>
    <row r="923" spans="9:11">
      <c r="I923" s="6"/>
      <c r="J923" s="6"/>
      <c r="K923" s="6"/>
    </row>
    <row r="924" spans="9:11">
      <c r="I924" s="6"/>
      <c r="J924" s="6"/>
      <c r="K924" s="6"/>
    </row>
    <row r="925" spans="9:11">
      <c r="I925" s="6"/>
      <c r="J925" s="6"/>
      <c r="K925" s="6"/>
    </row>
    <row r="926" spans="9:11">
      <c r="I926" s="6"/>
      <c r="J926" s="6"/>
      <c r="K926" s="6"/>
    </row>
    <row r="927" spans="9:11">
      <c r="I927" s="6"/>
      <c r="J927" s="6"/>
      <c r="K927" s="6"/>
    </row>
    <row r="928" spans="9:11">
      <c r="I928" s="6"/>
      <c r="J928" s="6"/>
      <c r="K928" s="6"/>
    </row>
    <row r="929" spans="9:11">
      <c r="I929" s="6"/>
      <c r="J929" s="6"/>
      <c r="K929" s="6"/>
    </row>
    <row r="930" spans="9:11">
      <c r="I930" s="6"/>
      <c r="J930" s="6"/>
      <c r="K930" s="6"/>
    </row>
    <row r="931" spans="9:11">
      <c r="I931" s="6"/>
      <c r="J931" s="6"/>
      <c r="K931" s="6"/>
    </row>
    <row r="932" spans="9:11">
      <c r="I932" s="6"/>
      <c r="J932" s="6"/>
      <c r="K932" s="6"/>
    </row>
    <row r="933" spans="9:11">
      <c r="I933" s="6"/>
      <c r="J933" s="6"/>
      <c r="K933" s="6"/>
    </row>
    <row r="934" spans="9:11">
      <c r="I934" s="6"/>
      <c r="J934" s="6"/>
      <c r="K934" s="6"/>
    </row>
    <row r="935" spans="9:11">
      <c r="I935" s="6"/>
      <c r="J935" s="6"/>
      <c r="K935" s="6"/>
    </row>
    <row r="936" spans="9:11">
      <c r="I936" s="6"/>
      <c r="J936" s="6"/>
      <c r="K936" s="6"/>
    </row>
    <row r="937" spans="9:11">
      <c r="I937" s="6"/>
      <c r="J937" s="6"/>
      <c r="K937" s="6"/>
    </row>
    <row r="938" spans="9:11">
      <c r="I938" s="6"/>
      <c r="J938" s="6"/>
      <c r="K938" s="6"/>
    </row>
    <row r="939" spans="9:11">
      <c r="I939" s="6"/>
      <c r="J939" s="6"/>
      <c r="K939" s="6"/>
    </row>
    <row r="940" spans="9:11">
      <c r="I940" s="6"/>
      <c r="J940" s="6"/>
      <c r="K940" s="6"/>
    </row>
    <row r="941" spans="9:11">
      <c r="I941" s="6"/>
      <c r="J941" s="6"/>
      <c r="K941" s="6"/>
    </row>
    <row r="942" spans="9:11">
      <c r="I942" s="6"/>
      <c r="J942" s="6"/>
      <c r="K942" s="6"/>
    </row>
    <row r="943" spans="9:11">
      <c r="I943" s="6"/>
      <c r="J943" s="6"/>
      <c r="K943" s="6"/>
    </row>
    <row r="944" spans="9:11">
      <c r="I944" s="6"/>
      <c r="J944" s="6"/>
      <c r="K944" s="6"/>
    </row>
    <row r="945" spans="9:11">
      <c r="I945" s="6"/>
      <c r="J945" s="6"/>
      <c r="K945" s="6"/>
    </row>
    <row r="946" spans="9:11">
      <c r="I946" s="6"/>
      <c r="J946" s="6"/>
      <c r="K946" s="6"/>
    </row>
    <row r="947" spans="9:11">
      <c r="I947" s="6"/>
      <c r="J947" s="6"/>
      <c r="K947" s="6"/>
    </row>
    <row r="948" spans="9:11">
      <c r="I948" s="6"/>
      <c r="J948" s="6"/>
      <c r="K948" s="6"/>
    </row>
    <row r="949" spans="9:11">
      <c r="I949" s="6"/>
      <c r="J949" s="6"/>
      <c r="K949" s="6"/>
    </row>
    <row r="950" spans="9:11">
      <c r="I950" s="6"/>
      <c r="J950" s="6"/>
      <c r="K950" s="6"/>
    </row>
    <row r="951" spans="9:11">
      <c r="I951" s="6"/>
      <c r="J951" s="6"/>
      <c r="K951" s="6"/>
    </row>
    <row r="952" spans="9:11">
      <c r="I952" s="6"/>
      <c r="J952" s="6"/>
      <c r="K952" s="6"/>
    </row>
    <row r="953" spans="9:11">
      <c r="I953" s="6"/>
      <c r="J953" s="6"/>
      <c r="K953" s="6"/>
    </row>
    <row r="954" spans="9:11">
      <c r="I954" s="6"/>
      <c r="J954" s="6"/>
      <c r="K954" s="6"/>
    </row>
    <row r="955" spans="9:11">
      <c r="I955" s="6"/>
      <c r="J955" s="6"/>
      <c r="K955" s="6"/>
    </row>
    <row r="956" spans="9:11">
      <c r="I956" s="6"/>
      <c r="J956" s="6"/>
      <c r="K956" s="6"/>
    </row>
    <row r="957" spans="9:11">
      <c r="I957" s="6"/>
      <c r="J957" s="6"/>
      <c r="K957" s="6"/>
    </row>
    <row r="958" spans="9:11">
      <c r="I958" s="6"/>
      <c r="J958" s="6"/>
      <c r="K958" s="6"/>
    </row>
    <row r="959" spans="9:11">
      <c r="I959" s="6"/>
      <c r="J959" s="6"/>
      <c r="K959" s="6"/>
    </row>
    <row r="960" spans="9:11">
      <c r="I960" s="6"/>
      <c r="J960" s="6"/>
      <c r="K960" s="6"/>
    </row>
    <row r="961" spans="9:11">
      <c r="I961" s="6"/>
      <c r="J961" s="6"/>
      <c r="K961" s="6"/>
    </row>
    <row r="962" spans="9:11">
      <c r="I962" s="6"/>
      <c r="J962" s="6"/>
      <c r="K962" s="6"/>
    </row>
    <row r="963" spans="9:11">
      <c r="I963" s="6"/>
      <c r="J963" s="6"/>
      <c r="K963" s="6"/>
    </row>
    <row r="964" spans="9:11">
      <c r="I964" s="6"/>
      <c r="J964" s="6"/>
      <c r="K964" s="6"/>
    </row>
    <row r="965" spans="9:11">
      <c r="I965" s="6"/>
      <c r="J965" s="6"/>
      <c r="K965" s="6"/>
    </row>
    <row r="966" spans="9:11">
      <c r="I966" s="6"/>
      <c r="J966" s="6"/>
      <c r="K966" s="6"/>
    </row>
    <row r="967" spans="9:11">
      <c r="I967" s="6"/>
      <c r="J967" s="6"/>
      <c r="K967" s="6"/>
    </row>
    <row r="968" spans="9:11">
      <c r="I968" s="6"/>
      <c r="J968" s="6"/>
      <c r="K968" s="6"/>
    </row>
    <row r="969" spans="9:11">
      <c r="I969" s="6"/>
      <c r="J969" s="6"/>
      <c r="K969" s="6"/>
    </row>
    <row r="970" spans="9:11">
      <c r="I970" s="6"/>
      <c r="J970" s="6"/>
      <c r="K970" s="6"/>
    </row>
    <row r="971" spans="9:11">
      <c r="I971" s="6"/>
      <c r="J971" s="6"/>
      <c r="K971" s="6"/>
    </row>
    <row r="972" spans="9:11">
      <c r="I972" s="6"/>
      <c r="J972" s="6"/>
      <c r="K972" s="6"/>
    </row>
    <row r="973" spans="9:11">
      <c r="I973" s="6"/>
      <c r="J973" s="6"/>
      <c r="K973" s="6"/>
    </row>
    <row r="974" spans="9:11">
      <c r="I974" s="6"/>
      <c r="J974" s="6"/>
      <c r="K974" s="6"/>
    </row>
    <row r="975" spans="9:11">
      <c r="I975" s="6"/>
      <c r="J975" s="6"/>
      <c r="K975" s="6"/>
    </row>
    <row r="976" spans="9:11">
      <c r="I976" s="6"/>
      <c r="J976" s="6"/>
      <c r="K976" s="6"/>
    </row>
    <row r="977" spans="9:11">
      <c r="I977" s="6"/>
      <c r="J977" s="6"/>
      <c r="K977" s="6"/>
    </row>
    <row r="978" spans="9:11">
      <c r="I978" s="6"/>
      <c r="J978" s="6"/>
      <c r="K978" s="6"/>
    </row>
    <row r="979" spans="9:11">
      <c r="I979" s="6"/>
      <c r="J979" s="6"/>
      <c r="K979" s="6"/>
    </row>
    <row r="980" spans="9:11">
      <c r="I980" s="6"/>
      <c r="J980" s="6"/>
      <c r="K980" s="6"/>
    </row>
    <row r="981" spans="9:11">
      <c r="I981" s="6"/>
      <c r="J981" s="6"/>
      <c r="K981" s="6"/>
    </row>
    <row r="982" spans="9:11">
      <c r="I982" s="6"/>
      <c r="J982" s="6"/>
      <c r="K982" s="6"/>
    </row>
    <row r="983" spans="9:11">
      <c r="I983" s="6"/>
      <c r="J983" s="6"/>
      <c r="K983" s="6"/>
    </row>
    <row r="984" spans="9:11">
      <c r="I984" s="6"/>
      <c r="J984" s="6"/>
      <c r="K984" s="6"/>
    </row>
    <row r="985" spans="9:11">
      <c r="I985" s="6"/>
      <c r="J985" s="6"/>
      <c r="K985" s="6"/>
    </row>
    <row r="986" spans="9:11">
      <c r="I986" s="6"/>
      <c r="J986" s="6"/>
      <c r="K986" s="6"/>
    </row>
    <row r="987" spans="9:11">
      <c r="I987" s="6"/>
      <c r="J987" s="6"/>
      <c r="K987" s="6"/>
    </row>
    <row r="988" spans="9:11">
      <c r="I988" s="6"/>
      <c r="J988" s="6"/>
      <c r="K988" s="6"/>
    </row>
    <row r="989" spans="9:11">
      <c r="I989" s="6"/>
      <c r="J989" s="6"/>
      <c r="K989" s="6"/>
    </row>
    <row r="990" spans="9:11">
      <c r="I990" s="6"/>
      <c r="J990" s="6"/>
      <c r="K990" s="6"/>
    </row>
    <row r="991" spans="9:11">
      <c r="I991" s="6"/>
      <c r="J991" s="6"/>
      <c r="K991" s="6"/>
    </row>
    <row r="992" spans="9:11">
      <c r="I992" s="6"/>
      <c r="J992" s="6"/>
      <c r="K992" s="6"/>
    </row>
    <row r="993" spans="9:11">
      <c r="I993" s="6"/>
      <c r="J993" s="6"/>
      <c r="K993" s="6"/>
    </row>
    <row r="994" spans="9:11">
      <c r="I994" s="6"/>
      <c r="J994" s="6"/>
      <c r="K994" s="6"/>
    </row>
    <row r="995" spans="9:11">
      <c r="I995" s="6"/>
      <c r="J995" s="6"/>
      <c r="K995" s="6"/>
    </row>
    <row r="996" spans="9:11">
      <c r="I996" s="6"/>
      <c r="J996" s="6"/>
      <c r="K996" s="6"/>
    </row>
    <row r="997" spans="9:11">
      <c r="I997" s="6"/>
      <c r="J997" s="6"/>
      <c r="K997" s="6"/>
    </row>
    <row r="998" spans="9:11">
      <c r="I998" s="6"/>
      <c r="J998" s="6"/>
      <c r="K998" s="6"/>
    </row>
    <row r="999" spans="9:11">
      <c r="I999" s="6"/>
      <c r="J999" s="6"/>
      <c r="K999" s="6"/>
    </row>
    <row r="1000" spans="9:11">
      <c r="I1000" s="6"/>
      <c r="J1000" s="6"/>
      <c r="K1000" s="6"/>
    </row>
    <row r="1001" spans="9:11">
      <c r="I1001" s="6"/>
      <c r="J1001" s="6"/>
      <c r="K1001" s="6"/>
    </row>
    <row r="1002" spans="9:11">
      <c r="I1002" s="6"/>
      <c r="J1002" s="6"/>
      <c r="K1002" s="6"/>
    </row>
    <row r="1003" spans="9:11">
      <c r="I1003" s="6"/>
      <c r="J1003" s="6"/>
      <c r="K1003" s="6"/>
    </row>
    <row r="1004" spans="9:11">
      <c r="I1004" s="6"/>
      <c r="J1004" s="6"/>
      <c r="K1004" s="6"/>
    </row>
    <row r="1005" spans="9:11">
      <c r="I1005" s="6"/>
      <c r="J1005" s="6"/>
      <c r="K1005" s="6"/>
    </row>
    <row r="1006" spans="9:11">
      <c r="I1006" s="6"/>
      <c r="J1006" s="6"/>
      <c r="K1006" s="6"/>
    </row>
    <row r="1007" spans="9:11">
      <c r="I1007" s="6"/>
      <c r="J1007" s="6"/>
      <c r="K1007" s="6"/>
    </row>
    <row r="1008" spans="9:11">
      <c r="I1008" s="6"/>
      <c r="J1008" s="6"/>
      <c r="K1008" s="6"/>
    </row>
    <row r="1009" spans="9:11">
      <c r="I1009" s="6"/>
      <c r="J1009" s="6"/>
      <c r="K1009" s="6"/>
    </row>
    <row r="1010" spans="9:11">
      <c r="I1010" s="6"/>
      <c r="J1010" s="6"/>
      <c r="K1010" s="6"/>
    </row>
    <row r="1011" spans="9:11">
      <c r="I1011" s="6"/>
      <c r="J1011" s="6"/>
      <c r="K1011" s="6"/>
    </row>
    <row r="1012" spans="9:11">
      <c r="I1012" s="6"/>
      <c r="J1012" s="6"/>
      <c r="K1012" s="6"/>
    </row>
    <row r="1013" spans="9:11">
      <c r="I1013" s="6"/>
      <c r="J1013" s="6"/>
      <c r="K1013" s="6"/>
    </row>
    <row r="1014" spans="9:11">
      <c r="I1014" s="6"/>
      <c r="J1014" s="6"/>
      <c r="K1014" s="6"/>
    </row>
    <row r="1015" spans="9:11">
      <c r="I1015" s="6"/>
      <c r="J1015" s="6"/>
      <c r="K1015" s="6"/>
    </row>
    <row r="1016" spans="9:11">
      <c r="I1016" s="6"/>
      <c r="J1016" s="6"/>
      <c r="K1016" s="6"/>
    </row>
    <row r="1017" spans="9:11">
      <c r="I1017" s="6"/>
      <c r="J1017" s="6"/>
      <c r="K1017" s="6"/>
    </row>
    <row r="1018" spans="9:11">
      <c r="I1018" s="6"/>
      <c r="J1018" s="6"/>
      <c r="K1018" s="6"/>
    </row>
    <row r="1019" spans="9:11">
      <c r="I1019" s="6"/>
      <c r="J1019" s="6"/>
      <c r="K1019" s="6"/>
    </row>
    <row r="1020" spans="9:11">
      <c r="I1020" s="6"/>
      <c r="J1020" s="6"/>
      <c r="K1020" s="6"/>
    </row>
    <row r="1021" spans="9:11">
      <c r="I1021" s="6"/>
      <c r="J1021" s="6"/>
      <c r="K1021" s="6"/>
    </row>
    <row r="1022" spans="9:11">
      <c r="I1022" s="6"/>
      <c r="J1022" s="6"/>
      <c r="K1022" s="6"/>
    </row>
    <row r="1023" spans="9:11">
      <c r="I1023" s="6"/>
      <c r="J1023" s="6"/>
      <c r="K1023" s="6"/>
    </row>
    <row r="1024" spans="9:11">
      <c r="I1024" s="6"/>
      <c r="J1024" s="6"/>
      <c r="K1024" s="6"/>
    </row>
    <row r="1025" spans="9:11">
      <c r="I1025" s="6"/>
      <c r="J1025" s="6"/>
      <c r="K1025" s="6"/>
    </row>
    <row r="1026" spans="9:11">
      <c r="I1026" s="6"/>
      <c r="J1026" s="6"/>
      <c r="K1026" s="6"/>
    </row>
    <row r="1027" spans="9:11">
      <c r="I1027" s="6"/>
      <c r="J1027" s="6"/>
      <c r="K1027" s="6"/>
    </row>
    <row r="1028" spans="9:11">
      <c r="I1028" s="6"/>
      <c r="J1028" s="6"/>
      <c r="K1028" s="6"/>
    </row>
    <row r="1029" spans="9:11">
      <c r="I1029" s="6"/>
      <c r="J1029" s="6"/>
      <c r="K1029" s="6"/>
    </row>
    <row r="1030" spans="9:11">
      <c r="I1030" s="6"/>
      <c r="J1030" s="6"/>
      <c r="K1030" s="6"/>
    </row>
    <row r="1031" spans="9:11">
      <c r="I1031" s="6"/>
      <c r="J1031" s="6"/>
      <c r="K1031" s="6"/>
    </row>
    <row r="1032" spans="9:11">
      <c r="I1032" s="6"/>
      <c r="J1032" s="6"/>
      <c r="K1032" s="6"/>
    </row>
    <row r="1033" spans="9:11">
      <c r="I1033" s="6"/>
      <c r="J1033" s="6"/>
      <c r="K1033" s="6"/>
    </row>
    <row r="1034" spans="9:11">
      <c r="I1034" s="6"/>
      <c r="J1034" s="6"/>
      <c r="K1034" s="6"/>
    </row>
    <row r="1035" spans="9:11">
      <c r="I1035" s="6"/>
      <c r="J1035" s="6"/>
      <c r="K1035" s="6"/>
    </row>
    <row r="1036" spans="9:11">
      <c r="I1036" s="6"/>
      <c r="J1036" s="6"/>
      <c r="K1036" s="6"/>
    </row>
    <row r="1037" spans="9:11">
      <c r="I1037" s="6"/>
      <c r="J1037" s="6"/>
      <c r="K1037" s="6"/>
    </row>
    <row r="1038" spans="9:11">
      <c r="I1038" s="6"/>
      <c r="J1038" s="6"/>
      <c r="K1038" s="6"/>
    </row>
    <row r="1039" spans="9:11">
      <c r="I1039" s="6"/>
      <c r="J1039" s="6"/>
      <c r="K1039" s="6"/>
    </row>
    <row r="1040" spans="9:11">
      <c r="I1040" s="6"/>
      <c r="J1040" s="6"/>
      <c r="K1040" s="6"/>
    </row>
    <row r="1041" spans="9:11">
      <c r="I1041" s="6"/>
      <c r="J1041" s="6"/>
      <c r="K1041" s="6"/>
    </row>
    <row r="1042" spans="9:11">
      <c r="I1042" s="6"/>
      <c r="J1042" s="6"/>
      <c r="K1042" s="6"/>
    </row>
    <row r="1043" spans="9:11">
      <c r="I1043" s="6"/>
      <c r="J1043" s="6"/>
      <c r="K1043" s="6"/>
    </row>
    <row r="1044" spans="9:11">
      <c r="I1044" s="6"/>
      <c r="J1044" s="6"/>
      <c r="K1044" s="6"/>
    </row>
    <row r="1045" spans="9:11">
      <c r="I1045" s="6"/>
      <c r="J1045" s="6"/>
      <c r="K1045" s="6"/>
    </row>
    <row r="1046" spans="9:11">
      <c r="I1046" s="6"/>
      <c r="J1046" s="6"/>
      <c r="K1046" s="6"/>
    </row>
    <row r="1047" spans="9:11">
      <c r="I1047" s="6"/>
      <c r="J1047" s="6"/>
      <c r="K1047" s="6"/>
    </row>
    <row r="1048" spans="9:11">
      <c r="I1048" s="6"/>
      <c r="J1048" s="6"/>
      <c r="K1048" s="6"/>
    </row>
    <row r="1049" spans="9:11">
      <c r="I1049" s="6"/>
      <c r="J1049" s="6"/>
      <c r="K1049" s="6"/>
    </row>
    <row r="1050" spans="9:11">
      <c r="I1050" s="6"/>
      <c r="J1050" s="6"/>
      <c r="K1050" s="6"/>
    </row>
    <row r="1051" spans="9:11">
      <c r="I1051" s="6"/>
      <c r="J1051" s="6"/>
      <c r="K1051" s="6"/>
    </row>
    <row r="1052" spans="9:11">
      <c r="I1052" s="6"/>
      <c r="J1052" s="6"/>
      <c r="K1052" s="6"/>
    </row>
    <row r="1053" spans="9:11">
      <c r="I1053" s="6"/>
      <c r="J1053" s="6"/>
      <c r="K1053" s="6"/>
    </row>
    <row r="1054" spans="9:11">
      <c r="I1054" s="6"/>
      <c r="J1054" s="6"/>
      <c r="K1054" s="6"/>
    </row>
    <row r="1055" spans="9:11">
      <c r="I1055" s="6"/>
      <c r="J1055" s="6"/>
      <c r="K1055" s="6"/>
    </row>
    <row r="1056" spans="9:11">
      <c r="I1056" s="6"/>
      <c r="J1056" s="6"/>
      <c r="K1056" s="6"/>
    </row>
    <row r="1057" spans="9:11">
      <c r="I1057" s="6"/>
      <c r="J1057" s="6"/>
      <c r="K1057" s="6"/>
    </row>
    <row r="1058" spans="9:11">
      <c r="I1058" s="6"/>
      <c r="J1058" s="6"/>
      <c r="K1058" s="6"/>
    </row>
    <row r="1059" spans="9:11">
      <c r="I1059" s="6"/>
      <c r="J1059" s="6"/>
      <c r="K1059" s="6"/>
    </row>
    <row r="1060" spans="9:11">
      <c r="I1060" s="6"/>
      <c r="J1060" s="6"/>
      <c r="K1060" s="6"/>
    </row>
    <row r="1061" spans="9:11">
      <c r="I1061" s="6"/>
      <c r="J1061" s="6"/>
      <c r="K1061" s="6"/>
    </row>
    <row r="1062" spans="9:11">
      <c r="I1062" s="6"/>
      <c r="J1062" s="6"/>
      <c r="K1062" s="6"/>
    </row>
    <row r="1063" spans="9:11">
      <c r="I1063" s="6"/>
      <c r="J1063" s="6"/>
      <c r="K1063" s="6"/>
    </row>
    <row r="1064" spans="9:11">
      <c r="I1064" s="6"/>
      <c r="J1064" s="6"/>
      <c r="K1064" s="6"/>
    </row>
    <row r="1065" spans="9:11">
      <c r="I1065" s="6"/>
      <c r="J1065" s="6"/>
      <c r="K1065" s="6"/>
    </row>
    <row r="1066" spans="9:11">
      <c r="I1066" s="6"/>
      <c r="J1066" s="6"/>
      <c r="K1066" s="6"/>
    </row>
    <row r="1067" spans="9:11">
      <c r="I1067" s="6"/>
      <c r="J1067" s="6"/>
      <c r="K1067" s="6"/>
    </row>
    <row r="1068" spans="9:11">
      <c r="I1068" s="6"/>
      <c r="J1068" s="6"/>
      <c r="K1068" s="6"/>
    </row>
    <row r="1069" spans="9:11">
      <c r="I1069" s="6"/>
      <c r="J1069" s="6"/>
      <c r="K1069" s="6"/>
    </row>
    <row r="1070" spans="9:11">
      <c r="I1070" s="6"/>
      <c r="J1070" s="6"/>
      <c r="K1070" s="6"/>
    </row>
    <row r="1071" spans="9:11">
      <c r="I1071" s="6"/>
      <c r="J1071" s="6"/>
      <c r="K1071" s="6"/>
    </row>
    <row r="1072" spans="9:11">
      <c r="I1072" s="6"/>
      <c r="J1072" s="6"/>
      <c r="K1072" s="6"/>
    </row>
    <row r="1073" spans="9:11">
      <c r="I1073" s="6"/>
      <c r="J1073" s="6"/>
      <c r="K1073" s="6"/>
    </row>
    <row r="1074" spans="9:11">
      <c r="I1074" s="6"/>
      <c r="J1074" s="6"/>
      <c r="K1074" s="6"/>
    </row>
    <row r="1075" spans="9:11">
      <c r="I1075" s="6"/>
      <c r="J1075" s="6"/>
      <c r="K1075" s="6"/>
    </row>
    <row r="1076" spans="9:11">
      <c r="I1076" s="6"/>
      <c r="J1076" s="6"/>
      <c r="K1076" s="6"/>
    </row>
    <row r="1077" spans="9:11">
      <c r="I1077" s="6"/>
      <c r="J1077" s="6"/>
      <c r="K1077" s="6"/>
    </row>
    <row r="1078" spans="9:11">
      <c r="I1078" s="6"/>
      <c r="J1078" s="6"/>
      <c r="K1078" s="6"/>
    </row>
    <row r="1079" spans="9:11">
      <c r="I1079" s="6"/>
      <c r="J1079" s="6"/>
      <c r="K1079" s="6"/>
    </row>
    <row r="1080" spans="9:11">
      <c r="I1080" s="6"/>
      <c r="J1080" s="6"/>
      <c r="K1080" s="6"/>
    </row>
    <row r="1081" spans="9:11">
      <c r="I1081" s="6"/>
      <c r="J1081" s="6"/>
      <c r="K1081" s="6"/>
    </row>
    <row r="1082" spans="9:11">
      <c r="I1082" s="6"/>
      <c r="J1082" s="6"/>
      <c r="K1082" s="6"/>
    </row>
    <row r="1083" spans="9:11">
      <c r="I1083" s="6"/>
      <c r="J1083" s="6"/>
      <c r="K1083" s="6"/>
    </row>
    <row r="1084" spans="9:11">
      <c r="I1084" s="6"/>
      <c r="J1084" s="6"/>
      <c r="K1084" s="6"/>
    </row>
    <row r="1085" spans="9:11">
      <c r="I1085" s="6"/>
      <c r="J1085" s="6"/>
      <c r="K1085" s="6"/>
    </row>
    <row r="1086" spans="9:11">
      <c r="I1086" s="6"/>
      <c r="J1086" s="6"/>
      <c r="K1086" s="6"/>
    </row>
    <row r="1087" spans="9:11">
      <c r="I1087" s="6"/>
      <c r="J1087" s="6"/>
      <c r="K1087" s="6"/>
    </row>
    <row r="1088" spans="9:11">
      <c r="I1088" s="6"/>
      <c r="J1088" s="6"/>
      <c r="K1088" s="6"/>
    </row>
    <row r="1089" spans="9:11">
      <c r="I1089" s="6"/>
      <c r="J1089" s="6"/>
      <c r="K1089" s="6"/>
    </row>
    <row r="1090" spans="9:11">
      <c r="I1090" s="6"/>
      <c r="J1090" s="6"/>
      <c r="K1090" s="6"/>
    </row>
    <row r="1091" spans="9:11">
      <c r="I1091" s="6"/>
      <c r="J1091" s="6"/>
      <c r="K1091" s="6"/>
    </row>
    <row r="1092" spans="9:11">
      <c r="I1092" s="6"/>
      <c r="J1092" s="6"/>
      <c r="K1092" s="6"/>
    </row>
    <row r="1093" spans="9:11">
      <c r="I1093" s="6"/>
      <c r="J1093" s="6"/>
      <c r="K1093" s="6"/>
    </row>
    <row r="1094" spans="9:11">
      <c r="I1094" s="6"/>
      <c r="J1094" s="6"/>
      <c r="K1094" s="6"/>
    </row>
    <row r="1095" spans="9:11">
      <c r="I1095" s="6"/>
      <c r="J1095" s="6"/>
      <c r="K1095" s="6"/>
    </row>
    <row r="1096" spans="9:11">
      <c r="I1096" s="6"/>
      <c r="J1096" s="6"/>
      <c r="K1096" s="6"/>
    </row>
    <row r="1097" spans="9:11">
      <c r="I1097" s="6"/>
      <c r="J1097" s="6"/>
      <c r="K1097" s="6"/>
    </row>
    <row r="1098" spans="9:11">
      <c r="I1098" s="6"/>
      <c r="J1098" s="6"/>
      <c r="K1098" s="6"/>
    </row>
    <row r="1099" spans="9:11">
      <c r="I1099" s="6"/>
      <c r="J1099" s="6"/>
      <c r="K1099" s="6"/>
    </row>
    <row r="1100" spans="9:11">
      <c r="I1100" s="6"/>
      <c r="J1100" s="6"/>
      <c r="K1100" s="6"/>
    </row>
    <row r="1101" spans="9:11">
      <c r="I1101" s="6"/>
      <c r="J1101" s="6"/>
      <c r="K1101" s="6"/>
    </row>
    <row r="1102" spans="9:11">
      <c r="I1102" s="6"/>
      <c r="J1102" s="6"/>
      <c r="K1102" s="6"/>
    </row>
    <row r="1103" spans="9:11">
      <c r="I1103" s="6"/>
      <c r="J1103" s="6"/>
      <c r="K1103" s="6"/>
    </row>
    <row r="1104" spans="9:11">
      <c r="I1104" s="6"/>
      <c r="J1104" s="6"/>
      <c r="K1104" s="6"/>
    </row>
    <row r="1105" spans="9:11">
      <c r="I1105" s="6"/>
      <c r="J1105" s="6"/>
      <c r="K1105" s="6"/>
    </row>
    <row r="1106" spans="9:11">
      <c r="I1106" s="6"/>
      <c r="J1106" s="6"/>
      <c r="K1106" s="6"/>
    </row>
    <row r="1107" spans="9:11">
      <c r="I1107" s="6"/>
      <c r="J1107" s="6"/>
      <c r="K1107" s="6"/>
    </row>
    <row r="1108" spans="9:11">
      <c r="I1108" s="6"/>
      <c r="J1108" s="6"/>
      <c r="K1108" s="6"/>
    </row>
    <row r="1109" spans="9:11">
      <c r="I1109" s="6"/>
      <c r="J1109" s="6"/>
      <c r="K1109" s="6"/>
    </row>
    <row r="1110" spans="9:11">
      <c r="I1110" s="6"/>
      <c r="J1110" s="6"/>
      <c r="K1110" s="6"/>
    </row>
    <row r="1111" spans="9:11">
      <c r="I1111" s="6"/>
      <c r="J1111" s="6"/>
      <c r="K1111" s="6"/>
    </row>
    <row r="1112" spans="9:11">
      <c r="I1112" s="6"/>
      <c r="J1112" s="6"/>
      <c r="K1112" s="6"/>
    </row>
    <row r="1113" spans="9:11">
      <c r="I1113" s="6"/>
      <c r="J1113" s="6"/>
      <c r="K1113" s="6"/>
    </row>
    <row r="1114" spans="9:11">
      <c r="I1114" s="6"/>
      <c r="J1114" s="6"/>
      <c r="K1114" s="6"/>
    </row>
    <row r="1115" spans="9:11">
      <c r="I1115" s="6"/>
      <c r="J1115" s="6"/>
      <c r="K1115" s="6"/>
    </row>
    <row r="1116" spans="9:11">
      <c r="I1116" s="6"/>
      <c r="J1116" s="6"/>
      <c r="K1116" s="6"/>
    </row>
    <row r="1117" spans="9:11">
      <c r="I1117" s="6"/>
      <c r="J1117" s="6"/>
      <c r="K1117" s="6"/>
    </row>
    <row r="1118" spans="9:11">
      <c r="I1118" s="6"/>
      <c r="J1118" s="6"/>
      <c r="K1118" s="6"/>
    </row>
    <row r="1119" spans="9:11">
      <c r="I1119" s="6"/>
      <c r="J1119" s="6"/>
      <c r="K1119" s="6"/>
    </row>
    <row r="1120" spans="9:11">
      <c r="I1120" s="6"/>
      <c r="J1120" s="6"/>
      <c r="K1120" s="6"/>
    </row>
    <row r="1121" spans="9:11">
      <c r="I1121" s="6"/>
      <c r="J1121" s="6"/>
      <c r="K1121" s="6"/>
    </row>
    <row r="1122" spans="9:11">
      <c r="I1122" s="6"/>
      <c r="J1122" s="6"/>
      <c r="K1122" s="6"/>
    </row>
    <row r="1123" spans="9:11">
      <c r="I1123" s="6"/>
      <c r="J1123" s="6"/>
      <c r="K1123" s="6"/>
    </row>
    <row r="1124" spans="9:11">
      <c r="I1124" s="6"/>
      <c r="J1124" s="6"/>
      <c r="K1124" s="6"/>
    </row>
    <row r="1125" spans="9:11">
      <c r="I1125" s="6"/>
      <c r="J1125" s="6"/>
      <c r="K1125" s="6"/>
    </row>
    <row r="1126" spans="9:11">
      <c r="I1126" s="6"/>
      <c r="J1126" s="6"/>
      <c r="K1126" s="6"/>
    </row>
    <row r="1127" spans="9:11">
      <c r="I1127" s="6"/>
      <c r="J1127" s="6"/>
      <c r="K1127" s="6"/>
    </row>
    <row r="1128" spans="9:11">
      <c r="I1128" s="6"/>
      <c r="J1128" s="6"/>
      <c r="K1128" s="6"/>
    </row>
    <row r="1129" spans="9:11">
      <c r="I1129" s="6"/>
      <c r="J1129" s="6"/>
      <c r="K1129" s="6"/>
    </row>
    <row r="1130" spans="9:11">
      <c r="I1130" s="6"/>
      <c r="J1130" s="6"/>
      <c r="K1130" s="6"/>
    </row>
    <row r="1131" spans="9:11">
      <c r="I1131" s="6"/>
      <c r="J1131" s="6"/>
      <c r="K1131" s="6"/>
    </row>
    <row r="1132" spans="9:11">
      <c r="I1132" s="6"/>
      <c r="J1132" s="6"/>
      <c r="K1132" s="6"/>
    </row>
    <row r="1133" spans="9:11">
      <c r="I1133" s="6"/>
      <c r="J1133" s="6"/>
      <c r="K1133" s="6"/>
    </row>
    <row r="1134" spans="9:11">
      <c r="I1134" s="6"/>
      <c r="J1134" s="6"/>
      <c r="K1134" s="6"/>
    </row>
    <row r="1135" spans="9:11">
      <c r="I1135" s="6"/>
      <c r="J1135" s="6"/>
      <c r="K1135" s="6"/>
    </row>
    <row r="1136" spans="9:11">
      <c r="I1136" s="6"/>
      <c r="J1136" s="6"/>
      <c r="K1136" s="6"/>
    </row>
    <row r="1137" spans="9:11">
      <c r="I1137" s="6"/>
      <c r="J1137" s="6"/>
      <c r="K1137" s="6"/>
    </row>
    <row r="1138" spans="9:11">
      <c r="I1138" s="6"/>
      <c r="J1138" s="6"/>
      <c r="K1138" s="6"/>
    </row>
    <row r="1139" spans="9:11">
      <c r="I1139" s="6"/>
      <c r="J1139" s="6"/>
      <c r="K1139" s="6"/>
    </row>
    <row r="1140" spans="9:11">
      <c r="I1140" s="6"/>
      <c r="J1140" s="6"/>
      <c r="K1140" s="6"/>
    </row>
    <row r="1141" spans="9:11">
      <c r="I1141" s="6"/>
      <c r="J1141" s="6"/>
      <c r="K1141" s="6"/>
    </row>
    <row r="1142" spans="9:11">
      <c r="I1142" s="6"/>
      <c r="J1142" s="6"/>
      <c r="K1142" s="6"/>
    </row>
    <row r="1143" spans="9:11">
      <c r="I1143" s="6"/>
      <c r="J1143" s="6"/>
      <c r="K1143" s="6"/>
    </row>
    <row r="1144" spans="9:11">
      <c r="I1144" s="6"/>
      <c r="J1144" s="6"/>
      <c r="K1144" s="6"/>
    </row>
    <row r="1145" spans="9:11">
      <c r="I1145" s="6"/>
      <c r="J1145" s="6"/>
      <c r="K1145" s="6"/>
    </row>
    <row r="1146" spans="9:11">
      <c r="I1146" s="6"/>
      <c r="J1146" s="6"/>
      <c r="K1146" s="6"/>
    </row>
    <row r="1147" spans="9:11">
      <c r="I1147" s="6"/>
      <c r="J1147" s="6"/>
      <c r="K1147" s="6"/>
    </row>
    <row r="1148" spans="9:11">
      <c r="I1148" s="6"/>
      <c r="J1148" s="6"/>
      <c r="K1148" s="6"/>
    </row>
    <row r="1149" spans="9:11">
      <c r="I1149" s="6"/>
      <c r="J1149" s="6"/>
      <c r="K1149" s="6"/>
    </row>
    <row r="1150" spans="9:11">
      <c r="I1150" s="6"/>
      <c r="J1150" s="6"/>
      <c r="K1150" s="6"/>
    </row>
    <row r="1151" spans="9:11">
      <c r="I1151" s="6"/>
      <c r="J1151" s="6"/>
      <c r="K1151" s="6"/>
    </row>
    <row r="1152" spans="9:11">
      <c r="I1152" s="6"/>
      <c r="J1152" s="6"/>
      <c r="K1152" s="6"/>
    </row>
    <row r="1153" spans="9:11">
      <c r="I1153" s="6"/>
      <c r="J1153" s="6"/>
      <c r="K1153" s="6"/>
    </row>
    <row r="1154" spans="9:11">
      <c r="I1154" s="6"/>
      <c r="J1154" s="6"/>
      <c r="K1154" s="6"/>
    </row>
    <row r="1155" spans="9:11">
      <c r="I1155" s="6"/>
      <c r="J1155" s="6"/>
      <c r="K1155" s="6"/>
    </row>
    <row r="1156" spans="9:11">
      <c r="I1156" s="6"/>
      <c r="J1156" s="6"/>
      <c r="K1156" s="6"/>
    </row>
    <row r="1157" spans="9:11">
      <c r="I1157" s="6"/>
      <c r="J1157" s="6"/>
      <c r="K1157" s="6"/>
    </row>
    <row r="1158" spans="9:11">
      <c r="I1158" s="6"/>
      <c r="J1158" s="6"/>
      <c r="K1158" s="6"/>
    </row>
    <row r="1159" spans="9:11">
      <c r="I1159" s="6"/>
      <c r="J1159" s="6"/>
      <c r="K1159" s="6"/>
    </row>
    <row r="1160" spans="9:11">
      <c r="I1160" s="6"/>
      <c r="J1160" s="6"/>
      <c r="K1160" s="6"/>
    </row>
    <row r="1161" spans="9:11">
      <c r="I1161" s="6"/>
      <c r="J1161" s="6"/>
      <c r="K1161" s="6"/>
    </row>
    <row r="1162" spans="9:11">
      <c r="I1162" s="6"/>
      <c r="J1162" s="6"/>
      <c r="K1162" s="6"/>
    </row>
    <row r="1163" spans="9:11">
      <c r="I1163" s="6"/>
      <c r="J1163" s="6"/>
      <c r="K1163" s="6"/>
    </row>
    <row r="1164" spans="9:11">
      <c r="I1164" s="6"/>
      <c r="J1164" s="6"/>
      <c r="K1164" s="6"/>
    </row>
    <row r="1165" spans="9:11">
      <c r="I1165" s="6"/>
      <c r="J1165" s="6"/>
      <c r="K1165" s="6"/>
    </row>
    <row r="1166" spans="9:11">
      <c r="I1166" s="6"/>
      <c r="J1166" s="6"/>
      <c r="K1166" s="6"/>
    </row>
    <row r="1167" spans="9:11">
      <c r="I1167" s="6"/>
      <c r="J1167" s="6"/>
      <c r="K1167" s="6"/>
    </row>
    <row r="1168" spans="9:11">
      <c r="I1168" s="6"/>
      <c r="J1168" s="6"/>
      <c r="K1168" s="6"/>
    </row>
    <row r="1169" spans="9:11">
      <c r="I1169" s="6"/>
      <c r="J1169" s="6"/>
      <c r="K1169" s="6"/>
    </row>
    <row r="1170" spans="9:11">
      <c r="I1170" s="6"/>
      <c r="J1170" s="6"/>
      <c r="K1170" s="6"/>
    </row>
    <row r="1171" spans="9:11">
      <c r="I1171" s="6"/>
      <c r="J1171" s="6"/>
      <c r="K1171" s="6"/>
    </row>
    <row r="1172" spans="9:11">
      <c r="I1172" s="6"/>
      <c r="J1172" s="6"/>
      <c r="K1172" s="6"/>
    </row>
    <row r="1173" spans="9:11">
      <c r="I1173" s="6"/>
      <c r="J1173" s="6"/>
      <c r="K1173" s="6"/>
    </row>
    <row r="1174" spans="9:11">
      <c r="I1174" s="6"/>
      <c r="J1174" s="6"/>
      <c r="K1174" s="6"/>
    </row>
    <row r="1175" spans="9:11">
      <c r="I1175" s="6"/>
      <c r="J1175" s="6"/>
      <c r="K1175" s="6"/>
    </row>
    <row r="1176" spans="9:11">
      <c r="I1176" s="6"/>
      <c r="J1176" s="6"/>
      <c r="K1176" s="6"/>
    </row>
    <row r="1177" spans="9:11">
      <c r="I1177" s="6"/>
      <c r="J1177" s="6"/>
      <c r="K1177" s="6"/>
    </row>
    <row r="1178" spans="9:11">
      <c r="I1178" s="6"/>
      <c r="J1178" s="6"/>
      <c r="K1178" s="6"/>
    </row>
    <row r="1179" spans="9:11">
      <c r="I1179" s="6"/>
      <c r="J1179" s="6"/>
      <c r="K1179" s="6"/>
    </row>
    <row r="1180" spans="9:11">
      <c r="I1180" s="6"/>
      <c r="J1180" s="6"/>
      <c r="K1180" s="6"/>
    </row>
    <row r="1181" spans="9:11">
      <c r="I1181" s="6"/>
      <c r="J1181" s="6"/>
      <c r="K1181" s="6"/>
    </row>
    <row r="1182" spans="9:11">
      <c r="I1182" s="6"/>
      <c r="J1182" s="6"/>
      <c r="K1182" s="6"/>
    </row>
    <row r="1183" spans="9:11">
      <c r="I1183" s="6"/>
      <c r="J1183" s="6"/>
      <c r="K1183" s="6"/>
    </row>
    <row r="1184" spans="9:11">
      <c r="I1184" s="6"/>
      <c r="J1184" s="6"/>
      <c r="K1184" s="6"/>
    </row>
    <row r="1185" spans="9:11">
      <c r="I1185" s="6"/>
      <c r="J1185" s="6"/>
      <c r="K1185" s="6"/>
    </row>
    <row r="1186" spans="9:11">
      <c r="I1186" s="6"/>
      <c r="J1186" s="6"/>
      <c r="K1186" s="6"/>
    </row>
    <row r="1187" spans="9:11">
      <c r="I1187" s="6"/>
      <c r="J1187" s="6"/>
      <c r="K1187" s="6"/>
    </row>
    <row r="1188" spans="9:11">
      <c r="I1188" s="6"/>
      <c r="J1188" s="6"/>
      <c r="K1188" s="6"/>
    </row>
    <row r="1189" spans="9:11">
      <c r="I1189" s="6"/>
      <c r="J1189" s="6"/>
      <c r="K1189" s="6"/>
    </row>
    <row r="1190" spans="9:11">
      <c r="I1190" s="6"/>
      <c r="J1190" s="6"/>
      <c r="K1190" s="6"/>
    </row>
    <row r="1191" spans="9:11">
      <c r="I1191" s="6"/>
      <c r="J1191" s="6"/>
      <c r="K1191" s="6"/>
    </row>
    <row r="1192" spans="9:11">
      <c r="I1192" s="6"/>
      <c r="J1192" s="6"/>
      <c r="K1192" s="6"/>
    </row>
    <row r="1193" spans="9:11">
      <c r="I1193" s="6"/>
      <c r="J1193" s="6"/>
      <c r="K1193" s="6"/>
    </row>
    <row r="1194" spans="9:11">
      <c r="I1194" s="6"/>
      <c r="J1194" s="6"/>
      <c r="K1194" s="6"/>
    </row>
    <row r="1195" spans="9:11">
      <c r="I1195" s="6"/>
      <c r="J1195" s="6"/>
      <c r="K1195" s="6"/>
    </row>
    <row r="1196" spans="9:11">
      <c r="I1196" s="6"/>
      <c r="J1196" s="6"/>
      <c r="K1196" s="6"/>
    </row>
    <row r="1197" spans="9:11">
      <c r="I1197" s="6"/>
      <c r="J1197" s="6"/>
      <c r="K1197" s="6"/>
    </row>
    <row r="1198" spans="9:11">
      <c r="I1198" s="6"/>
      <c r="J1198" s="6"/>
      <c r="K1198" s="6"/>
    </row>
    <row r="1199" spans="9:11">
      <c r="I1199" s="6"/>
      <c r="J1199" s="6"/>
      <c r="K1199" s="6"/>
    </row>
    <row r="1200" spans="9:11">
      <c r="I1200" s="6"/>
      <c r="J1200" s="6"/>
      <c r="K1200" s="6"/>
    </row>
    <row r="1201" spans="9:11">
      <c r="I1201" s="6"/>
      <c r="J1201" s="6"/>
      <c r="K1201" s="6"/>
    </row>
    <row r="1202" spans="9:11">
      <c r="I1202" s="6"/>
      <c r="J1202" s="6"/>
      <c r="K1202" s="6"/>
    </row>
    <row r="1203" spans="9:11">
      <c r="I1203" s="6"/>
      <c r="J1203" s="6"/>
      <c r="K1203" s="6"/>
    </row>
    <row r="1204" spans="9:11">
      <c r="I1204" s="6"/>
      <c r="J1204" s="6"/>
      <c r="K1204" s="6"/>
    </row>
    <row r="1205" spans="9:11">
      <c r="I1205" s="6"/>
      <c r="J1205" s="6"/>
      <c r="K1205" s="6"/>
    </row>
    <row r="1206" spans="9:11">
      <c r="I1206" s="6"/>
      <c r="J1206" s="6"/>
      <c r="K1206" s="6"/>
    </row>
    <row r="1207" spans="9:11">
      <c r="I1207" s="6"/>
      <c r="J1207" s="6"/>
      <c r="K1207" s="6"/>
    </row>
    <row r="1208" spans="9:11">
      <c r="I1208" s="6"/>
      <c r="J1208" s="6"/>
      <c r="K1208" s="6"/>
    </row>
    <row r="1209" spans="9:11">
      <c r="I1209" s="6"/>
      <c r="J1209" s="6"/>
      <c r="K1209" s="6"/>
    </row>
    <row r="1210" spans="9:11">
      <c r="I1210" s="6"/>
      <c r="J1210" s="6"/>
      <c r="K1210" s="6"/>
    </row>
    <row r="1211" spans="9:11">
      <c r="I1211" s="6"/>
      <c r="J1211" s="6"/>
      <c r="K1211" s="6"/>
    </row>
    <row r="1212" spans="9:11">
      <c r="I1212" s="6"/>
      <c r="J1212" s="6"/>
      <c r="K1212" s="6"/>
    </row>
    <row r="1213" spans="9:11">
      <c r="I1213" s="6"/>
      <c r="J1213" s="6"/>
      <c r="K1213" s="6"/>
    </row>
    <row r="1214" spans="9:11">
      <c r="I1214" s="6"/>
      <c r="J1214" s="6"/>
      <c r="K1214" s="6"/>
    </row>
    <row r="1215" spans="9:11">
      <c r="I1215" s="6"/>
      <c r="J1215" s="6"/>
      <c r="K1215" s="6"/>
    </row>
    <row r="1216" spans="9:11">
      <c r="I1216" s="6"/>
      <c r="J1216" s="6"/>
      <c r="K1216" s="6"/>
    </row>
    <row r="1217" spans="9:11">
      <c r="I1217" s="6"/>
      <c r="J1217" s="6"/>
      <c r="K1217" s="6"/>
    </row>
    <row r="1218" spans="9:11">
      <c r="I1218" s="6"/>
      <c r="J1218" s="6"/>
      <c r="K1218" s="6"/>
    </row>
    <row r="1219" spans="9:11">
      <c r="I1219" s="6"/>
      <c r="J1219" s="6"/>
      <c r="K1219" s="6"/>
    </row>
    <row r="1220" spans="9:11">
      <c r="I1220" s="6"/>
      <c r="J1220" s="6"/>
      <c r="K1220" s="6"/>
    </row>
    <row r="1221" spans="9:11">
      <c r="I1221" s="6"/>
      <c r="J1221" s="6"/>
      <c r="K1221" s="6"/>
    </row>
    <row r="1222" spans="9:11">
      <c r="I1222" s="6"/>
      <c r="J1222" s="6"/>
      <c r="K1222" s="6"/>
    </row>
    <row r="1223" spans="9:11">
      <c r="I1223" s="6"/>
      <c r="J1223" s="6"/>
      <c r="K1223" s="6"/>
    </row>
    <row r="1224" spans="9:11">
      <c r="I1224" s="6"/>
      <c r="J1224" s="6"/>
      <c r="K1224" s="6"/>
    </row>
    <row r="1225" spans="9:11">
      <c r="I1225" s="6"/>
      <c r="J1225" s="6"/>
      <c r="K1225" s="6"/>
    </row>
    <row r="1226" spans="9:11">
      <c r="I1226" s="6"/>
      <c r="J1226" s="6"/>
      <c r="K1226" s="6"/>
    </row>
    <row r="1227" spans="9:11">
      <c r="I1227" s="6"/>
      <c r="J1227" s="6"/>
      <c r="K1227" s="6"/>
    </row>
    <row r="1228" spans="9:11">
      <c r="I1228" s="6"/>
      <c r="J1228" s="6"/>
      <c r="K1228" s="6"/>
    </row>
    <row r="1229" spans="9:11">
      <c r="I1229" s="6"/>
      <c r="J1229" s="6"/>
      <c r="K1229" s="6"/>
    </row>
    <row r="1230" spans="9:11">
      <c r="I1230" s="6"/>
      <c r="J1230" s="6"/>
      <c r="K1230" s="6"/>
    </row>
    <row r="1231" spans="9:11">
      <c r="I1231" s="6"/>
      <c r="J1231" s="6"/>
      <c r="K1231" s="6"/>
    </row>
    <row r="1232" spans="9:11">
      <c r="I1232" s="6"/>
      <c r="J1232" s="6"/>
      <c r="K1232" s="6"/>
    </row>
    <row r="1233" spans="9:11">
      <c r="I1233" s="6"/>
      <c r="J1233" s="6"/>
      <c r="K1233" s="6"/>
    </row>
    <row r="1234" spans="9:11">
      <c r="I1234" s="6"/>
      <c r="J1234" s="6"/>
      <c r="K1234" s="6"/>
    </row>
    <row r="1235" spans="9:11">
      <c r="I1235" s="6"/>
      <c r="J1235" s="6"/>
      <c r="K1235" s="6"/>
    </row>
    <row r="1236" spans="9:11">
      <c r="I1236" s="6"/>
      <c r="J1236" s="6"/>
      <c r="K1236" s="6"/>
    </row>
    <row r="1237" spans="9:11">
      <c r="I1237" s="6"/>
      <c r="J1237" s="6"/>
      <c r="K1237" s="6"/>
    </row>
    <row r="1238" spans="9:11">
      <c r="I1238" s="6"/>
      <c r="J1238" s="6"/>
      <c r="K1238" s="6"/>
    </row>
    <row r="1239" spans="9:11">
      <c r="I1239" s="6"/>
      <c r="J1239" s="6"/>
      <c r="K1239" s="6"/>
    </row>
    <row r="1240" spans="9:11">
      <c r="I1240" s="6"/>
      <c r="J1240" s="6"/>
      <c r="K1240" s="6"/>
    </row>
    <row r="1241" spans="9:11">
      <c r="I1241" s="6"/>
      <c r="J1241" s="6"/>
      <c r="K1241" s="6"/>
    </row>
    <row r="1242" spans="9:11">
      <c r="I1242" s="6"/>
      <c r="J1242" s="6"/>
      <c r="K1242" s="6"/>
    </row>
    <row r="1243" spans="9:11">
      <c r="I1243" s="6"/>
      <c r="J1243" s="6"/>
      <c r="K1243" s="6"/>
    </row>
    <row r="1244" spans="9:11">
      <c r="I1244" s="6"/>
      <c r="J1244" s="6"/>
      <c r="K1244" s="6"/>
    </row>
    <row r="1245" spans="9:11">
      <c r="I1245" s="6"/>
      <c r="J1245" s="6"/>
      <c r="K1245" s="6"/>
    </row>
    <row r="1246" spans="9:11">
      <c r="I1246" s="6"/>
      <c r="J1246" s="6"/>
      <c r="K1246" s="6"/>
    </row>
    <row r="1247" spans="9:11">
      <c r="I1247" s="6"/>
      <c r="J1247" s="6"/>
      <c r="K1247" s="6"/>
    </row>
    <row r="1248" spans="9:11">
      <c r="I1248" s="6"/>
      <c r="J1248" s="6"/>
      <c r="K1248" s="6"/>
    </row>
    <row r="1249" spans="9:11">
      <c r="I1249" s="6"/>
      <c r="J1249" s="6"/>
      <c r="K1249" s="6"/>
    </row>
    <row r="1250" spans="9:11">
      <c r="I1250" s="6"/>
      <c r="J1250" s="6"/>
      <c r="K1250" s="6"/>
    </row>
    <row r="1251" spans="9:11">
      <c r="I1251" s="6"/>
      <c r="J1251" s="6"/>
      <c r="K1251" s="6"/>
    </row>
    <row r="1252" spans="9:11">
      <c r="I1252" s="6"/>
      <c r="J1252" s="6"/>
      <c r="K1252" s="6"/>
    </row>
    <row r="1253" spans="9:11">
      <c r="I1253" s="6"/>
      <c r="J1253" s="6"/>
      <c r="K1253" s="6"/>
    </row>
    <row r="1254" spans="9:11">
      <c r="I1254" s="6"/>
      <c r="J1254" s="6"/>
      <c r="K1254" s="6"/>
    </row>
    <row r="1255" spans="9:11">
      <c r="I1255" s="6"/>
      <c r="J1255" s="6"/>
      <c r="K1255" s="6"/>
    </row>
    <row r="1256" spans="9:11">
      <c r="I1256" s="6"/>
      <c r="J1256" s="6"/>
      <c r="K1256" s="6"/>
    </row>
    <row r="1257" spans="9:11">
      <c r="I1257" s="6"/>
      <c r="J1257" s="6"/>
      <c r="K1257" s="6"/>
    </row>
    <row r="1258" spans="9:11">
      <c r="I1258" s="6"/>
      <c r="J1258" s="6"/>
      <c r="K1258" s="6"/>
    </row>
    <row r="1259" spans="9:11">
      <c r="I1259" s="6"/>
      <c r="J1259" s="6"/>
      <c r="K1259" s="6"/>
    </row>
    <row r="1260" spans="9:11">
      <c r="I1260" s="6"/>
      <c r="J1260" s="6"/>
      <c r="K1260" s="6"/>
    </row>
    <row r="1261" spans="9:11">
      <c r="I1261" s="6"/>
      <c r="J1261" s="6"/>
      <c r="K1261" s="6"/>
    </row>
    <row r="1262" spans="9:11">
      <c r="I1262" s="6"/>
      <c r="J1262" s="6"/>
      <c r="K1262" s="6"/>
    </row>
    <row r="1263" spans="9:11">
      <c r="I1263" s="6"/>
      <c r="J1263" s="6"/>
      <c r="K1263" s="6"/>
    </row>
    <row r="1264" spans="9:11">
      <c r="I1264" s="6"/>
      <c r="J1264" s="6"/>
      <c r="K1264" s="6"/>
    </row>
    <row r="1265" spans="9:11">
      <c r="I1265" s="6"/>
      <c r="J1265" s="6"/>
      <c r="K1265" s="6"/>
    </row>
    <row r="1266" spans="9:11">
      <c r="I1266" s="6"/>
      <c r="J1266" s="6"/>
      <c r="K1266" s="6"/>
    </row>
    <row r="1267" spans="9:11">
      <c r="I1267" s="6"/>
      <c r="J1267" s="6"/>
      <c r="K1267" s="6"/>
    </row>
    <row r="1268" spans="9:11">
      <c r="I1268" s="6"/>
      <c r="J1268" s="6"/>
      <c r="K1268" s="6"/>
    </row>
    <row r="1269" spans="9:11">
      <c r="I1269" s="6"/>
      <c r="J1269" s="6"/>
      <c r="K1269" s="6"/>
    </row>
    <row r="1270" spans="9:11">
      <c r="I1270" s="6"/>
      <c r="J1270" s="6"/>
      <c r="K1270" s="6"/>
    </row>
  </sheetData>
  <mergeCells count="1">
    <mergeCell ref="C2:F2"/>
  </mergeCells>
  <phoneticPr fontId="2" type="noConversion"/>
  <pageMargins left="0.75" right="0.75" top="1" bottom="1" header="0.5" footer="0.5"/>
  <pageSetup orientation="portrait" r:id="rId1"/>
  <headerFooter alignWithMargins="0"/>
</worksheet>
</file>

<file path=xl/worksheets/sheet37.xml><?xml version="1.0" encoding="utf-8"?>
<worksheet xmlns="http://schemas.openxmlformats.org/spreadsheetml/2006/main" xmlns:r="http://schemas.openxmlformats.org/officeDocument/2006/relationships">
  <dimension ref="A1:K46"/>
  <sheetViews>
    <sheetView workbookViewId="0"/>
  </sheetViews>
  <sheetFormatPr defaultRowHeight="12.75"/>
  <cols>
    <col min="1" max="1" width="9.140625" style="439"/>
    <col min="2" max="2" width="3.140625" style="665" customWidth="1"/>
    <col min="3" max="3" width="34.42578125" style="439" customWidth="1"/>
    <col min="4" max="4" width="19.42578125" style="439" customWidth="1"/>
    <col min="5" max="5" width="3.140625" style="439" customWidth="1"/>
    <col min="6" max="16384" width="9.140625" style="439"/>
  </cols>
  <sheetData>
    <row r="1" spans="1:11" ht="18">
      <c r="A1" s="440"/>
      <c r="B1" s="653"/>
      <c r="C1" s="654" t="s">
        <v>146</v>
      </c>
      <c r="D1" s="440"/>
      <c r="E1" s="440"/>
      <c r="F1" s="440"/>
      <c r="G1" s="440"/>
      <c r="H1" s="440"/>
      <c r="I1" s="440"/>
      <c r="J1" s="440"/>
      <c r="K1" s="440"/>
    </row>
    <row r="2" spans="1:11" ht="18">
      <c r="A2" s="440"/>
      <c r="B2" s="653"/>
      <c r="C2" s="777" t="s">
        <v>134</v>
      </c>
      <c r="D2" s="777"/>
      <c r="E2" s="777"/>
      <c r="F2" s="596"/>
      <c r="G2" s="440"/>
      <c r="H2" s="440"/>
      <c r="I2" s="440"/>
      <c r="J2" s="440"/>
      <c r="K2" s="440"/>
    </row>
    <row r="3" spans="1:11" ht="15.75">
      <c r="A3" s="440"/>
      <c r="B3" s="653"/>
      <c r="C3" s="440"/>
      <c r="D3" s="440"/>
      <c r="E3" s="440"/>
      <c r="F3" s="440"/>
      <c r="G3" s="440"/>
      <c r="H3" s="440"/>
      <c r="I3" s="440"/>
      <c r="J3" s="440"/>
      <c r="K3" s="440"/>
    </row>
    <row r="4" spans="1:11" ht="15.75">
      <c r="A4" s="440"/>
      <c r="B4" s="653"/>
      <c r="C4" s="441" t="s">
        <v>135</v>
      </c>
      <c r="D4" s="440"/>
      <c r="E4" s="440"/>
      <c r="F4" s="440"/>
      <c r="G4" s="440"/>
      <c r="H4" s="440"/>
      <c r="I4" s="440"/>
      <c r="J4" s="440"/>
      <c r="K4" s="440"/>
    </row>
    <row r="5" spans="1:11" ht="16.5" thickBot="1">
      <c r="A5" s="440"/>
      <c r="B5" s="653"/>
      <c r="C5" s="440"/>
      <c r="D5" s="440"/>
      <c r="E5" s="440"/>
      <c r="F5" s="440"/>
      <c r="G5" s="440"/>
      <c r="H5" s="440"/>
      <c r="I5" s="440"/>
      <c r="J5" s="440"/>
      <c r="K5" s="440"/>
    </row>
    <row r="6" spans="1:11" ht="15.75">
      <c r="A6" s="440"/>
      <c r="B6" s="655"/>
      <c r="C6" s="532"/>
      <c r="D6" s="532"/>
      <c r="E6" s="448"/>
      <c r="F6" s="440"/>
      <c r="G6" s="440"/>
      <c r="H6" s="440"/>
      <c r="I6" s="440"/>
      <c r="J6" s="440"/>
      <c r="K6" s="440"/>
    </row>
    <row r="7" spans="1:11" ht="15.75">
      <c r="A7" s="440"/>
      <c r="B7" s="656"/>
      <c r="C7" s="450" t="s">
        <v>136</v>
      </c>
      <c r="D7" s="657">
        <v>8000000</v>
      </c>
      <c r="E7" s="452"/>
      <c r="F7" s="440"/>
      <c r="G7" s="440"/>
      <c r="H7" s="440"/>
      <c r="I7" s="440"/>
      <c r="J7" s="440"/>
      <c r="K7" s="440"/>
    </row>
    <row r="8" spans="1:11" ht="15.75">
      <c r="A8" s="440"/>
      <c r="B8" s="656"/>
      <c r="C8" s="450" t="s">
        <v>137</v>
      </c>
      <c r="D8" s="48">
        <v>0.05</v>
      </c>
      <c r="E8" s="452"/>
      <c r="F8" s="440"/>
      <c r="G8" s="440"/>
      <c r="H8" s="440"/>
      <c r="I8" s="440"/>
      <c r="J8" s="440"/>
      <c r="K8" s="440"/>
    </row>
    <row r="9" spans="1:11" ht="15.75">
      <c r="A9" s="440"/>
      <c r="B9" s="656"/>
      <c r="C9" s="450" t="s">
        <v>144</v>
      </c>
      <c r="D9" s="658">
        <v>1.34</v>
      </c>
      <c r="E9" s="452"/>
      <c r="F9" s="440"/>
      <c r="G9" s="440"/>
      <c r="H9" s="440"/>
      <c r="I9" s="440"/>
      <c r="J9" s="440"/>
      <c r="K9" s="440"/>
    </row>
    <row r="10" spans="1:11" ht="15.75">
      <c r="A10" s="440"/>
      <c r="B10" s="656"/>
      <c r="C10" s="450" t="s">
        <v>138</v>
      </c>
      <c r="D10" s="48">
        <v>0.8</v>
      </c>
      <c r="E10" s="452"/>
      <c r="F10" s="440"/>
      <c r="G10" s="440"/>
      <c r="H10" s="440"/>
      <c r="I10" s="440"/>
      <c r="J10" s="440"/>
      <c r="K10" s="440"/>
    </row>
    <row r="11" spans="1:11" ht="15.75">
      <c r="A11" s="440"/>
      <c r="B11" s="656"/>
      <c r="C11" s="450"/>
      <c r="D11" s="541"/>
      <c r="E11" s="452"/>
      <c r="F11" s="440"/>
      <c r="G11" s="440"/>
      <c r="H11" s="440"/>
      <c r="I11" s="440"/>
      <c r="J11" s="440"/>
      <c r="K11" s="440"/>
    </row>
    <row r="12" spans="1:11" ht="15.75">
      <c r="A12" s="440"/>
      <c r="B12" s="656" t="s">
        <v>140</v>
      </c>
      <c r="C12" s="450" t="s">
        <v>853</v>
      </c>
      <c r="D12" s="659">
        <v>1.25</v>
      </c>
      <c r="E12" s="452"/>
      <c r="F12" s="440"/>
      <c r="G12" s="440"/>
      <c r="H12" s="440"/>
      <c r="I12" s="440"/>
      <c r="J12" s="440"/>
      <c r="K12" s="440"/>
    </row>
    <row r="13" spans="1:11" ht="16.5" thickBot="1">
      <c r="A13" s="440"/>
      <c r="B13" s="660"/>
      <c r="C13" s="463"/>
      <c r="D13" s="463"/>
      <c r="E13" s="465"/>
      <c r="F13" s="440"/>
      <c r="G13" s="440"/>
      <c r="H13" s="440"/>
      <c r="I13" s="440"/>
      <c r="J13" s="440"/>
      <c r="K13" s="440"/>
    </row>
    <row r="14" spans="1:11" ht="15.75">
      <c r="A14" s="440"/>
      <c r="B14" s="653"/>
      <c r="C14" s="440"/>
      <c r="D14" s="440"/>
      <c r="E14" s="440"/>
      <c r="F14" s="440"/>
      <c r="G14" s="440"/>
      <c r="H14" s="440"/>
      <c r="I14" s="440"/>
      <c r="J14" s="440"/>
      <c r="K14" s="440"/>
    </row>
    <row r="15" spans="1:11" ht="15.75">
      <c r="A15" s="440"/>
      <c r="B15" s="653"/>
      <c r="C15" s="441" t="s">
        <v>139</v>
      </c>
      <c r="D15" s="440"/>
      <c r="E15" s="440"/>
      <c r="F15" s="440"/>
      <c r="G15" s="440"/>
      <c r="H15" s="440"/>
      <c r="I15" s="440"/>
      <c r="J15" s="440"/>
      <c r="K15" s="440"/>
    </row>
    <row r="16" spans="1:11" ht="16.5" thickBot="1">
      <c r="A16" s="440"/>
      <c r="B16" s="653"/>
      <c r="C16" s="440"/>
      <c r="D16" s="440"/>
      <c r="E16" s="440"/>
      <c r="F16" s="440"/>
      <c r="G16" s="440"/>
      <c r="H16" s="440"/>
      <c r="I16" s="440"/>
      <c r="J16" s="440"/>
      <c r="K16" s="440"/>
    </row>
    <row r="17" spans="1:11" ht="15.75">
      <c r="A17" s="440"/>
      <c r="B17" s="661"/>
      <c r="C17" s="467"/>
      <c r="D17" s="467"/>
      <c r="E17" s="544"/>
      <c r="F17" s="440"/>
      <c r="G17" s="440"/>
      <c r="H17" s="440"/>
      <c r="I17" s="440"/>
      <c r="J17" s="440"/>
      <c r="K17" s="440"/>
    </row>
    <row r="18" spans="1:11" ht="15.75">
      <c r="A18" s="440"/>
      <c r="B18" s="545"/>
      <c r="C18" s="482" t="s">
        <v>854</v>
      </c>
      <c r="D18" s="662">
        <f>D7*(1-D8)</f>
        <v>7600000</v>
      </c>
      <c r="E18" s="546"/>
      <c r="F18" s="440"/>
      <c r="G18" s="440"/>
      <c r="H18" s="440"/>
      <c r="I18" s="440"/>
      <c r="J18" s="440"/>
      <c r="K18" s="440"/>
    </row>
    <row r="19" spans="1:11" ht="15.75">
      <c r="A19" s="440"/>
      <c r="B19" s="545"/>
      <c r="C19" s="482" t="s">
        <v>141</v>
      </c>
      <c r="D19" s="663">
        <f>D18*D9</f>
        <v>10184000</v>
      </c>
      <c r="E19" s="546"/>
      <c r="F19" s="440"/>
      <c r="G19" s="440"/>
      <c r="H19" s="440"/>
      <c r="I19" s="440"/>
      <c r="J19" s="440"/>
      <c r="K19" s="440"/>
    </row>
    <row r="20" spans="1:11" ht="15.75">
      <c r="A20" s="440"/>
      <c r="B20" s="545"/>
      <c r="C20" s="482"/>
      <c r="D20" s="663"/>
      <c r="E20" s="546"/>
      <c r="F20" s="440"/>
      <c r="G20" s="440"/>
      <c r="H20" s="440"/>
      <c r="I20" s="440"/>
      <c r="J20" s="440"/>
      <c r="K20" s="440"/>
    </row>
    <row r="21" spans="1:11" ht="15.75">
      <c r="A21" s="440"/>
      <c r="B21" s="545"/>
      <c r="C21" s="482" t="s">
        <v>855</v>
      </c>
      <c r="D21" s="663">
        <f>D7*D9</f>
        <v>10720000</v>
      </c>
      <c r="E21" s="546"/>
      <c r="F21" s="440"/>
      <c r="G21" s="440"/>
      <c r="H21" s="440"/>
      <c r="I21" s="440"/>
      <c r="J21" s="440"/>
      <c r="K21" s="440"/>
    </row>
    <row r="22" spans="1:11" ht="15.75">
      <c r="A22" s="440"/>
      <c r="B22" s="545"/>
      <c r="C22" s="482" t="s">
        <v>138</v>
      </c>
      <c r="D22" s="663">
        <f>D21*D10</f>
        <v>8576000</v>
      </c>
      <c r="E22" s="546"/>
      <c r="F22" s="440"/>
      <c r="G22" s="440"/>
      <c r="H22" s="440"/>
      <c r="I22" s="440"/>
      <c r="J22" s="440"/>
      <c r="K22" s="440"/>
    </row>
    <row r="23" spans="1:11" ht="15.75">
      <c r="A23" s="440"/>
      <c r="B23" s="545"/>
      <c r="C23" s="482"/>
      <c r="D23" s="664"/>
      <c r="E23" s="546"/>
      <c r="F23" s="440"/>
      <c r="G23" s="440"/>
      <c r="H23" s="440"/>
      <c r="I23" s="440"/>
      <c r="J23" s="440"/>
      <c r="K23" s="440"/>
    </row>
    <row r="24" spans="1:11" ht="15.75">
      <c r="A24" s="440"/>
      <c r="B24" s="545"/>
      <c r="C24" s="482" t="s">
        <v>142</v>
      </c>
      <c r="D24" s="112">
        <f>D19-D22</f>
        <v>1608000</v>
      </c>
      <c r="E24" s="546"/>
      <c r="F24" s="440"/>
      <c r="G24" s="440"/>
      <c r="H24" s="440"/>
      <c r="I24" s="440"/>
      <c r="J24" s="440"/>
      <c r="K24" s="440"/>
    </row>
    <row r="25" spans="1:11" ht="15.75">
      <c r="A25" s="440"/>
      <c r="B25" s="545"/>
      <c r="C25" s="482"/>
      <c r="D25" s="663"/>
      <c r="E25" s="546"/>
      <c r="F25" s="440"/>
      <c r="G25" s="440"/>
      <c r="H25" s="440"/>
      <c r="I25" s="440"/>
      <c r="J25" s="440"/>
      <c r="K25" s="440"/>
    </row>
    <row r="26" spans="1:11" ht="15.75">
      <c r="A26" s="440"/>
      <c r="B26" s="545" t="s">
        <v>140</v>
      </c>
      <c r="C26" s="485" t="s">
        <v>143</v>
      </c>
      <c r="D26" s="663"/>
      <c r="E26" s="546"/>
      <c r="F26" s="440"/>
      <c r="G26" s="440"/>
      <c r="H26" s="440"/>
      <c r="I26" s="440"/>
      <c r="J26" s="440"/>
      <c r="K26" s="440"/>
    </row>
    <row r="27" spans="1:11" ht="15.75">
      <c r="A27" s="440"/>
      <c r="B27" s="545"/>
      <c r="C27" s="482" t="s">
        <v>141</v>
      </c>
      <c r="D27" s="663">
        <f>D18*D12</f>
        <v>9500000</v>
      </c>
      <c r="E27" s="546"/>
      <c r="F27" s="440"/>
      <c r="G27" s="440"/>
      <c r="H27" s="440"/>
      <c r="I27" s="440"/>
      <c r="J27" s="440"/>
      <c r="K27" s="440"/>
    </row>
    <row r="28" spans="1:11" ht="15.75">
      <c r="A28" s="440"/>
      <c r="B28" s="545"/>
      <c r="C28" s="482" t="s">
        <v>138</v>
      </c>
      <c r="D28" s="663">
        <f>D22</f>
        <v>8576000</v>
      </c>
      <c r="E28" s="546"/>
      <c r="F28" s="440"/>
      <c r="G28" s="440"/>
      <c r="H28" s="440"/>
      <c r="I28" s="440"/>
      <c r="J28" s="440"/>
      <c r="K28" s="440"/>
    </row>
    <row r="29" spans="1:11" ht="15.75">
      <c r="A29" s="440"/>
      <c r="B29" s="545"/>
      <c r="C29" s="482"/>
      <c r="D29" s="664"/>
      <c r="E29" s="546"/>
      <c r="F29" s="440"/>
      <c r="G29" s="440"/>
      <c r="H29" s="440"/>
      <c r="I29" s="440"/>
      <c r="J29" s="440"/>
      <c r="K29" s="440"/>
    </row>
    <row r="30" spans="1:11" ht="15.75">
      <c r="A30" s="440"/>
      <c r="B30" s="545"/>
      <c r="C30" s="482" t="s">
        <v>856</v>
      </c>
      <c r="D30" s="112">
        <f>D27-D28</f>
        <v>924000</v>
      </c>
      <c r="E30" s="546"/>
      <c r="F30" s="440"/>
      <c r="G30" s="440"/>
      <c r="H30" s="440"/>
      <c r="I30" s="440"/>
      <c r="J30" s="440"/>
      <c r="K30" s="440"/>
    </row>
    <row r="31" spans="1:11" ht="15.75">
      <c r="A31" s="440"/>
      <c r="B31" s="545"/>
      <c r="C31" s="482"/>
      <c r="D31" s="114"/>
      <c r="E31" s="546"/>
      <c r="F31" s="440"/>
      <c r="G31" s="440"/>
      <c r="H31" s="440"/>
      <c r="I31" s="440"/>
      <c r="J31" s="440"/>
      <c r="K31" s="440"/>
    </row>
    <row r="32" spans="1:11" ht="15.75">
      <c r="A32" s="440"/>
      <c r="B32" s="545"/>
      <c r="C32" s="482" t="s">
        <v>145</v>
      </c>
      <c r="D32" s="115">
        <f>D22/D18</f>
        <v>1.128421052631579</v>
      </c>
      <c r="E32" s="546"/>
      <c r="F32" s="440"/>
      <c r="G32" s="440"/>
      <c r="H32" s="440"/>
      <c r="I32" s="440"/>
      <c r="J32" s="440"/>
      <c r="K32" s="440"/>
    </row>
    <row r="33" spans="1:11" ht="16.5" thickBot="1">
      <c r="A33" s="440"/>
      <c r="B33" s="592"/>
      <c r="C33" s="492"/>
      <c r="D33" s="492"/>
      <c r="E33" s="563"/>
      <c r="F33" s="440"/>
      <c r="G33" s="440"/>
      <c r="H33" s="440"/>
      <c r="I33" s="440"/>
      <c r="J33" s="440"/>
      <c r="K33" s="440"/>
    </row>
    <row r="34" spans="1:11" ht="15.75">
      <c r="A34" s="440"/>
      <c r="B34" s="653"/>
      <c r="C34" s="440"/>
      <c r="D34" s="440"/>
      <c r="E34" s="440"/>
      <c r="F34" s="440"/>
      <c r="G34" s="440"/>
      <c r="H34" s="440"/>
      <c r="I34" s="440"/>
      <c r="J34" s="440"/>
      <c r="K34" s="440"/>
    </row>
    <row r="35" spans="1:11" ht="15.75">
      <c r="A35" s="440"/>
      <c r="B35" s="653"/>
      <c r="C35" s="440"/>
      <c r="D35" s="440"/>
      <c r="E35" s="440"/>
      <c r="F35" s="440"/>
      <c r="G35" s="440"/>
      <c r="H35" s="440"/>
      <c r="I35" s="440"/>
      <c r="J35" s="440"/>
      <c r="K35" s="440"/>
    </row>
    <row r="36" spans="1:11" ht="15.75">
      <c r="A36" s="440"/>
      <c r="B36" s="653"/>
      <c r="C36" s="440"/>
      <c r="D36" s="440"/>
      <c r="E36" s="440"/>
      <c r="F36" s="440"/>
      <c r="G36" s="440"/>
      <c r="H36" s="440"/>
      <c r="I36" s="440"/>
      <c r="J36" s="440"/>
      <c r="K36" s="440"/>
    </row>
    <row r="37" spans="1:11" ht="15.75">
      <c r="A37" s="440"/>
      <c r="B37" s="653"/>
      <c r="C37" s="440"/>
      <c r="D37" s="440"/>
      <c r="E37" s="440"/>
      <c r="F37" s="440"/>
      <c r="G37" s="440"/>
      <c r="H37" s="440"/>
      <c r="I37" s="440"/>
      <c r="J37" s="440"/>
      <c r="K37" s="440"/>
    </row>
    <row r="38" spans="1:11" ht="15.75">
      <c r="A38" s="440"/>
      <c r="B38" s="653"/>
      <c r="C38" s="440"/>
      <c r="D38" s="440"/>
      <c r="E38" s="440"/>
      <c r="F38" s="440"/>
      <c r="G38" s="440"/>
      <c r="H38" s="440"/>
      <c r="I38" s="440"/>
      <c r="J38" s="440"/>
      <c r="K38" s="440"/>
    </row>
    <row r="39" spans="1:11" ht="15.75">
      <c r="A39" s="440"/>
      <c r="B39" s="653"/>
      <c r="C39" s="440"/>
      <c r="D39" s="440"/>
      <c r="E39" s="440"/>
      <c r="F39" s="440"/>
      <c r="G39" s="440"/>
      <c r="H39" s="440"/>
      <c r="I39" s="440"/>
      <c r="J39" s="440"/>
      <c r="K39" s="440"/>
    </row>
    <row r="40" spans="1:11" ht="15.75">
      <c r="A40" s="440"/>
      <c r="B40" s="653"/>
      <c r="C40" s="440"/>
      <c r="D40" s="440"/>
      <c r="E40" s="440"/>
      <c r="F40" s="440"/>
      <c r="G40" s="440"/>
      <c r="H40" s="440"/>
      <c r="I40" s="440"/>
      <c r="J40" s="440"/>
      <c r="K40" s="440"/>
    </row>
    <row r="41" spans="1:11" ht="15.75">
      <c r="A41" s="440"/>
      <c r="B41" s="653"/>
      <c r="C41" s="440"/>
      <c r="D41" s="440"/>
      <c r="E41" s="440"/>
      <c r="F41" s="440"/>
      <c r="G41" s="440"/>
      <c r="H41" s="440"/>
      <c r="I41" s="440"/>
      <c r="J41" s="440"/>
      <c r="K41" s="440"/>
    </row>
    <row r="42" spans="1:11" ht="15.75">
      <c r="A42" s="440"/>
      <c r="B42" s="653"/>
      <c r="C42" s="440"/>
      <c r="D42" s="440"/>
      <c r="E42" s="440"/>
      <c r="F42" s="440"/>
      <c r="G42" s="440"/>
      <c r="H42" s="440"/>
      <c r="I42" s="440"/>
      <c r="J42" s="440"/>
      <c r="K42" s="440"/>
    </row>
    <row r="43" spans="1:11" ht="15.75">
      <c r="A43" s="440"/>
      <c r="B43" s="653"/>
      <c r="C43" s="440"/>
      <c r="D43" s="440"/>
      <c r="E43" s="440"/>
      <c r="F43" s="440"/>
      <c r="G43" s="440"/>
      <c r="H43" s="440"/>
      <c r="I43" s="440"/>
      <c r="J43" s="440"/>
      <c r="K43" s="440"/>
    </row>
    <row r="44" spans="1:11" ht="15.75">
      <c r="A44" s="440"/>
      <c r="B44" s="653"/>
      <c r="C44" s="440"/>
      <c r="D44" s="440"/>
      <c r="E44" s="440"/>
      <c r="F44" s="440"/>
      <c r="G44" s="440"/>
      <c r="H44" s="440"/>
      <c r="I44" s="440"/>
      <c r="J44" s="440"/>
      <c r="K44" s="440"/>
    </row>
    <row r="45" spans="1:11" ht="15.75">
      <c r="A45" s="440"/>
      <c r="B45" s="653"/>
      <c r="C45" s="440"/>
      <c r="D45" s="440"/>
      <c r="E45" s="440"/>
      <c r="F45" s="440"/>
      <c r="G45" s="440"/>
      <c r="H45" s="440"/>
      <c r="I45" s="440"/>
      <c r="J45" s="440"/>
      <c r="K45" s="440"/>
    </row>
    <row r="46" spans="1:11" ht="15.75">
      <c r="A46" s="440"/>
      <c r="B46" s="653"/>
      <c r="C46" s="440"/>
      <c r="D46" s="440"/>
      <c r="E46" s="440"/>
      <c r="F46" s="440"/>
      <c r="G46" s="440"/>
      <c r="H46" s="440"/>
      <c r="I46" s="440"/>
      <c r="J46" s="440"/>
      <c r="K46" s="440"/>
    </row>
  </sheetData>
  <mergeCells count="1">
    <mergeCell ref="C2:E2"/>
  </mergeCells>
  <phoneticPr fontId="53" type="noConversion"/>
  <pageMargins left="0.75" right="0.75" top="1" bottom="1" header="0.5" footer="0.5"/>
  <pageSetup orientation="portrait" horizontalDpi="360" verticalDpi="36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11111222"/>
  <dimension ref="B1:E79"/>
  <sheetViews>
    <sheetView zoomScaleNormal="100" workbookViewId="0"/>
  </sheetViews>
  <sheetFormatPr defaultRowHeight="15"/>
  <cols>
    <col min="1" max="1" width="9.140625" style="439"/>
    <col min="2" max="2" width="3.140625" style="439" customWidth="1"/>
    <col min="3" max="3" width="31.42578125" style="439" bestFit="1" customWidth="1"/>
    <col min="4" max="4" width="18.85546875" style="495" bestFit="1" customWidth="1"/>
    <col min="5" max="5" width="3.140625" style="440" customWidth="1"/>
    <col min="6" max="6" width="3.140625" style="439" customWidth="1"/>
    <col min="7" max="16384" width="9.140625" style="439"/>
  </cols>
  <sheetData>
    <row r="1" spans="2:5" ht="18">
      <c r="C1" s="777" t="s">
        <v>482</v>
      </c>
      <c r="D1" s="777"/>
    </row>
    <row r="2" spans="2:5" ht="18" customHeight="1">
      <c r="C2" s="777" t="s">
        <v>483</v>
      </c>
      <c r="D2" s="777"/>
    </row>
    <row r="4" spans="2:5">
      <c r="C4" s="441" t="s">
        <v>34</v>
      </c>
      <c r="D4" s="442"/>
    </row>
    <row r="5" spans="2:5" ht="15.75" thickBot="1">
      <c r="C5" s="443"/>
      <c r="D5" s="444"/>
    </row>
    <row r="6" spans="2:5">
      <c r="B6" s="445"/>
      <c r="C6" s="446"/>
      <c r="D6" s="447"/>
      <c r="E6" s="448"/>
    </row>
    <row r="7" spans="2:5">
      <c r="B7" s="449"/>
      <c r="C7" s="450" t="s">
        <v>484</v>
      </c>
      <c r="D7" s="451">
        <v>65000</v>
      </c>
      <c r="E7" s="452"/>
    </row>
    <row r="8" spans="2:5">
      <c r="B8" s="449"/>
      <c r="C8" s="450" t="s">
        <v>485</v>
      </c>
      <c r="D8" s="453">
        <v>40</v>
      </c>
      <c r="E8" s="452"/>
    </row>
    <row r="9" spans="2:5">
      <c r="B9" s="449"/>
      <c r="C9" s="450" t="s">
        <v>486</v>
      </c>
      <c r="D9" s="296">
        <v>0.03</v>
      </c>
      <c r="E9" s="452"/>
    </row>
    <row r="10" spans="2:5">
      <c r="B10" s="449"/>
      <c r="C10" s="450" t="s">
        <v>49</v>
      </c>
      <c r="D10" s="296">
        <v>0.26</v>
      </c>
      <c r="E10" s="452"/>
    </row>
    <row r="11" spans="2:5">
      <c r="B11" s="449"/>
      <c r="C11" s="450"/>
      <c r="D11" s="454"/>
      <c r="E11" s="452"/>
    </row>
    <row r="12" spans="2:5">
      <c r="B12" s="449"/>
      <c r="C12" s="455" t="s">
        <v>487</v>
      </c>
      <c r="D12" s="456"/>
      <c r="E12" s="452"/>
    </row>
    <row r="13" spans="2:5">
      <c r="B13" s="449"/>
      <c r="C13" s="450" t="s">
        <v>488</v>
      </c>
      <c r="D13" s="457">
        <v>70000</v>
      </c>
      <c r="E13" s="452"/>
    </row>
    <row r="14" spans="2:5">
      <c r="B14" s="449"/>
      <c r="C14" s="450" t="s">
        <v>489</v>
      </c>
      <c r="D14" s="457">
        <v>3000</v>
      </c>
      <c r="E14" s="452"/>
    </row>
    <row r="15" spans="2:5">
      <c r="B15" s="449"/>
      <c r="C15" s="450" t="s">
        <v>491</v>
      </c>
      <c r="D15" s="457">
        <v>110000</v>
      </c>
      <c r="E15" s="452"/>
    </row>
    <row r="16" spans="2:5">
      <c r="B16" s="449"/>
      <c r="C16" s="450" t="s">
        <v>490</v>
      </c>
      <c r="D16" s="457">
        <v>20000</v>
      </c>
      <c r="E16" s="452"/>
    </row>
    <row r="17" spans="2:5">
      <c r="B17" s="449"/>
      <c r="C17" s="450" t="s">
        <v>486</v>
      </c>
      <c r="D17" s="296">
        <v>0.04</v>
      </c>
      <c r="E17" s="452"/>
    </row>
    <row r="18" spans="2:5">
      <c r="B18" s="449"/>
      <c r="C18" s="450" t="s">
        <v>49</v>
      </c>
      <c r="D18" s="296">
        <v>0.31</v>
      </c>
      <c r="E18" s="452"/>
    </row>
    <row r="19" spans="2:5">
      <c r="B19" s="449"/>
      <c r="C19" s="450"/>
      <c r="D19" s="296"/>
      <c r="E19" s="452"/>
    </row>
    <row r="20" spans="2:5">
      <c r="B20" s="449"/>
      <c r="C20" s="455" t="s">
        <v>492</v>
      </c>
      <c r="D20" s="456"/>
      <c r="E20" s="452"/>
    </row>
    <row r="21" spans="2:5">
      <c r="B21" s="449"/>
      <c r="C21" s="450" t="s">
        <v>488</v>
      </c>
      <c r="D21" s="457">
        <v>85000</v>
      </c>
      <c r="E21" s="452"/>
    </row>
    <row r="22" spans="2:5">
      <c r="B22" s="449"/>
      <c r="C22" s="450" t="s">
        <v>489</v>
      </c>
      <c r="D22" s="457">
        <v>4500</v>
      </c>
      <c r="E22" s="452"/>
    </row>
    <row r="23" spans="2:5">
      <c r="B23" s="449"/>
      <c r="C23" s="450" t="s">
        <v>490</v>
      </c>
      <c r="D23" s="457">
        <v>18000</v>
      </c>
      <c r="E23" s="452"/>
    </row>
    <row r="24" spans="2:5">
      <c r="B24" s="449"/>
      <c r="C24" s="450" t="s">
        <v>491</v>
      </c>
      <c r="D24" s="457">
        <v>92000</v>
      </c>
      <c r="E24" s="452"/>
    </row>
    <row r="25" spans="2:5">
      <c r="B25" s="449"/>
      <c r="C25" s="450" t="s">
        <v>486</v>
      </c>
      <c r="D25" s="458">
        <v>3.5000000000000003E-2</v>
      </c>
      <c r="E25" s="452"/>
    </row>
    <row r="26" spans="2:5">
      <c r="B26" s="449"/>
      <c r="C26" s="450" t="s">
        <v>49</v>
      </c>
      <c r="D26" s="296">
        <v>0.28999999999999998</v>
      </c>
      <c r="E26" s="452"/>
    </row>
    <row r="27" spans="2:5">
      <c r="B27" s="449"/>
      <c r="C27" s="450"/>
      <c r="D27" s="296"/>
      <c r="E27" s="452"/>
    </row>
    <row r="28" spans="2:5">
      <c r="B28" s="449"/>
      <c r="C28" s="455" t="s">
        <v>493</v>
      </c>
      <c r="D28" s="296"/>
      <c r="E28" s="452"/>
    </row>
    <row r="29" spans="2:5">
      <c r="B29" s="449"/>
      <c r="C29" s="459" t="s">
        <v>494</v>
      </c>
      <c r="D29" s="460">
        <v>3000</v>
      </c>
      <c r="E29" s="452"/>
    </row>
    <row r="30" spans="2:5">
      <c r="B30" s="449"/>
      <c r="C30" s="459" t="s">
        <v>748</v>
      </c>
      <c r="D30" s="460">
        <v>2000</v>
      </c>
      <c r="E30" s="452"/>
    </row>
    <row r="31" spans="2:5">
      <c r="B31" s="449"/>
      <c r="C31" s="450"/>
      <c r="D31" s="461"/>
      <c r="E31" s="452"/>
    </row>
    <row r="32" spans="2:5">
      <c r="B32" s="449"/>
      <c r="C32" s="450" t="s">
        <v>495</v>
      </c>
      <c r="D32" s="212">
        <v>6.5000000000000002E-2</v>
      </c>
      <c r="E32" s="452"/>
    </row>
    <row r="33" spans="2:5" ht="15.75" thickBot="1">
      <c r="B33" s="462"/>
      <c r="C33" s="463"/>
      <c r="D33" s="464"/>
      <c r="E33" s="465"/>
    </row>
    <row r="34" spans="2:5">
      <c r="C34" s="440"/>
      <c r="D34" s="442"/>
    </row>
    <row r="35" spans="2:5">
      <c r="C35" s="441" t="s">
        <v>51</v>
      </c>
      <c r="D35" s="442"/>
    </row>
    <row r="36" spans="2:5" ht="15.75" thickBot="1">
      <c r="C36" s="443"/>
      <c r="D36" s="442"/>
    </row>
    <row r="37" spans="2:5">
      <c r="B37" s="466"/>
      <c r="C37" s="467"/>
      <c r="D37" s="468"/>
      <c r="E37" s="469"/>
    </row>
    <row r="38" spans="2:5">
      <c r="B38" s="470" t="s">
        <v>198</v>
      </c>
      <c r="C38" s="471" t="s">
        <v>496</v>
      </c>
      <c r="D38" s="472"/>
      <c r="E38" s="473"/>
    </row>
    <row r="39" spans="2:5">
      <c r="B39" s="474"/>
      <c r="C39" s="475" t="s">
        <v>497</v>
      </c>
      <c r="D39" s="476">
        <f>D7*(1-D10)</f>
        <v>48100</v>
      </c>
      <c r="E39" s="473"/>
    </row>
    <row r="40" spans="2:5">
      <c r="B40" s="474"/>
      <c r="C40" s="475"/>
      <c r="D40" s="472"/>
      <c r="E40" s="473"/>
    </row>
    <row r="41" spans="2:5" ht="15.75">
      <c r="B41" s="474"/>
      <c r="C41" s="475" t="s">
        <v>498</v>
      </c>
      <c r="D41" s="477">
        <f>D39*(1-(((1+D9)/(1+D32))^D8))/(D32-D9)</f>
        <v>1013223.7760013309</v>
      </c>
      <c r="E41" s="473"/>
    </row>
    <row r="42" spans="2:5">
      <c r="B42" s="474"/>
      <c r="C42" s="475"/>
      <c r="D42" s="472"/>
      <c r="E42" s="473"/>
    </row>
    <row r="43" spans="2:5">
      <c r="B43" s="474"/>
      <c r="C43" s="471" t="s">
        <v>499</v>
      </c>
      <c r="D43" s="472"/>
      <c r="E43" s="473"/>
    </row>
    <row r="44" spans="2:5">
      <c r="B44" s="474"/>
      <c r="C44" s="475" t="s">
        <v>500</v>
      </c>
      <c r="D44" s="478">
        <f>-((D13+D14+D29+D30)+((D13+D14+D29+D30)/(1+D32)))</f>
        <v>-151239.43661971833</v>
      </c>
      <c r="E44" s="473"/>
    </row>
    <row r="45" spans="2:5">
      <c r="B45" s="474"/>
      <c r="C45" s="475"/>
      <c r="D45" s="476"/>
      <c r="E45" s="473"/>
    </row>
    <row r="46" spans="2:5">
      <c r="B46" s="474"/>
      <c r="C46" s="475" t="s">
        <v>501</v>
      </c>
      <c r="D46" s="476">
        <f>D16*(1-D18)</f>
        <v>13799.999999999998</v>
      </c>
      <c r="E46" s="473"/>
    </row>
    <row r="47" spans="2:5">
      <c r="B47" s="474"/>
      <c r="C47" s="475"/>
      <c r="D47" s="479"/>
      <c r="E47" s="473"/>
    </row>
    <row r="48" spans="2:5">
      <c r="B48" s="474"/>
      <c r="C48" s="475" t="s">
        <v>502</v>
      </c>
      <c r="D48" s="480">
        <f>D46/((1+D32)^2)</f>
        <v>12166.898102228393</v>
      </c>
      <c r="E48" s="473"/>
    </row>
    <row r="49" spans="2:5">
      <c r="B49" s="474"/>
      <c r="C49" s="475"/>
      <c r="D49" s="480"/>
      <c r="E49" s="473"/>
    </row>
    <row r="50" spans="2:5">
      <c r="B50" s="474"/>
      <c r="C50" s="475" t="s">
        <v>503</v>
      </c>
      <c r="D50" s="480">
        <f>D15*(1-D18)</f>
        <v>75900</v>
      </c>
      <c r="E50" s="473"/>
    </row>
    <row r="51" spans="2:5">
      <c r="B51" s="474"/>
      <c r="C51" s="475"/>
      <c r="D51" s="481"/>
      <c r="E51" s="473"/>
    </row>
    <row r="52" spans="2:5">
      <c r="B52" s="474"/>
      <c r="C52" s="482" t="s">
        <v>504</v>
      </c>
      <c r="D52" s="476">
        <f>D50*(1-(((1+D17)/(1+D32))^(D8-2)))/(D32-D17)</f>
        <v>1804927.6839836421</v>
      </c>
      <c r="E52" s="473"/>
    </row>
    <row r="53" spans="2:5">
      <c r="B53" s="474"/>
      <c r="C53" s="482"/>
      <c r="D53" s="476"/>
      <c r="E53" s="473"/>
    </row>
    <row r="54" spans="2:5">
      <c r="B54" s="474"/>
      <c r="C54" s="482" t="s">
        <v>505</v>
      </c>
      <c r="D54" s="476">
        <f>D52/((1+D32)^2)</f>
        <v>1591331.2473130485</v>
      </c>
      <c r="E54" s="473"/>
    </row>
    <row r="55" spans="2:5">
      <c r="B55" s="474"/>
      <c r="C55" s="482"/>
      <c r="D55" s="483"/>
      <c r="E55" s="473"/>
    </row>
    <row r="56" spans="2:5" ht="15.75">
      <c r="B56" s="474"/>
      <c r="C56" s="482" t="s">
        <v>506</v>
      </c>
      <c r="D56" s="484">
        <f>D44+D48+D54</f>
        <v>1452258.7087955584</v>
      </c>
      <c r="E56" s="473"/>
    </row>
    <row r="57" spans="2:5">
      <c r="B57" s="474"/>
      <c r="C57" s="482"/>
      <c r="D57" s="481"/>
      <c r="E57" s="473"/>
    </row>
    <row r="58" spans="2:5">
      <c r="B58" s="474"/>
      <c r="C58" s="485" t="s">
        <v>507</v>
      </c>
      <c r="D58" s="483"/>
      <c r="E58" s="473"/>
    </row>
    <row r="59" spans="2:5">
      <c r="B59" s="474"/>
      <c r="C59" s="482" t="s">
        <v>500</v>
      </c>
      <c r="D59" s="486">
        <f>-D21-D22-D29-D30</f>
        <v>-94500</v>
      </c>
      <c r="E59" s="473"/>
    </row>
    <row r="60" spans="2:5">
      <c r="B60" s="474"/>
      <c r="C60" s="482"/>
      <c r="D60" s="481"/>
      <c r="E60" s="473"/>
    </row>
    <row r="61" spans="2:5">
      <c r="B61" s="474"/>
      <c r="C61" s="482" t="s">
        <v>508</v>
      </c>
      <c r="D61" s="486">
        <f>(D23*(1-D26))/(1+D32)</f>
        <v>12000</v>
      </c>
      <c r="E61" s="473"/>
    </row>
    <row r="62" spans="2:5">
      <c r="B62" s="474"/>
      <c r="C62" s="482"/>
      <c r="D62" s="481"/>
      <c r="E62" s="473"/>
    </row>
    <row r="63" spans="2:5">
      <c r="B63" s="474"/>
      <c r="C63" s="482" t="s">
        <v>503</v>
      </c>
      <c r="D63" s="476">
        <f>D24*(1-D26)</f>
        <v>65320</v>
      </c>
      <c r="E63" s="473"/>
    </row>
    <row r="64" spans="2:5">
      <c r="B64" s="474"/>
      <c r="C64" s="475"/>
      <c r="D64" s="487"/>
      <c r="E64" s="473"/>
    </row>
    <row r="65" spans="2:5">
      <c r="B65" s="474"/>
      <c r="C65" s="482" t="s">
        <v>509</v>
      </c>
      <c r="D65" s="476">
        <f>D63*(1-(((1+D25)/(1+D32))^(D8-1)))/(D32-D25)</f>
        <v>1462896.4618108224</v>
      </c>
      <c r="E65" s="473"/>
    </row>
    <row r="66" spans="2:5">
      <c r="B66" s="474"/>
      <c r="C66" s="482"/>
      <c r="D66" s="476"/>
      <c r="E66" s="473"/>
    </row>
    <row r="67" spans="2:5">
      <c r="B67" s="474"/>
      <c r="C67" s="482" t="s">
        <v>510</v>
      </c>
      <c r="D67" s="476">
        <f>D65/(1+D32)</f>
        <v>1373611.7012308191</v>
      </c>
      <c r="E67" s="473"/>
    </row>
    <row r="68" spans="2:5">
      <c r="B68" s="474"/>
      <c r="C68" s="482"/>
      <c r="D68" s="481"/>
      <c r="E68" s="473"/>
    </row>
    <row r="69" spans="2:5" ht="15.75">
      <c r="B69" s="474"/>
      <c r="C69" s="482" t="s">
        <v>511</v>
      </c>
      <c r="D69" s="484">
        <f>D67+D61+D59</f>
        <v>1291111.7012308191</v>
      </c>
      <c r="E69" s="473"/>
    </row>
    <row r="70" spans="2:5">
      <c r="B70" s="474"/>
      <c r="C70" s="482"/>
      <c r="D70" s="483"/>
      <c r="E70" s="473"/>
    </row>
    <row r="71" spans="2:5">
      <c r="B71" s="488" t="s">
        <v>512</v>
      </c>
      <c r="C71" s="482" t="s">
        <v>513</v>
      </c>
      <c r="D71" s="481"/>
      <c r="E71" s="473"/>
    </row>
    <row r="72" spans="2:5">
      <c r="B72" s="474"/>
      <c r="C72" s="482" t="s">
        <v>514</v>
      </c>
      <c r="D72" s="486">
        <f>D41-D44-D48</f>
        <v>1152296.314518821</v>
      </c>
      <c r="E72" s="473"/>
    </row>
    <row r="73" spans="2:5">
      <c r="B73" s="474"/>
      <c r="C73" s="482"/>
      <c r="D73" s="481"/>
      <c r="E73" s="473"/>
    </row>
    <row r="74" spans="2:5">
      <c r="B74" s="474"/>
      <c r="C74" s="482" t="s">
        <v>743</v>
      </c>
      <c r="D74" s="489">
        <f>D72*(1+D32)^2</f>
        <v>1306963.2873351094</v>
      </c>
      <c r="E74" s="473"/>
    </row>
    <row r="75" spans="2:5">
      <c r="B75" s="474"/>
      <c r="C75" s="482"/>
      <c r="D75" s="481"/>
      <c r="E75" s="473"/>
    </row>
    <row r="76" spans="2:5">
      <c r="B76" s="474"/>
      <c r="C76" s="482" t="s">
        <v>515</v>
      </c>
      <c r="D76" s="476">
        <f>D74/((1-(((1+D17)/(1+D32))^(D8-2)))/(D32-D17))</f>
        <v>54959.827138223358</v>
      </c>
      <c r="E76" s="473"/>
    </row>
    <row r="77" spans="2:5">
      <c r="B77" s="474"/>
      <c r="C77" s="482"/>
      <c r="D77" s="481"/>
      <c r="E77" s="473"/>
    </row>
    <row r="78" spans="2:5" ht="15.75">
      <c r="B78" s="474"/>
      <c r="C78" s="482" t="s">
        <v>516</v>
      </c>
      <c r="D78" s="490">
        <f>D76/(1-D18)</f>
        <v>79651.923388729512</v>
      </c>
      <c r="E78" s="473"/>
    </row>
    <row r="79" spans="2:5" ht="15.75" thickBot="1">
      <c r="B79" s="491"/>
      <c r="C79" s="492"/>
      <c r="D79" s="493"/>
      <c r="E79" s="494"/>
    </row>
  </sheetData>
  <mergeCells count="2">
    <mergeCell ref="C1:D1"/>
    <mergeCell ref="C2:D2"/>
  </mergeCells>
  <phoneticPr fontId="53" type="noConversion"/>
  <pageMargins left="0.75" right="0.75" top="1" bottom="1" header="0.5" footer="0.5"/>
  <pageSetup scale="70" orientation="portrait" horizontalDpi="300" r:id="rId1"/>
  <headerFooter alignWithMargins="0"/>
  <ignoredErrors>
    <ignoredError sqref="B38 B71" numberStoredAsText="1"/>
  </ignoredErrors>
</worksheet>
</file>

<file path=xl/worksheets/sheet5.xml><?xml version="1.0" encoding="utf-8"?>
<worksheet xmlns="http://schemas.openxmlformats.org/spreadsheetml/2006/main" xmlns:r="http://schemas.openxmlformats.org/officeDocument/2006/relationships">
  <sheetPr codeName="Sheet11111223"/>
  <dimension ref="B1:G36"/>
  <sheetViews>
    <sheetView zoomScaleNormal="100" workbookViewId="0"/>
  </sheetViews>
  <sheetFormatPr defaultRowHeight="15"/>
  <cols>
    <col min="2" max="2" width="3.140625" customWidth="1"/>
    <col min="3" max="3" width="25" bestFit="1" customWidth="1"/>
    <col min="4" max="4" width="21.140625" style="58" customWidth="1"/>
    <col min="5" max="5" width="15.5703125" style="58" bestFit="1" customWidth="1"/>
    <col min="6" max="6" width="21.42578125" bestFit="1" customWidth="1"/>
    <col min="7" max="7" width="3.140625" style="59" customWidth="1"/>
    <col min="8" max="8" width="3.140625" customWidth="1"/>
  </cols>
  <sheetData>
    <row r="1" spans="2:7" ht="18">
      <c r="C1" s="772" t="s">
        <v>329</v>
      </c>
      <c r="D1" s="772"/>
      <c r="E1" s="772"/>
      <c r="F1" s="772"/>
    </row>
    <row r="2" spans="2:7" ht="18" customHeight="1">
      <c r="C2" s="772" t="s">
        <v>330</v>
      </c>
      <c r="D2" s="772"/>
      <c r="E2" s="772"/>
      <c r="F2" s="772"/>
    </row>
    <row r="4" spans="2:7">
      <c r="C4" s="9" t="s">
        <v>34</v>
      </c>
      <c r="D4" s="203"/>
      <c r="E4" s="203"/>
      <c r="F4" s="59"/>
    </row>
    <row r="5" spans="2:7" ht="15.75" thickBot="1">
      <c r="C5" s="17"/>
      <c r="D5" s="204"/>
      <c r="E5" s="203"/>
      <c r="F5" s="59"/>
    </row>
    <row r="6" spans="2:7">
      <c r="B6" s="62"/>
      <c r="C6" s="205"/>
      <c r="D6" s="206"/>
      <c r="E6" s="206"/>
      <c r="F6" s="118"/>
      <c r="G6" s="64"/>
    </row>
    <row r="7" spans="2:7" ht="17.25">
      <c r="B7" s="65"/>
      <c r="C7" s="233" t="s">
        <v>317</v>
      </c>
      <c r="D7" s="234" t="s">
        <v>331</v>
      </c>
      <c r="E7" s="208"/>
      <c r="F7" s="209"/>
      <c r="G7" s="105"/>
    </row>
    <row r="8" spans="2:7">
      <c r="B8" s="65"/>
      <c r="C8" s="235">
        <v>0</v>
      </c>
      <c r="D8" s="236">
        <v>-750000000</v>
      </c>
      <c r="E8" s="208"/>
      <c r="F8" s="209"/>
      <c r="G8" s="105"/>
    </row>
    <row r="9" spans="2:7">
      <c r="B9" s="65"/>
      <c r="C9" s="235">
        <v>1</v>
      </c>
      <c r="D9" s="237">
        <v>130000000</v>
      </c>
      <c r="E9" s="208"/>
      <c r="F9" s="209"/>
      <c r="G9" s="105"/>
    </row>
    <row r="10" spans="2:7">
      <c r="B10" s="65"/>
      <c r="C10" s="235">
        <v>2</v>
      </c>
      <c r="D10" s="237">
        <v>180000000</v>
      </c>
      <c r="E10" s="208"/>
      <c r="F10" s="209"/>
      <c r="G10" s="105"/>
    </row>
    <row r="11" spans="2:7">
      <c r="B11" s="65"/>
      <c r="C11" s="235">
        <v>3</v>
      </c>
      <c r="D11" s="237">
        <v>190000000</v>
      </c>
      <c r="E11" s="210"/>
      <c r="F11" s="209"/>
      <c r="G11" s="105"/>
    </row>
    <row r="12" spans="2:7">
      <c r="B12" s="65"/>
      <c r="C12" s="235">
        <v>4</v>
      </c>
      <c r="D12" s="237">
        <v>245000000</v>
      </c>
      <c r="E12" s="208"/>
      <c r="F12" s="209"/>
      <c r="G12" s="105"/>
    </row>
    <row r="13" spans="2:7">
      <c r="B13" s="65"/>
      <c r="C13" s="235">
        <v>5</v>
      </c>
      <c r="D13" s="237">
        <v>205000000</v>
      </c>
      <c r="E13" s="208"/>
      <c r="F13" s="209"/>
      <c r="G13" s="105"/>
    </row>
    <row r="14" spans="2:7">
      <c r="B14" s="65"/>
      <c r="C14" s="235">
        <v>6</v>
      </c>
      <c r="D14" s="237">
        <v>155000000</v>
      </c>
      <c r="E14" s="208"/>
      <c r="F14" s="209"/>
      <c r="G14" s="105"/>
    </row>
    <row r="15" spans="2:7">
      <c r="B15" s="65"/>
      <c r="C15" s="235">
        <v>7</v>
      </c>
      <c r="D15" s="237">
        <v>135000000</v>
      </c>
      <c r="E15" s="208"/>
      <c r="F15" s="209"/>
      <c r="G15" s="105"/>
    </row>
    <row r="16" spans="2:7">
      <c r="B16" s="65"/>
      <c r="C16" s="235">
        <v>8</v>
      </c>
      <c r="D16" s="237">
        <v>95000000</v>
      </c>
      <c r="E16" s="208"/>
      <c r="F16" s="209"/>
      <c r="G16" s="105"/>
    </row>
    <row r="17" spans="2:7">
      <c r="B17" s="65"/>
      <c r="C17" s="235">
        <v>9</v>
      </c>
      <c r="D17" s="237">
        <v>-75000000</v>
      </c>
      <c r="E17" s="208"/>
      <c r="F17" s="209"/>
      <c r="G17" s="105"/>
    </row>
    <row r="18" spans="2:7">
      <c r="B18" s="65"/>
      <c r="C18" s="235"/>
      <c r="D18" s="237"/>
      <c r="E18" s="208"/>
      <c r="F18" s="209"/>
      <c r="G18" s="105"/>
    </row>
    <row r="19" spans="2:7">
      <c r="B19" s="65"/>
      <c r="C19" s="207" t="s">
        <v>332</v>
      </c>
      <c r="D19" s="124">
        <v>0.12</v>
      </c>
      <c r="E19" s="208"/>
      <c r="F19" s="209"/>
      <c r="G19" s="105"/>
    </row>
    <row r="20" spans="2:7" ht="15.75" thickBot="1">
      <c r="B20" s="72"/>
      <c r="C20" s="73"/>
      <c r="D20" s="214"/>
      <c r="E20" s="214"/>
      <c r="F20" s="133"/>
      <c r="G20" s="74"/>
    </row>
    <row r="21" spans="2:7">
      <c r="C21" s="59"/>
      <c r="D21" s="203"/>
      <c r="E21" s="203"/>
      <c r="F21" s="59"/>
    </row>
    <row r="22" spans="2:7">
      <c r="C22" s="9" t="s">
        <v>51</v>
      </c>
      <c r="D22" s="203"/>
      <c r="E22" s="203"/>
      <c r="F22" s="59"/>
    </row>
    <row r="23" spans="2:7" ht="15.75" thickBot="1">
      <c r="C23" s="17"/>
      <c r="D23" s="203"/>
      <c r="E23" s="203"/>
      <c r="F23" s="59"/>
    </row>
    <row r="24" spans="2:7">
      <c r="B24" s="215"/>
      <c r="C24" s="109"/>
      <c r="D24" s="216"/>
      <c r="E24" s="216"/>
      <c r="F24" s="217"/>
      <c r="G24" s="137"/>
    </row>
    <row r="25" spans="2:7" ht="15.75">
      <c r="B25" s="238"/>
      <c r="C25" s="81" t="s">
        <v>333</v>
      </c>
      <c r="D25" s="239">
        <f>IF(-D8&gt;(D9+D10+D11+D12+D13+D14),"Greater than 6 years",IF(-D8&gt;(D9+D10+D11+D12+D13),(5+(-D8-D9-D10-D11-D12-D13)/D14),IF(-D8&gt;(D9+D10+D11+D12),(4+(-D8-D9-D10-D11-D12)/D13),IF(-D8&gt;(D9+D10+D11),(3+(-D8-D9-D10-D11)/D12),IF(-D8&gt;(D9+D10),(2+(-D8-D9-D10)/D11),IF(-D8&gt;D9,(1+(-D8-D9)/D10),IF(-D8&lt;D9,-D8/D9," ")))))))</f>
        <v>4.024390243902439</v>
      </c>
      <c r="E25" s="240"/>
      <c r="F25" s="241"/>
      <c r="G25" s="141"/>
    </row>
    <row r="26" spans="2:7">
      <c r="B26" s="238"/>
      <c r="C26" s="81"/>
      <c r="D26" s="240"/>
      <c r="E26" s="240"/>
      <c r="F26" s="241"/>
      <c r="G26" s="141"/>
    </row>
    <row r="27" spans="2:7" ht="15.75">
      <c r="B27" s="238"/>
      <c r="C27" s="221" t="s">
        <v>334</v>
      </c>
      <c r="D27" s="228">
        <f>IRR(D8:D17)</f>
        <v>0.14722426587654547</v>
      </c>
      <c r="E27" s="242" t="s">
        <v>335</v>
      </c>
      <c r="F27" s="243"/>
      <c r="G27" s="141"/>
    </row>
    <row r="28" spans="2:7" ht="15.75">
      <c r="B28" s="238"/>
      <c r="C28" s="221" t="s">
        <v>334</v>
      </c>
      <c r="D28" s="228">
        <f>IRR(D8:D17,-0.99)</f>
        <v>-0.60878149014966543</v>
      </c>
      <c r="E28" s="242" t="s">
        <v>336</v>
      </c>
      <c r="F28" s="243"/>
      <c r="G28" s="141"/>
    </row>
    <row r="29" spans="2:7" ht="15.75">
      <c r="B29" s="238"/>
      <c r="C29" s="221"/>
      <c r="D29" s="225"/>
      <c r="E29" s="244"/>
      <c r="F29" s="243"/>
      <c r="G29" s="141"/>
    </row>
    <row r="30" spans="2:7" ht="15.75">
      <c r="B30" s="238"/>
      <c r="C30" s="221" t="s">
        <v>337</v>
      </c>
      <c r="D30" s="228">
        <f>MIRR(D8:D17,D19,D19)</f>
        <v>0.13045105165780524</v>
      </c>
      <c r="E30" s="242" t="s">
        <v>338</v>
      </c>
      <c r="F30" s="243"/>
      <c r="G30" s="141"/>
    </row>
    <row r="31" spans="2:7" ht="15.75">
      <c r="B31" s="238"/>
      <c r="C31" s="221"/>
      <c r="D31" s="225"/>
      <c r="E31" s="244"/>
      <c r="F31" s="243"/>
      <c r="G31" s="141"/>
    </row>
    <row r="32" spans="2:7" ht="15.75">
      <c r="B32" s="238"/>
      <c r="C32" s="221" t="s">
        <v>339</v>
      </c>
      <c r="D32" s="227">
        <f>NPV(D19,D9:D17)/-D8</f>
        <v>1.0903295078453914</v>
      </c>
      <c r="E32" s="242" t="s">
        <v>340</v>
      </c>
      <c r="F32" s="243"/>
      <c r="G32" s="141"/>
    </row>
    <row r="33" spans="2:7" ht="15.75">
      <c r="B33" s="238"/>
      <c r="C33" s="221"/>
      <c r="D33" s="225"/>
      <c r="E33" s="244"/>
      <c r="F33" s="243"/>
      <c r="G33" s="141"/>
    </row>
    <row r="34" spans="2:7" ht="15.75">
      <c r="B34" s="238"/>
      <c r="C34" s="221" t="s">
        <v>244</v>
      </c>
      <c r="D34" s="245">
        <f>NPV(D19,D9:D17)+D8</f>
        <v>67747130.884043574</v>
      </c>
      <c r="E34" s="242" t="s">
        <v>341</v>
      </c>
      <c r="F34" s="243"/>
      <c r="G34" s="141"/>
    </row>
    <row r="35" spans="2:7">
      <c r="B35" s="238"/>
      <c r="C35" s="221"/>
      <c r="D35" s="219"/>
      <c r="E35" s="244"/>
      <c r="F35" s="243"/>
      <c r="G35" s="141"/>
    </row>
    <row r="36" spans="2:7" ht="15.75" thickBot="1">
      <c r="B36" s="246"/>
      <c r="C36" s="90"/>
      <c r="D36" s="229"/>
      <c r="E36" s="230"/>
      <c r="F36" s="231"/>
      <c r="G36" s="164"/>
    </row>
  </sheetData>
  <mergeCells count="2">
    <mergeCell ref="C1:F1"/>
    <mergeCell ref="C2:F2"/>
  </mergeCells>
  <phoneticPr fontId="0" type="noConversion"/>
  <pageMargins left="0.75" right="0.75" top="1" bottom="1" header="0.5" footer="0.5"/>
  <pageSetup scale="70" orientation="portrait" horizont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sheetPr codeName="Sheet3"/>
  <dimension ref="B1:J127"/>
  <sheetViews>
    <sheetView workbookViewId="0"/>
  </sheetViews>
  <sheetFormatPr defaultRowHeight="12.75"/>
  <cols>
    <col min="2" max="2" width="3.140625" customWidth="1"/>
    <col min="3" max="3" width="20.42578125" customWidth="1"/>
    <col min="4" max="4" width="17" bestFit="1" customWidth="1"/>
    <col min="5" max="5" width="21.42578125" bestFit="1" customWidth="1"/>
    <col min="6" max="6" width="19.140625" customWidth="1"/>
    <col min="7" max="7" width="15.7109375" bestFit="1" customWidth="1"/>
    <col min="8" max="9" width="15" bestFit="1" customWidth="1"/>
    <col min="10" max="10" width="3.140625" customWidth="1"/>
  </cols>
  <sheetData>
    <row r="1" spans="2:6" ht="18">
      <c r="C1" s="8" t="s">
        <v>749</v>
      </c>
    </row>
    <row r="2" spans="2:6" ht="18">
      <c r="C2" s="772" t="s">
        <v>517</v>
      </c>
      <c r="D2" s="772"/>
      <c r="E2" s="772"/>
      <c r="F2" s="772"/>
    </row>
    <row r="4" spans="2:6" ht="15">
      <c r="C4" s="9" t="s">
        <v>34</v>
      </c>
    </row>
    <row r="5" spans="2:6" ht="13.5" thickBot="1"/>
    <row r="6" spans="2:6">
      <c r="B6" s="62"/>
      <c r="C6" s="316"/>
      <c r="D6" s="316"/>
      <c r="E6" s="119"/>
    </row>
    <row r="7" spans="2:6" ht="15">
      <c r="B7" s="65"/>
      <c r="C7" s="14" t="s">
        <v>519</v>
      </c>
      <c r="D7" s="317">
        <v>5000000</v>
      </c>
      <c r="E7" s="16"/>
    </row>
    <row r="8" spans="2:6" ht="15">
      <c r="B8" s="65"/>
      <c r="C8" s="14" t="s">
        <v>520</v>
      </c>
      <c r="D8" s="317">
        <v>5500000</v>
      </c>
      <c r="E8" s="16"/>
    </row>
    <row r="9" spans="2:6" ht="15">
      <c r="B9" s="65"/>
      <c r="C9" s="14" t="s">
        <v>518</v>
      </c>
      <c r="D9" s="21">
        <v>85000000</v>
      </c>
      <c r="E9" s="123"/>
    </row>
    <row r="10" spans="2:6" ht="15">
      <c r="B10" s="65"/>
      <c r="C10" s="14" t="s">
        <v>865</v>
      </c>
      <c r="D10" s="48">
        <v>0.6</v>
      </c>
      <c r="E10" s="123"/>
    </row>
    <row r="11" spans="2:6" ht="15">
      <c r="B11" s="65"/>
      <c r="C11" s="14" t="s">
        <v>521</v>
      </c>
      <c r="D11" s="318">
        <v>500000</v>
      </c>
      <c r="E11" s="16"/>
    </row>
    <row r="12" spans="2:6" ht="15">
      <c r="B12" s="65"/>
      <c r="C12" s="14" t="s">
        <v>526</v>
      </c>
      <c r="D12" s="319">
        <v>82</v>
      </c>
      <c r="E12" s="16"/>
    </row>
    <row r="13" spans="2:6" ht="15">
      <c r="B13" s="65"/>
      <c r="C13" s="14" t="s">
        <v>522</v>
      </c>
      <c r="D13" s="176">
        <v>620000</v>
      </c>
      <c r="E13" s="16"/>
    </row>
    <row r="14" spans="2:6" ht="15">
      <c r="B14" s="65"/>
      <c r="C14" s="14" t="s">
        <v>523</v>
      </c>
      <c r="D14" s="176">
        <v>680000</v>
      </c>
      <c r="E14" s="16"/>
    </row>
    <row r="15" spans="2:6" ht="15">
      <c r="B15" s="65"/>
      <c r="C15" s="14" t="s">
        <v>524</v>
      </c>
      <c r="D15" s="176">
        <v>730000</v>
      </c>
      <c r="E15" s="16"/>
    </row>
    <row r="16" spans="2:6" ht="15">
      <c r="B16" s="65"/>
      <c r="C16" s="14" t="s">
        <v>525</v>
      </c>
      <c r="D16" s="176">
        <v>590000</v>
      </c>
      <c r="E16" s="16"/>
    </row>
    <row r="17" spans="2:5" ht="15">
      <c r="B17" s="65"/>
      <c r="C17" s="14" t="s">
        <v>527</v>
      </c>
      <c r="D17" s="319">
        <v>76</v>
      </c>
      <c r="E17" s="16"/>
    </row>
    <row r="18" spans="2:5" ht="15">
      <c r="B18" s="65"/>
      <c r="C18" s="14" t="s">
        <v>528</v>
      </c>
      <c r="D18" s="319">
        <v>31</v>
      </c>
      <c r="E18" s="16"/>
    </row>
    <row r="19" spans="2:5" ht="15">
      <c r="B19" s="65"/>
      <c r="C19" s="14" t="s">
        <v>529</v>
      </c>
      <c r="D19" s="319">
        <v>4100000</v>
      </c>
      <c r="E19" s="16"/>
    </row>
    <row r="20" spans="2:5" ht="15">
      <c r="B20" s="65"/>
      <c r="C20" s="14" t="s">
        <v>532</v>
      </c>
      <c r="D20" s="48">
        <v>0.05</v>
      </c>
      <c r="E20" s="16"/>
    </row>
    <row r="21" spans="2:5" ht="15">
      <c r="B21" s="65"/>
      <c r="C21" s="14" t="s">
        <v>530</v>
      </c>
      <c r="D21" s="319">
        <v>2700000</v>
      </c>
      <c r="E21" s="16"/>
    </row>
    <row r="22" spans="2:5" ht="15">
      <c r="B22" s="65"/>
      <c r="C22" s="14" t="s">
        <v>531</v>
      </c>
      <c r="D22" s="319">
        <v>6000000</v>
      </c>
      <c r="E22" s="16"/>
    </row>
    <row r="23" spans="2:5" ht="15">
      <c r="B23" s="65"/>
      <c r="C23" s="14" t="s">
        <v>49</v>
      </c>
      <c r="D23" s="48">
        <v>0.38</v>
      </c>
      <c r="E23" s="16"/>
    </row>
    <row r="24" spans="2:5" ht="15">
      <c r="B24" s="65"/>
      <c r="C24" s="14" t="s">
        <v>332</v>
      </c>
      <c r="D24" s="320">
        <v>0.12</v>
      </c>
      <c r="E24" s="16"/>
    </row>
    <row r="25" spans="2:5" ht="15">
      <c r="B25" s="65"/>
      <c r="C25" s="121" t="s">
        <v>87</v>
      </c>
      <c r="D25" s="107">
        <v>0.1429</v>
      </c>
      <c r="E25" s="16"/>
    </row>
    <row r="26" spans="2:5" ht="15">
      <c r="B26" s="65"/>
      <c r="C26" s="121" t="s">
        <v>88</v>
      </c>
      <c r="D26" s="107">
        <v>0.24490000000000001</v>
      </c>
      <c r="E26" s="16"/>
    </row>
    <row r="27" spans="2:5" ht="15">
      <c r="B27" s="65"/>
      <c r="C27" s="121" t="s">
        <v>89</v>
      </c>
      <c r="D27" s="107">
        <v>0.1749</v>
      </c>
      <c r="E27" s="16"/>
    </row>
    <row r="28" spans="2:5" ht="15">
      <c r="B28" s="65"/>
      <c r="C28" s="121" t="s">
        <v>90</v>
      </c>
      <c r="D28" s="107">
        <v>0.1249</v>
      </c>
      <c r="E28" s="16"/>
    </row>
    <row r="29" spans="2:5" ht="15.75" thickBot="1">
      <c r="B29" s="72"/>
      <c r="C29" s="25"/>
      <c r="D29" s="321"/>
      <c r="E29" s="26"/>
    </row>
    <row r="30" spans="2:5" ht="15">
      <c r="C30" s="6"/>
      <c r="D30" s="322"/>
      <c r="E30" s="6"/>
    </row>
    <row r="31" spans="2:5" ht="15">
      <c r="C31" s="9" t="s">
        <v>51</v>
      </c>
      <c r="D31" s="322"/>
      <c r="E31" s="6"/>
    </row>
    <row r="32" spans="2:5" ht="15.75" thickBot="1">
      <c r="C32" s="6"/>
      <c r="D32" s="322"/>
      <c r="E32" s="6"/>
    </row>
    <row r="33" spans="2:10" ht="15">
      <c r="B33" s="215"/>
      <c r="C33" s="28"/>
      <c r="D33" s="323"/>
      <c r="E33" s="28"/>
      <c r="F33" s="324"/>
      <c r="G33" s="324"/>
      <c r="H33" s="324"/>
      <c r="I33" s="324"/>
      <c r="J33" s="137"/>
    </row>
    <row r="34" spans="2:10" ht="15">
      <c r="B34" s="238"/>
      <c r="C34" s="31" t="s">
        <v>533</v>
      </c>
      <c r="D34" s="31"/>
      <c r="E34" s="31"/>
      <c r="F34" s="31"/>
      <c r="G34" s="31"/>
      <c r="H34" s="31"/>
      <c r="I34" s="31"/>
      <c r="J34" s="141"/>
    </row>
    <row r="35" spans="2:10" ht="15">
      <c r="B35" s="238"/>
      <c r="C35" s="31" t="s">
        <v>518</v>
      </c>
      <c r="D35" s="54">
        <f>-D9</f>
        <v>-85000000</v>
      </c>
      <c r="E35" s="31"/>
      <c r="F35" s="31"/>
      <c r="G35" s="31"/>
      <c r="H35" s="31"/>
      <c r="I35" s="31"/>
      <c r="J35" s="141"/>
    </row>
    <row r="36" spans="2:10" ht="15">
      <c r="B36" s="238"/>
      <c r="C36" s="31" t="s">
        <v>534</v>
      </c>
      <c r="D36" s="325">
        <f>-D8</f>
        <v>-5500000</v>
      </c>
      <c r="E36" s="31"/>
      <c r="F36" s="31"/>
      <c r="G36" s="31"/>
      <c r="H36" s="31"/>
      <c r="I36" s="31"/>
      <c r="J36" s="141"/>
    </row>
    <row r="37" spans="2:10" ht="15">
      <c r="B37" s="238"/>
      <c r="C37" s="31" t="s">
        <v>535</v>
      </c>
      <c r="D37" s="326">
        <f>-D20*D43</f>
        <v>-2506000</v>
      </c>
      <c r="E37" s="31"/>
      <c r="F37" s="31"/>
      <c r="G37" s="31"/>
      <c r="H37" s="31"/>
      <c r="I37" s="31"/>
      <c r="J37" s="141"/>
    </row>
    <row r="38" spans="2:10" ht="15">
      <c r="B38" s="238"/>
      <c r="C38" s="31" t="s">
        <v>18</v>
      </c>
      <c r="D38" s="327">
        <f>D35+D36+D37</f>
        <v>-93006000</v>
      </c>
      <c r="E38" s="31"/>
      <c r="F38" s="31"/>
      <c r="G38" s="31"/>
      <c r="H38" s="31"/>
      <c r="I38" s="31"/>
      <c r="J38" s="141"/>
    </row>
    <row r="39" spans="2:10" ht="15">
      <c r="B39" s="238"/>
      <c r="C39" s="31"/>
      <c r="D39" s="328"/>
      <c r="E39" s="31"/>
      <c r="F39" s="31"/>
      <c r="G39" s="31"/>
      <c r="H39" s="31"/>
      <c r="I39" s="31"/>
      <c r="J39" s="141"/>
    </row>
    <row r="40" spans="2:10" ht="15">
      <c r="B40" s="238"/>
      <c r="C40" s="31" t="s">
        <v>35</v>
      </c>
      <c r="D40" s="329" t="s">
        <v>101</v>
      </c>
      <c r="E40" s="329" t="s">
        <v>102</v>
      </c>
      <c r="F40" s="329" t="s">
        <v>103</v>
      </c>
      <c r="G40" s="329" t="s">
        <v>104</v>
      </c>
      <c r="H40" s="329" t="s">
        <v>200</v>
      </c>
      <c r="I40" s="329" t="s">
        <v>864</v>
      </c>
      <c r="J40" s="141"/>
    </row>
    <row r="41" spans="2:10" ht="15">
      <c r="B41" s="238"/>
      <c r="C41" s="31" t="s">
        <v>536</v>
      </c>
      <c r="D41" s="54">
        <f>$D$12*$D$11</f>
        <v>41000000</v>
      </c>
      <c r="E41" s="54">
        <f>$D$12*$D$11</f>
        <v>41000000</v>
      </c>
      <c r="F41" s="54">
        <f>$D$12*$D$11</f>
        <v>41000000</v>
      </c>
      <c r="G41" s="54">
        <f>$D$12*$D$11</f>
        <v>41000000</v>
      </c>
      <c r="H41" s="31"/>
      <c r="I41" s="31"/>
      <c r="J41" s="141"/>
    </row>
    <row r="42" spans="2:10" ht="15">
      <c r="B42" s="238"/>
      <c r="C42" s="31" t="s">
        <v>537</v>
      </c>
      <c r="D42" s="284">
        <f>$D$17*(D13-$D$11)</f>
        <v>9120000</v>
      </c>
      <c r="E42" s="284">
        <f>$D$17*(D14-D11)</f>
        <v>13680000</v>
      </c>
      <c r="F42" s="284">
        <f>$D$17*(D15-D11)</f>
        <v>17480000</v>
      </c>
      <c r="G42" s="284">
        <f>$D$17*(D16-D11)</f>
        <v>6840000</v>
      </c>
      <c r="H42" s="31"/>
      <c r="I42" s="31"/>
      <c r="J42" s="141"/>
    </row>
    <row r="43" spans="2:10" ht="15">
      <c r="B43" s="238"/>
      <c r="C43" s="31" t="s">
        <v>18</v>
      </c>
      <c r="D43" s="54">
        <f>D41+D42</f>
        <v>50120000</v>
      </c>
      <c r="E43" s="54">
        <f>E41+E42</f>
        <v>54680000</v>
      </c>
      <c r="F43" s="54">
        <f>F41+F42</f>
        <v>58480000</v>
      </c>
      <c r="G43" s="54">
        <f>G41+G42</f>
        <v>47840000</v>
      </c>
      <c r="H43" s="31"/>
      <c r="I43" s="31"/>
      <c r="J43" s="141"/>
    </row>
    <row r="44" spans="2:10" ht="15">
      <c r="B44" s="238"/>
      <c r="C44" s="31"/>
      <c r="D44" s="31"/>
      <c r="E44" s="31"/>
      <c r="F44" s="31"/>
      <c r="G44" s="31"/>
      <c r="H44" s="31"/>
      <c r="I44" s="31"/>
      <c r="J44" s="141"/>
    </row>
    <row r="45" spans="2:10" ht="15">
      <c r="B45" s="238"/>
      <c r="C45" s="31" t="s">
        <v>35</v>
      </c>
      <c r="D45" s="54">
        <f>D43</f>
        <v>50120000</v>
      </c>
      <c r="E45" s="54">
        <f>E43</f>
        <v>54680000</v>
      </c>
      <c r="F45" s="54">
        <f>F43</f>
        <v>58480000</v>
      </c>
      <c r="G45" s="54">
        <f>G43</f>
        <v>47840000</v>
      </c>
      <c r="H45" s="54"/>
      <c r="I45" s="54"/>
      <c r="J45" s="141"/>
    </row>
    <row r="46" spans="2:10" ht="15">
      <c r="B46" s="238"/>
      <c r="C46" s="31" t="s">
        <v>538</v>
      </c>
      <c r="D46" s="330">
        <f>D13*$D$18</f>
        <v>19220000</v>
      </c>
      <c r="E46" s="330">
        <f>D14*$D$18</f>
        <v>21080000</v>
      </c>
      <c r="F46" s="330">
        <f>D15*$D$18</f>
        <v>22630000</v>
      </c>
      <c r="G46" s="330">
        <f>D16*$D$18</f>
        <v>18290000</v>
      </c>
      <c r="H46" s="54"/>
      <c r="I46" s="54"/>
      <c r="J46" s="141"/>
    </row>
    <row r="47" spans="2:10" ht="15">
      <c r="B47" s="238"/>
      <c r="C47" s="31" t="s">
        <v>539</v>
      </c>
      <c r="D47" s="330">
        <f>D19</f>
        <v>4100000</v>
      </c>
      <c r="E47" s="330">
        <f>D19</f>
        <v>4100000</v>
      </c>
      <c r="F47" s="330">
        <f>D19</f>
        <v>4100000</v>
      </c>
      <c r="G47" s="330">
        <f>D19</f>
        <v>4100000</v>
      </c>
      <c r="H47" s="54">
        <f>D21</f>
        <v>2700000</v>
      </c>
      <c r="I47" s="54"/>
      <c r="J47" s="141"/>
    </row>
    <row r="48" spans="2:10" ht="15">
      <c r="B48" s="238"/>
      <c r="C48" s="31" t="s">
        <v>37</v>
      </c>
      <c r="D48" s="284">
        <f>D25*D9</f>
        <v>12146500</v>
      </c>
      <c r="E48" s="284">
        <f>D26*D9</f>
        <v>20816500</v>
      </c>
      <c r="F48" s="284">
        <f>D27*D9</f>
        <v>14866500</v>
      </c>
      <c r="G48" s="284">
        <f>D28*D9</f>
        <v>10616500</v>
      </c>
      <c r="H48" s="331"/>
      <c r="I48" s="740"/>
      <c r="J48" s="141"/>
    </row>
    <row r="49" spans="2:10" ht="15">
      <c r="B49" s="238"/>
      <c r="C49" s="31" t="s">
        <v>38</v>
      </c>
      <c r="D49" s="54">
        <f>D45-D46-D47-D48</f>
        <v>14653500</v>
      </c>
      <c r="E49" s="54">
        <f>E45-E46-E47-E48</f>
        <v>8683500</v>
      </c>
      <c r="F49" s="54">
        <f>F45-F46-F47-F48</f>
        <v>16883500</v>
      </c>
      <c r="G49" s="54">
        <f>G45-G46-G47-G48</f>
        <v>14833500</v>
      </c>
      <c r="H49" s="54">
        <f>H45-H46-H47-H48</f>
        <v>-2700000</v>
      </c>
      <c r="I49" s="54"/>
      <c r="J49" s="141"/>
    </row>
    <row r="50" spans="2:10" ht="15">
      <c r="B50" s="238"/>
      <c r="C50" s="31" t="s">
        <v>39</v>
      </c>
      <c r="D50" s="284">
        <f>D49*D23</f>
        <v>5568330</v>
      </c>
      <c r="E50" s="284">
        <f>E49*D23</f>
        <v>3299730</v>
      </c>
      <c r="F50" s="284">
        <f>F49*D23</f>
        <v>6415730</v>
      </c>
      <c r="G50" s="284">
        <f>G49*D23</f>
        <v>5636730</v>
      </c>
      <c r="H50" s="284">
        <f>H49*D23</f>
        <v>-1026000</v>
      </c>
      <c r="I50" s="284">
        <f>-D22*D23</f>
        <v>-2280000</v>
      </c>
      <c r="J50" s="141"/>
    </row>
    <row r="51" spans="2:10" ht="15">
      <c r="B51" s="238"/>
      <c r="C51" s="31" t="s">
        <v>540</v>
      </c>
      <c r="D51" s="54">
        <f t="shared" ref="D51:I51" si="0">D49-D50</f>
        <v>9085170</v>
      </c>
      <c r="E51" s="54">
        <f t="shared" si="0"/>
        <v>5383770</v>
      </c>
      <c r="F51" s="54">
        <f t="shared" si="0"/>
        <v>10467770</v>
      </c>
      <c r="G51" s="54">
        <f t="shared" si="0"/>
        <v>9196770</v>
      </c>
      <c r="H51" s="54">
        <f t="shared" si="0"/>
        <v>-1674000</v>
      </c>
      <c r="I51" s="54">
        <f t="shared" si="0"/>
        <v>2280000</v>
      </c>
      <c r="J51" s="141"/>
    </row>
    <row r="52" spans="2:10" ht="15">
      <c r="B52" s="238"/>
      <c r="C52" s="332" t="s">
        <v>541</v>
      </c>
      <c r="D52" s="284">
        <f>D48</f>
        <v>12146500</v>
      </c>
      <c r="E52" s="284">
        <f>E48</f>
        <v>20816500</v>
      </c>
      <c r="F52" s="284">
        <f>F48</f>
        <v>14866500</v>
      </c>
      <c r="G52" s="284">
        <f>G48</f>
        <v>10616500</v>
      </c>
      <c r="H52" s="284">
        <f>-1*H48</f>
        <v>0</v>
      </c>
      <c r="I52" s="284">
        <f>-1*I48</f>
        <v>0</v>
      </c>
      <c r="J52" s="141"/>
    </row>
    <row r="53" spans="2:10" ht="15">
      <c r="B53" s="238"/>
      <c r="C53" s="31" t="s">
        <v>542</v>
      </c>
      <c r="D53" s="54">
        <f t="shared" ref="D53:I53" si="1">D51+D52</f>
        <v>21231670</v>
      </c>
      <c r="E53" s="54">
        <f t="shared" si="1"/>
        <v>26200270</v>
      </c>
      <c r="F53" s="54">
        <f t="shared" si="1"/>
        <v>25334270</v>
      </c>
      <c r="G53" s="54">
        <f t="shared" si="1"/>
        <v>19813270</v>
      </c>
      <c r="H53" s="54">
        <f t="shared" si="1"/>
        <v>-1674000</v>
      </c>
      <c r="I53" s="54">
        <f t="shared" si="1"/>
        <v>2280000</v>
      </c>
      <c r="J53" s="141"/>
    </row>
    <row r="54" spans="2:10" ht="15">
      <c r="B54" s="238"/>
      <c r="C54" s="31"/>
      <c r="D54" s="57"/>
      <c r="E54" s="57"/>
      <c r="F54" s="57"/>
      <c r="G54" s="57"/>
      <c r="H54" s="57"/>
      <c r="I54" s="57"/>
      <c r="J54" s="141"/>
    </row>
    <row r="55" spans="2:10" ht="15">
      <c r="B55" s="238"/>
      <c r="C55" s="31" t="s">
        <v>407</v>
      </c>
      <c r="D55" s="54">
        <f>-D37</f>
        <v>2506000</v>
      </c>
      <c r="E55" s="54">
        <f>D56</f>
        <v>2734000</v>
      </c>
      <c r="F55" s="54">
        <f>E56</f>
        <v>2924000</v>
      </c>
      <c r="G55" s="54">
        <f>F56</f>
        <v>2392000</v>
      </c>
      <c r="H55" s="57"/>
      <c r="I55" s="57"/>
      <c r="J55" s="141"/>
    </row>
    <row r="56" spans="2:10" ht="15">
      <c r="B56" s="238"/>
      <c r="C56" s="31" t="s">
        <v>406</v>
      </c>
      <c r="D56" s="284">
        <f>D20*E45</f>
        <v>2734000</v>
      </c>
      <c r="E56" s="284">
        <f>D20*F45</f>
        <v>2924000</v>
      </c>
      <c r="F56" s="284">
        <f>D20*G45</f>
        <v>2392000</v>
      </c>
      <c r="G56" s="284"/>
      <c r="H56" s="183"/>
      <c r="I56" s="57"/>
      <c r="J56" s="141"/>
    </row>
    <row r="57" spans="2:10" ht="15">
      <c r="B57" s="238"/>
      <c r="C57" s="31" t="s">
        <v>543</v>
      </c>
      <c r="D57" s="54">
        <f>D55-D56</f>
        <v>-228000</v>
      </c>
      <c r="E57" s="54">
        <f>E55-E56</f>
        <v>-190000</v>
      </c>
      <c r="F57" s="54">
        <f>F55-F56</f>
        <v>532000</v>
      </c>
      <c r="G57" s="54">
        <f>G55-G56</f>
        <v>2392000</v>
      </c>
      <c r="H57" s="57"/>
      <c r="I57" s="57"/>
      <c r="J57" s="141"/>
    </row>
    <row r="58" spans="2:10" ht="15">
      <c r="B58" s="238"/>
      <c r="C58" s="31"/>
      <c r="D58" s="31"/>
      <c r="E58" s="31"/>
      <c r="F58" s="31"/>
      <c r="G58" s="31"/>
      <c r="H58" s="31"/>
      <c r="I58" s="31"/>
      <c r="J58" s="141"/>
    </row>
    <row r="59" spans="2:10" ht="15">
      <c r="B59" s="238"/>
      <c r="C59" s="31" t="s">
        <v>544</v>
      </c>
      <c r="D59" s="54">
        <f>D53+D57</f>
        <v>21003670</v>
      </c>
      <c r="E59" s="54">
        <f>E53+E57</f>
        <v>26010270</v>
      </c>
      <c r="F59" s="54">
        <f>F53+F57</f>
        <v>25866270</v>
      </c>
      <c r="G59" s="54">
        <f>G53+G57</f>
        <v>22205270</v>
      </c>
      <c r="H59" s="518">
        <f>H53</f>
        <v>-1674000</v>
      </c>
      <c r="I59" s="518">
        <f>I53</f>
        <v>2280000</v>
      </c>
      <c r="J59" s="141"/>
    </row>
    <row r="60" spans="2:10" ht="15">
      <c r="B60" s="238"/>
      <c r="C60" s="31"/>
      <c r="D60" s="54"/>
      <c r="E60" s="54"/>
      <c r="F60" s="54"/>
      <c r="G60" s="54"/>
      <c r="H60" s="31"/>
      <c r="I60" s="31"/>
      <c r="J60" s="141"/>
    </row>
    <row r="61" spans="2:10" ht="15">
      <c r="B61" s="238"/>
      <c r="C61" s="31" t="s">
        <v>545</v>
      </c>
      <c r="D61" s="54">
        <f>D9-D48</f>
        <v>72853500</v>
      </c>
      <c r="E61" s="54">
        <f>D61-E48</f>
        <v>52037000</v>
      </c>
      <c r="F61" s="54">
        <f>E61-F48</f>
        <v>37170500</v>
      </c>
      <c r="G61" s="54">
        <f>F61-G48</f>
        <v>26554000</v>
      </c>
      <c r="H61" s="727"/>
      <c r="I61" s="727"/>
      <c r="J61" s="141"/>
    </row>
    <row r="62" spans="2:10" ht="15">
      <c r="B62" s="238"/>
      <c r="C62" s="31"/>
      <c r="D62" s="31"/>
      <c r="E62" s="31"/>
      <c r="F62" s="31"/>
      <c r="G62" s="31"/>
      <c r="H62" s="31"/>
      <c r="I62" s="31"/>
      <c r="J62" s="141"/>
    </row>
    <row r="63" spans="2:10" ht="15">
      <c r="B63" s="238"/>
      <c r="C63" s="31"/>
      <c r="D63" s="31"/>
      <c r="E63" s="31"/>
      <c r="F63" s="31"/>
      <c r="G63" s="31"/>
      <c r="H63" s="31"/>
      <c r="I63" s="31"/>
      <c r="J63" s="141"/>
    </row>
    <row r="64" spans="2:10" ht="15">
      <c r="B64" s="238"/>
      <c r="C64" s="31" t="s">
        <v>546</v>
      </c>
      <c r="D64" s="31" t="s">
        <v>547</v>
      </c>
      <c r="E64" s="54">
        <f>D10*-D35</f>
        <v>51000000</v>
      </c>
      <c r="F64" s="31"/>
      <c r="G64" s="31"/>
      <c r="H64" s="31"/>
      <c r="I64" s="31"/>
      <c r="J64" s="141"/>
    </row>
    <row r="65" spans="2:10" ht="15">
      <c r="B65" s="238"/>
      <c r="C65" s="31"/>
      <c r="D65" s="31" t="s">
        <v>548</v>
      </c>
      <c r="E65" s="330">
        <f>G61</f>
        <v>26554000</v>
      </c>
      <c r="F65" s="31"/>
      <c r="G65" s="31"/>
      <c r="H65" s="31"/>
      <c r="I65" s="31"/>
      <c r="J65" s="141"/>
    </row>
    <row r="66" spans="2:10" ht="15">
      <c r="B66" s="238"/>
      <c r="C66" s="31"/>
      <c r="D66" s="31" t="s">
        <v>391</v>
      </c>
      <c r="E66" s="284">
        <f>(E64-E65)*-D23</f>
        <v>-9289480</v>
      </c>
      <c r="F66" s="31"/>
      <c r="G66" s="31"/>
      <c r="H66" s="31"/>
      <c r="I66" s="31"/>
      <c r="J66" s="141"/>
    </row>
    <row r="67" spans="2:10" ht="15">
      <c r="B67" s="238"/>
      <c r="C67" s="31" t="s">
        <v>549</v>
      </c>
      <c r="D67" s="31"/>
      <c r="E67" s="54">
        <f>E64+E66</f>
        <v>41710520</v>
      </c>
      <c r="F67" s="31"/>
      <c r="G67" s="31"/>
      <c r="H67" s="31"/>
      <c r="I67" s="31"/>
      <c r="J67" s="141"/>
    </row>
    <row r="68" spans="2:10" ht="15">
      <c r="B68" s="238"/>
      <c r="C68" s="31"/>
      <c r="D68" s="31"/>
      <c r="E68" s="31"/>
      <c r="F68" s="31"/>
      <c r="G68" s="31"/>
      <c r="H68" s="31"/>
      <c r="I68" s="31"/>
      <c r="J68" s="141"/>
    </row>
    <row r="69" spans="2:10" ht="15">
      <c r="B69" s="238"/>
      <c r="C69" s="31"/>
      <c r="D69" s="333" t="s">
        <v>550</v>
      </c>
      <c r="E69" s="334" t="s">
        <v>331</v>
      </c>
      <c r="F69" s="31"/>
      <c r="G69" s="31"/>
      <c r="H69" s="31"/>
      <c r="I69" s="31"/>
      <c r="J69" s="141"/>
    </row>
    <row r="70" spans="2:10" ht="15">
      <c r="B70" s="238"/>
      <c r="C70" s="31"/>
      <c r="D70" s="333">
        <v>0</v>
      </c>
      <c r="E70" s="54">
        <f>D38</f>
        <v>-93006000</v>
      </c>
      <c r="F70" s="31"/>
      <c r="G70" s="31"/>
      <c r="H70" s="31"/>
      <c r="I70" s="31"/>
      <c r="J70" s="141"/>
    </row>
    <row r="71" spans="2:10" ht="15">
      <c r="B71" s="238"/>
      <c r="C71" s="31"/>
      <c r="D71" s="333">
        <v>1</v>
      </c>
      <c r="E71" s="330">
        <f>D59</f>
        <v>21003670</v>
      </c>
      <c r="F71" s="335"/>
      <c r="G71" s="31"/>
      <c r="H71" s="31"/>
      <c r="I71" s="31"/>
      <c r="J71" s="141"/>
    </row>
    <row r="72" spans="2:10" ht="15">
      <c r="B72" s="238"/>
      <c r="C72" s="31"/>
      <c r="D72" s="333">
        <v>2</v>
      </c>
      <c r="E72" s="330">
        <f>E59</f>
        <v>26010270</v>
      </c>
      <c r="F72" s="335"/>
      <c r="G72" s="31"/>
      <c r="H72" s="31"/>
      <c r="I72" s="31"/>
      <c r="J72" s="141"/>
    </row>
    <row r="73" spans="2:10" ht="15">
      <c r="B73" s="238"/>
      <c r="C73" s="31"/>
      <c r="D73" s="333">
        <v>3</v>
      </c>
      <c r="E73" s="330">
        <f>F59</f>
        <v>25866270</v>
      </c>
      <c r="F73" s="335">
        <f>SUM(E71:E73)</f>
        <v>72880210</v>
      </c>
      <c r="G73" s="741">
        <f>(-E70-F73)/E74</f>
        <v>0.31487978166271591</v>
      </c>
      <c r="H73" s="31"/>
      <c r="I73" s="31"/>
      <c r="J73" s="141"/>
    </row>
    <row r="74" spans="2:10" ht="15">
      <c r="B74" s="238"/>
      <c r="C74" s="31"/>
      <c r="D74" s="333">
        <v>4</v>
      </c>
      <c r="E74" s="330">
        <f>G59+E67</f>
        <v>63915790</v>
      </c>
      <c r="F74" s="526">
        <f>F73+E70</f>
        <v>-20125790</v>
      </c>
      <c r="G74" s="31"/>
      <c r="H74" s="31"/>
      <c r="I74" s="31"/>
      <c r="J74" s="141"/>
    </row>
    <row r="75" spans="2:10" ht="15">
      <c r="B75" s="238"/>
      <c r="C75" s="31"/>
      <c r="D75" s="333">
        <v>5</v>
      </c>
      <c r="E75" s="330">
        <f>H53</f>
        <v>-1674000</v>
      </c>
      <c r="F75" s="335"/>
      <c r="G75" s="31"/>
      <c r="H75" s="31"/>
      <c r="I75" s="31"/>
      <c r="J75" s="141"/>
    </row>
    <row r="76" spans="2:10" ht="15">
      <c r="B76" s="238"/>
      <c r="C76" s="31"/>
      <c r="D76" s="333">
        <v>6</v>
      </c>
      <c r="E76" s="330">
        <f>I59</f>
        <v>2280000</v>
      </c>
      <c r="F76" s="31"/>
      <c r="G76" s="31"/>
      <c r="H76" s="31"/>
      <c r="I76" s="31"/>
      <c r="J76" s="141"/>
    </row>
    <row r="77" spans="2:10" ht="15">
      <c r="B77" s="238"/>
      <c r="C77" s="31"/>
      <c r="D77" s="31"/>
      <c r="E77" s="31"/>
      <c r="F77" s="31"/>
      <c r="G77" s="31"/>
      <c r="H77" s="31"/>
      <c r="I77" s="31"/>
      <c r="J77" s="141"/>
    </row>
    <row r="78" spans="2:10" ht="15.75">
      <c r="B78" s="238"/>
      <c r="C78" s="31" t="s">
        <v>339</v>
      </c>
      <c r="D78" s="31"/>
      <c r="E78" s="186">
        <f>NPV(D24,E71:E76)/-E70</f>
        <v>1.0614851869138542</v>
      </c>
      <c r="F78" s="31"/>
      <c r="G78" s="31"/>
      <c r="H78" s="31"/>
      <c r="I78" s="31"/>
      <c r="J78" s="141"/>
    </row>
    <row r="79" spans="2:10" ht="15.75">
      <c r="B79" s="238"/>
      <c r="C79" s="31" t="s">
        <v>551</v>
      </c>
      <c r="D79" s="31"/>
      <c r="E79" s="44">
        <f>AVERAGE(D51:I51)/AVERAGE(D9,D61:I61)</f>
        <v>0.10580401902917115</v>
      </c>
      <c r="F79" s="31"/>
      <c r="G79" s="31"/>
      <c r="H79" s="31"/>
      <c r="I79" s="31"/>
      <c r="J79" s="141"/>
    </row>
    <row r="80" spans="2:10" ht="15.75">
      <c r="B80" s="238"/>
      <c r="C80" s="31" t="s">
        <v>334</v>
      </c>
      <c r="D80" s="31"/>
      <c r="E80" s="44">
        <f>IRR(E70:E76)</f>
        <v>0.14393108025036283</v>
      </c>
      <c r="F80" s="31"/>
      <c r="G80" s="31"/>
      <c r="H80" s="31"/>
      <c r="I80" s="31"/>
      <c r="J80" s="141"/>
    </row>
    <row r="81" spans="2:10" ht="15.75">
      <c r="B81" s="238"/>
      <c r="C81" s="31" t="s">
        <v>334</v>
      </c>
      <c r="D81" s="31"/>
      <c r="E81" s="44">
        <f>IRR(E70:E76,-0.99)</f>
        <v>0.14393108025036261</v>
      </c>
      <c r="F81" s="31"/>
      <c r="G81" s="31"/>
      <c r="H81" s="31"/>
      <c r="I81" s="31"/>
      <c r="J81" s="141"/>
    </row>
    <row r="82" spans="2:10" ht="15.75">
      <c r="B82" s="238"/>
      <c r="C82" s="31" t="s">
        <v>244</v>
      </c>
      <c r="D82" s="31"/>
      <c r="E82" s="37">
        <f>NPV(D24,E71:E76)+E70</f>
        <v>5718491.2941099256</v>
      </c>
      <c r="F82" s="31"/>
      <c r="G82" s="31"/>
      <c r="H82" s="31"/>
      <c r="I82" s="31"/>
      <c r="J82" s="141"/>
    </row>
    <row r="83" spans="2:10" ht="13.5" thickBot="1">
      <c r="B83" s="246"/>
      <c r="C83" s="336"/>
      <c r="D83" s="336"/>
      <c r="E83" s="336"/>
      <c r="F83" s="336"/>
      <c r="G83" s="336"/>
      <c r="H83" s="336"/>
      <c r="I83" s="336"/>
      <c r="J83" s="164"/>
    </row>
    <row r="91" spans="2:10">
      <c r="D91" s="730"/>
      <c r="E91" s="151"/>
    </row>
    <row r="92" spans="2:10">
      <c r="D92" s="730"/>
      <c r="E92" s="151"/>
    </row>
    <row r="93" spans="2:10">
      <c r="D93" s="730"/>
      <c r="E93" s="742"/>
    </row>
    <row r="94" spans="2:10">
      <c r="D94" s="730"/>
      <c r="E94" s="742"/>
    </row>
    <row r="95" spans="2:10">
      <c r="D95" s="730"/>
      <c r="E95" s="742"/>
    </row>
    <row r="96" spans="2:10">
      <c r="D96" s="730"/>
      <c r="E96" s="742"/>
    </row>
    <row r="97" spans="4:5">
      <c r="D97" s="730"/>
      <c r="E97" s="742"/>
    </row>
    <row r="98" spans="4:5">
      <c r="D98" s="730"/>
      <c r="E98" s="742"/>
    </row>
    <row r="99" spans="4:5">
      <c r="D99" s="730"/>
      <c r="E99" s="742"/>
    </row>
    <row r="100" spans="4:5">
      <c r="D100" s="730"/>
      <c r="E100" s="742"/>
    </row>
    <row r="101" spans="4:5">
      <c r="D101" s="730"/>
      <c r="E101" s="742"/>
    </row>
    <row r="102" spans="4:5">
      <c r="D102" s="730"/>
      <c r="E102" s="742"/>
    </row>
    <row r="103" spans="4:5">
      <c r="D103" s="730"/>
      <c r="E103" s="742"/>
    </row>
    <row r="104" spans="4:5">
      <c r="D104" s="730"/>
      <c r="E104" s="742"/>
    </row>
    <row r="105" spans="4:5">
      <c r="D105" s="730"/>
      <c r="E105" s="742"/>
    </row>
    <row r="106" spans="4:5">
      <c r="D106" s="730"/>
      <c r="E106" s="742"/>
    </row>
    <row r="107" spans="4:5">
      <c r="D107" s="730"/>
      <c r="E107" s="742"/>
    </row>
    <row r="108" spans="4:5">
      <c r="D108" s="730"/>
      <c r="E108" s="742"/>
    </row>
    <row r="109" spans="4:5">
      <c r="D109" s="730"/>
      <c r="E109" s="742"/>
    </row>
    <row r="110" spans="4:5">
      <c r="D110" s="730"/>
      <c r="E110" s="742"/>
    </row>
    <row r="111" spans="4:5">
      <c r="D111" s="730"/>
      <c r="E111" s="742"/>
    </row>
    <row r="112" spans="4:5">
      <c r="D112" s="730"/>
      <c r="E112" s="742"/>
    </row>
    <row r="113" spans="4:5">
      <c r="D113" s="730"/>
      <c r="E113" s="742"/>
    </row>
    <row r="114" spans="4:5">
      <c r="D114" s="730"/>
      <c r="E114" s="742"/>
    </row>
    <row r="115" spans="4:5">
      <c r="D115" s="730"/>
      <c r="E115" s="742"/>
    </row>
    <row r="116" spans="4:5">
      <c r="D116" s="730"/>
      <c r="E116" s="742"/>
    </row>
    <row r="117" spans="4:5">
      <c r="D117" s="730"/>
      <c r="E117" s="742"/>
    </row>
    <row r="118" spans="4:5">
      <c r="D118" s="730"/>
      <c r="E118" s="742"/>
    </row>
    <row r="119" spans="4:5">
      <c r="D119" s="730"/>
      <c r="E119" s="742"/>
    </row>
    <row r="120" spans="4:5">
      <c r="D120" s="730"/>
      <c r="E120" s="742"/>
    </row>
    <row r="121" spans="4:5">
      <c r="D121" s="730"/>
      <c r="E121" s="742"/>
    </row>
    <row r="122" spans="4:5">
      <c r="D122" s="730"/>
      <c r="E122" s="742"/>
    </row>
    <row r="123" spans="4:5">
      <c r="D123" s="730"/>
      <c r="E123" s="742"/>
    </row>
    <row r="124" spans="4:5">
      <c r="D124" s="730"/>
      <c r="E124" s="742"/>
    </row>
    <row r="125" spans="4:5">
      <c r="D125" s="730"/>
      <c r="E125" s="742"/>
    </row>
    <row r="126" spans="4:5">
      <c r="D126" s="730"/>
      <c r="E126" s="742"/>
    </row>
    <row r="127" spans="4:5">
      <c r="D127" s="730"/>
      <c r="E127" s="742"/>
    </row>
  </sheetData>
  <mergeCells count="1">
    <mergeCell ref="C2:F2"/>
  </mergeCells>
  <phoneticPr fontId="0" type="noConversion"/>
  <pageMargins left="0.75" right="0.75" top="1" bottom="1" header="0.5" footer="0.5"/>
  <pageSetup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dimension ref="B1:J112"/>
  <sheetViews>
    <sheetView zoomScaleNormal="100" workbookViewId="0"/>
  </sheetViews>
  <sheetFormatPr defaultRowHeight="12.75"/>
  <cols>
    <col min="2" max="2" width="3.140625" customWidth="1"/>
    <col min="3" max="3" width="30.42578125" bestFit="1" customWidth="1"/>
    <col min="4" max="4" width="19.42578125" bestFit="1" customWidth="1"/>
    <col min="5" max="8" width="18.85546875" bestFit="1" customWidth="1"/>
    <col min="9" max="9" width="3.140625" customWidth="1"/>
  </cols>
  <sheetData>
    <row r="1" spans="2:8" ht="18">
      <c r="C1" s="8" t="s">
        <v>749</v>
      </c>
    </row>
    <row r="2" spans="2:8" ht="18">
      <c r="C2" s="772" t="s">
        <v>552</v>
      </c>
      <c r="D2" s="772"/>
      <c r="E2" s="772"/>
      <c r="F2" s="772"/>
    </row>
    <row r="3" spans="2:8" ht="15.75" customHeight="1"/>
    <row r="4" spans="2:8" ht="15.75" customHeight="1">
      <c r="C4" s="9" t="s">
        <v>34</v>
      </c>
    </row>
    <row r="5" spans="2:8" ht="15.75" customHeight="1" thickBot="1"/>
    <row r="6" spans="2:8" ht="15.75" customHeight="1">
      <c r="B6" s="337"/>
      <c r="C6" s="338"/>
      <c r="D6" s="338"/>
      <c r="E6" s="338"/>
      <c r="F6" s="316"/>
      <c r="G6" s="316"/>
      <c r="H6" s="119"/>
    </row>
    <row r="7" spans="2:8" ht="15.75" customHeight="1">
      <c r="B7" s="339"/>
      <c r="C7" s="63" t="s">
        <v>553</v>
      </c>
      <c r="D7" s="71">
        <v>10000000</v>
      </c>
      <c r="E7" s="340"/>
      <c r="F7" s="341"/>
      <c r="G7" s="341"/>
      <c r="H7" s="123"/>
    </row>
    <row r="8" spans="2:8" ht="15.75" customHeight="1">
      <c r="B8" s="339"/>
      <c r="C8" s="63" t="s">
        <v>554</v>
      </c>
      <c r="D8" s="71">
        <v>5000000</v>
      </c>
      <c r="E8" s="340"/>
      <c r="F8" s="341"/>
      <c r="G8" s="341"/>
      <c r="H8" s="123"/>
    </row>
    <row r="9" spans="2:8" ht="15.75" customHeight="1">
      <c r="B9" s="339"/>
      <c r="C9" s="63" t="s">
        <v>555</v>
      </c>
      <c r="D9" s="71">
        <v>160000000</v>
      </c>
      <c r="E9" s="340"/>
      <c r="F9" s="341"/>
      <c r="G9" s="341"/>
      <c r="H9" s="123"/>
    </row>
    <row r="10" spans="2:8" ht="15.75" customHeight="1">
      <c r="B10" s="339"/>
      <c r="C10" s="121" t="s">
        <v>556</v>
      </c>
      <c r="D10" s="71">
        <v>65000000</v>
      </c>
      <c r="E10" s="340"/>
      <c r="F10" s="341"/>
      <c r="G10" s="341"/>
      <c r="H10" s="123"/>
    </row>
    <row r="11" spans="2:8" ht="15.75" customHeight="1">
      <c r="B11" s="339"/>
      <c r="C11" s="121"/>
      <c r="D11" s="70"/>
      <c r="E11" s="340"/>
      <c r="F11" s="341"/>
      <c r="G11" s="341"/>
      <c r="H11" s="123"/>
    </row>
    <row r="12" spans="2:8" ht="15.75" customHeight="1">
      <c r="B12" s="339"/>
      <c r="C12" s="342" t="s">
        <v>557</v>
      </c>
      <c r="D12" s="168"/>
      <c r="E12" s="166"/>
      <c r="F12" s="166"/>
      <c r="G12" s="166"/>
      <c r="H12" s="123"/>
    </row>
    <row r="13" spans="2:8" ht="15.75" customHeight="1">
      <c r="B13" s="339"/>
      <c r="C13" s="121" t="s">
        <v>558</v>
      </c>
      <c r="D13" s="343">
        <v>41</v>
      </c>
      <c r="E13" s="166"/>
      <c r="F13" s="166"/>
      <c r="G13" s="166"/>
      <c r="H13" s="123"/>
    </row>
    <row r="14" spans="2:8" ht="15.75" customHeight="1">
      <c r="B14" s="339"/>
      <c r="C14" s="121" t="s">
        <v>559</v>
      </c>
      <c r="D14" s="343">
        <v>29</v>
      </c>
      <c r="E14" s="166"/>
      <c r="F14" s="166"/>
      <c r="G14" s="166"/>
      <c r="H14" s="123"/>
    </row>
    <row r="15" spans="2:8" ht="15.75" customHeight="1">
      <c r="B15" s="339"/>
      <c r="C15" s="121" t="s">
        <v>560</v>
      </c>
      <c r="D15" s="168">
        <v>6200000</v>
      </c>
      <c r="E15" s="166"/>
      <c r="F15" s="166"/>
      <c r="G15" s="166"/>
      <c r="H15" s="123"/>
    </row>
    <row r="16" spans="2:8" ht="15.75" customHeight="1">
      <c r="B16" s="339"/>
      <c r="C16" s="121" t="s">
        <v>309</v>
      </c>
      <c r="D16" s="107">
        <v>2.5000000000000001E-2</v>
      </c>
      <c r="E16" s="166"/>
      <c r="F16" s="166"/>
      <c r="G16" s="166"/>
      <c r="H16" s="123"/>
    </row>
    <row r="17" spans="2:8" ht="15.75" customHeight="1">
      <c r="B17" s="339"/>
      <c r="C17" s="121" t="s">
        <v>561</v>
      </c>
      <c r="D17" s="107">
        <v>0.11</v>
      </c>
      <c r="E17" s="166"/>
      <c r="F17" s="166"/>
      <c r="G17" s="166"/>
      <c r="H17" s="123"/>
    </row>
    <row r="18" spans="2:8" ht="15.75" customHeight="1">
      <c r="B18" s="339"/>
      <c r="C18" s="121"/>
      <c r="D18" s="168"/>
      <c r="E18" s="166"/>
      <c r="F18" s="166"/>
      <c r="G18" s="166"/>
      <c r="H18" s="123"/>
    </row>
    <row r="19" spans="2:8" ht="15.75" customHeight="1">
      <c r="B19" s="339"/>
      <c r="C19" s="342" t="s">
        <v>562</v>
      </c>
      <c r="D19" s="168"/>
      <c r="E19" s="166"/>
      <c r="F19" s="166"/>
      <c r="G19" s="166"/>
      <c r="H19" s="123"/>
    </row>
    <row r="20" spans="2:8" ht="15.75" customHeight="1">
      <c r="B20" s="339"/>
      <c r="C20" s="121" t="s">
        <v>558</v>
      </c>
      <c r="D20" s="343">
        <v>62</v>
      </c>
      <c r="E20" s="166"/>
      <c r="F20" s="166"/>
      <c r="G20" s="166"/>
      <c r="H20" s="123"/>
    </row>
    <row r="21" spans="2:8" ht="15.75" customHeight="1">
      <c r="B21" s="339"/>
      <c r="C21" s="121" t="s">
        <v>559</v>
      </c>
      <c r="D21" s="527">
        <f>D14</f>
        <v>29</v>
      </c>
      <c r="E21" s="166"/>
      <c r="F21" s="166"/>
      <c r="G21" s="166"/>
      <c r="H21" s="123"/>
    </row>
    <row r="22" spans="2:8" ht="15.75" customHeight="1">
      <c r="B22" s="339"/>
      <c r="C22" s="121" t="s">
        <v>563</v>
      </c>
      <c r="D22" s="168">
        <v>32000000</v>
      </c>
      <c r="E22" s="166"/>
      <c r="F22" s="166"/>
      <c r="G22" s="166"/>
      <c r="H22" s="123"/>
    </row>
    <row r="23" spans="2:8" ht="15.75" customHeight="1">
      <c r="B23" s="339"/>
      <c r="C23" s="121" t="s">
        <v>309</v>
      </c>
      <c r="D23" s="107">
        <v>0.02</v>
      </c>
      <c r="E23" s="166"/>
      <c r="F23" s="166"/>
      <c r="G23" s="166"/>
      <c r="H23" s="123"/>
    </row>
    <row r="24" spans="2:8" ht="15.75" customHeight="1">
      <c r="B24" s="339"/>
      <c r="C24" s="121" t="s">
        <v>561</v>
      </c>
      <c r="D24" s="107">
        <v>0.08</v>
      </c>
      <c r="E24" s="166"/>
      <c r="F24" s="166"/>
      <c r="G24" s="166"/>
      <c r="H24" s="123"/>
    </row>
    <row r="25" spans="2:8" ht="15.75" customHeight="1">
      <c r="B25" s="339"/>
      <c r="C25" s="121"/>
      <c r="D25" s="168"/>
      <c r="E25" s="166"/>
      <c r="F25" s="166"/>
      <c r="G25" s="166"/>
      <c r="H25" s="123"/>
    </row>
    <row r="26" spans="2:8" ht="15.75" customHeight="1">
      <c r="B26" s="339"/>
      <c r="C26" s="121" t="s">
        <v>564</v>
      </c>
      <c r="D26" s="70">
        <v>0.01</v>
      </c>
      <c r="E26" s="166"/>
      <c r="F26" s="166"/>
      <c r="G26" s="166"/>
      <c r="H26" s="123"/>
    </row>
    <row r="27" spans="2:8" ht="15.75" customHeight="1">
      <c r="B27" s="339"/>
      <c r="C27" s="121" t="s">
        <v>565</v>
      </c>
      <c r="D27" s="70">
        <v>0.01</v>
      </c>
      <c r="E27" s="166"/>
      <c r="F27" s="166"/>
      <c r="G27" s="166"/>
      <c r="H27" s="123"/>
    </row>
    <row r="28" spans="2:8" ht="15.75" customHeight="1">
      <c r="B28" s="339"/>
      <c r="C28" s="121" t="s">
        <v>566</v>
      </c>
      <c r="D28" s="343">
        <v>43000000</v>
      </c>
      <c r="E28" s="166"/>
      <c r="F28" s="166"/>
      <c r="G28" s="166"/>
      <c r="H28" s="123"/>
    </row>
    <row r="29" spans="2:8" ht="15.75" customHeight="1">
      <c r="B29" s="339"/>
      <c r="C29" s="121" t="s">
        <v>567</v>
      </c>
      <c r="D29" s="107">
        <v>0.4</v>
      </c>
      <c r="E29" s="166"/>
      <c r="F29" s="166"/>
      <c r="G29" s="166"/>
      <c r="H29" s="123"/>
    </row>
    <row r="30" spans="2:8" ht="15.75" customHeight="1">
      <c r="B30" s="339"/>
      <c r="C30" s="121" t="s">
        <v>568</v>
      </c>
      <c r="D30" s="107">
        <v>3.2500000000000001E-2</v>
      </c>
      <c r="E30" s="166"/>
      <c r="F30" s="166"/>
      <c r="G30" s="166"/>
      <c r="H30" s="123"/>
    </row>
    <row r="31" spans="2:8" ht="15.75" customHeight="1">
      <c r="B31" s="339"/>
      <c r="C31" s="121" t="s">
        <v>332</v>
      </c>
      <c r="D31" s="107">
        <v>0.13400000000000001</v>
      </c>
      <c r="E31" s="166"/>
      <c r="F31" s="166"/>
      <c r="G31" s="166"/>
      <c r="H31" s="123"/>
    </row>
    <row r="32" spans="2:8" ht="15.75" customHeight="1">
      <c r="B32" s="339"/>
      <c r="C32" s="121" t="s">
        <v>569</v>
      </c>
      <c r="D32" s="71">
        <v>9000000</v>
      </c>
      <c r="E32" s="166"/>
      <c r="F32" s="166"/>
      <c r="G32" s="166"/>
      <c r="H32" s="123"/>
    </row>
    <row r="33" spans="2:10" ht="15.75" customHeight="1">
      <c r="B33" s="339"/>
      <c r="C33" s="121" t="s">
        <v>570</v>
      </c>
      <c r="D33" s="70">
        <v>0.15</v>
      </c>
      <c r="E33" s="344"/>
      <c r="F33" s="345"/>
      <c r="G33" s="345"/>
      <c r="H33" s="123"/>
    </row>
    <row r="34" spans="2:10" ht="15.75" customHeight="1">
      <c r="B34" s="339"/>
      <c r="C34" s="121"/>
      <c r="D34" s="70"/>
      <c r="E34" s="344"/>
      <c r="F34" s="345"/>
      <c r="G34" s="345"/>
      <c r="H34" s="123"/>
    </row>
    <row r="35" spans="2:10" ht="15.75" customHeight="1">
      <c r="B35" s="339"/>
      <c r="C35" s="121" t="s">
        <v>87</v>
      </c>
      <c r="D35" s="107">
        <v>0.1429</v>
      </c>
      <c r="E35" s="340"/>
      <c r="F35" s="341"/>
      <c r="G35" s="341"/>
      <c r="H35" s="123"/>
    </row>
    <row r="36" spans="2:10" ht="15.75" customHeight="1">
      <c r="B36" s="339"/>
      <c r="C36" s="121" t="s">
        <v>88</v>
      </c>
      <c r="D36" s="107">
        <v>0.24490000000000001</v>
      </c>
      <c r="E36" s="340"/>
      <c r="F36" s="341"/>
      <c r="G36" s="341"/>
      <c r="H36" s="123"/>
    </row>
    <row r="37" spans="2:10" ht="15.75" customHeight="1">
      <c r="B37" s="339"/>
      <c r="C37" s="121" t="s">
        <v>89</v>
      </c>
      <c r="D37" s="107">
        <v>0.1749</v>
      </c>
      <c r="E37" s="340"/>
      <c r="F37" s="341"/>
      <c r="G37" s="341"/>
      <c r="H37" s="123"/>
    </row>
    <row r="38" spans="2:10" ht="15.75" customHeight="1">
      <c r="B38" s="339"/>
      <c r="C38" s="121" t="s">
        <v>90</v>
      </c>
      <c r="D38" s="107">
        <v>0.1249</v>
      </c>
      <c r="E38" s="340"/>
      <c r="F38" s="341"/>
      <c r="G38" s="341"/>
      <c r="H38" s="123"/>
    </row>
    <row r="39" spans="2:10" ht="15.75" customHeight="1" thickBot="1">
      <c r="B39" s="346"/>
      <c r="C39" s="133"/>
      <c r="D39" s="347"/>
      <c r="E39" s="348"/>
      <c r="F39" s="349"/>
      <c r="G39" s="349"/>
      <c r="H39" s="134"/>
    </row>
    <row r="40" spans="2:10" ht="15.75" customHeight="1"/>
    <row r="41" spans="2:10" ht="15.75" customHeight="1">
      <c r="C41" s="9" t="s">
        <v>51</v>
      </c>
    </row>
    <row r="42" spans="2:10" ht="15.75" customHeight="1" thickBot="1"/>
    <row r="43" spans="2:10" ht="15.75" customHeight="1">
      <c r="B43" s="350"/>
      <c r="C43" s="351"/>
      <c r="D43" s="351"/>
      <c r="E43" s="351"/>
      <c r="F43" s="351"/>
      <c r="G43" s="351"/>
      <c r="H43" s="351"/>
      <c r="I43" s="352"/>
      <c r="J43" s="353"/>
    </row>
    <row r="44" spans="2:10" ht="15.75" customHeight="1">
      <c r="B44" s="354"/>
      <c r="C44" s="140" t="s">
        <v>571</v>
      </c>
      <c r="D44" s="355">
        <f>((1+D26)*(1+D30))-1</f>
        <v>4.2824999999999891E-2</v>
      </c>
      <c r="E44" s="84"/>
      <c r="F44" s="84"/>
      <c r="G44" s="84"/>
      <c r="H44" s="84"/>
      <c r="I44" s="356"/>
      <c r="J44" s="353"/>
    </row>
    <row r="45" spans="2:10" ht="15.75" customHeight="1">
      <c r="B45" s="354"/>
      <c r="C45" s="140" t="s">
        <v>572</v>
      </c>
      <c r="D45" s="355">
        <f>((1+D27)*(1+D30))-1</f>
        <v>4.2824999999999891E-2</v>
      </c>
      <c r="E45" s="84"/>
      <c r="F45" s="84"/>
      <c r="G45" s="84"/>
      <c r="H45" s="84"/>
      <c r="I45" s="356"/>
      <c r="J45" s="353"/>
    </row>
    <row r="46" spans="2:10" ht="15.75" customHeight="1">
      <c r="B46" s="354"/>
      <c r="C46" s="357"/>
      <c r="D46" s="357"/>
      <c r="E46" s="357"/>
      <c r="F46" s="357"/>
      <c r="G46" s="357"/>
      <c r="H46" s="357"/>
      <c r="I46" s="356"/>
      <c r="J46" s="353"/>
    </row>
    <row r="47" spans="2:10" ht="15.75" customHeight="1">
      <c r="B47" s="354"/>
      <c r="C47" s="358"/>
      <c r="D47" s="359" t="s">
        <v>100</v>
      </c>
      <c r="E47" s="359" t="s">
        <v>101</v>
      </c>
      <c r="F47" s="359" t="s">
        <v>102</v>
      </c>
      <c r="G47" s="359" t="s">
        <v>103</v>
      </c>
      <c r="H47" s="359" t="s">
        <v>104</v>
      </c>
      <c r="I47" s="356"/>
      <c r="J47" s="353"/>
    </row>
    <row r="48" spans="2:10" ht="15.75" customHeight="1">
      <c r="B48" s="354"/>
      <c r="C48" s="360" t="s">
        <v>573</v>
      </c>
      <c r="D48" s="155"/>
      <c r="E48" s="195"/>
      <c r="F48" s="195"/>
      <c r="G48" s="195"/>
      <c r="H48" s="195"/>
      <c r="I48" s="356"/>
      <c r="J48" s="353"/>
    </row>
    <row r="49" spans="2:10" ht="15.75" customHeight="1">
      <c r="B49" s="354"/>
      <c r="C49" s="243" t="s">
        <v>574</v>
      </c>
      <c r="D49" s="155"/>
      <c r="E49" s="361">
        <f>D15</f>
        <v>6200000</v>
      </c>
      <c r="F49" s="361">
        <f>E49*(1+$D$16)</f>
        <v>6354999.9999999991</v>
      </c>
      <c r="G49" s="361">
        <f>F49*(1+$D$16)</f>
        <v>6513874.9999999981</v>
      </c>
      <c r="H49" s="361">
        <f>G49*(1+$D$16)</f>
        <v>6676721.8749999972</v>
      </c>
      <c r="I49" s="356"/>
      <c r="J49" s="353"/>
    </row>
    <row r="50" spans="2:10" ht="15.75" customHeight="1">
      <c r="B50" s="354"/>
      <c r="C50" s="243" t="s">
        <v>575</v>
      </c>
      <c r="D50" s="155"/>
      <c r="E50" s="361">
        <f>E49*4</f>
        <v>24800000</v>
      </c>
      <c r="F50" s="361">
        <f>F49*4</f>
        <v>25419999.999999996</v>
      </c>
      <c r="G50" s="361">
        <f>G49*4</f>
        <v>26055499.999999993</v>
      </c>
      <c r="H50" s="361">
        <f>H49*4</f>
        <v>26706887.499999989</v>
      </c>
      <c r="I50" s="356"/>
      <c r="J50" s="353"/>
    </row>
    <row r="51" spans="2:10" ht="15.75" customHeight="1">
      <c r="B51" s="354"/>
      <c r="C51" s="243" t="s">
        <v>576</v>
      </c>
      <c r="D51" s="155"/>
      <c r="E51" s="361">
        <f>E50*$D$17</f>
        <v>2728000</v>
      </c>
      <c r="F51" s="361">
        <f>F50*$D$17</f>
        <v>2796199.9999999995</v>
      </c>
      <c r="G51" s="361">
        <f>G50*$D$17</f>
        <v>2866104.9999999991</v>
      </c>
      <c r="H51" s="361">
        <f>H50*$D$17</f>
        <v>2937757.6249999986</v>
      </c>
      <c r="I51" s="356"/>
      <c r="J51" s="353"/>
    </row>
    <row r="52" spans="2:10" ht="15.75" customHeight="1">
      <c r="B52" s="354"/>
      <c r="C52" s="243" t="s">
        <v>558</v>
      </c>
      <c r="D52" s="155"/>
      <c r="E52" s="84">
        <f>D13</f>
        <v>41</v>
      </c>
      <c r="F52" s="84">
        <f>E52*(1+$D$45)</f>
        <v>42.755824999999994</v>
      </c>
      <c r="G52" s="84">
        <f>F52*(1+$D$45)</f>
        <v>44.586843205624987</v>
      </c>
      <c r="H52" s="84">
        <f>G52*(1+$D$45)</f>
        <v>46.496274765905873</v>
      </c>
      <c r="I52" s="356"/>
      <c r="J52" s="353"/>
    </row>
    <row r="53" spans="2:10" ht="15.75" customHeight="1">
      <c r="B53" s="354"/>
      <c r="C53" s="243"/>
      <c r="D53" s="155"/>
      <c r="E53" s="195"/>
      <c r="F53" s="195"/>
      <c r="G53" s="195"/>
      <c r="H53" s="195"/>
      <c r="I53" s="356"/>
      <c r="J53" s="353"/>
    </row>
    <row r="54" spans="2:10" ht="15.75" customHeight="1">
      <c r="B54" s="354"/>
      <c r="C54" s="360" t="s">
        <v>562</v>
      </c>
      <c r="D54" s="155"/>
      <c r="E54" s="362"/>
      <c r="F54" s="362"/>
      <c r="G54" s="362"/>
      <c r="H54" s="362"/>
      <c r="I54" s="356"/>
      <c r="J54" s="353"/>
    </row>
    <row r="55" spans="2:10" ht="15.75" customHeight="1">
      <c r="B55" s="354"/>
      <c r="C55" s="243" t="s">
        <v>577</v>
      </c>
      <c r="D55" s="155"/>
      <c r="E55" s="257">
        <f>D22</f>
        <v>32000000</v>
      </c>
      <c r="F55" s="257">
        <f>E55*(1+$D$23)</f>
        <v>32640000</v>
      </c>
      <c r="G55" s="257">
        <f>F55*(1+$D$23)</f>
        <v>33292800</v>
      </c>
      <c r="H55" s="257">
        <f>G55*(1+$D$23)</f>
        <v>33958656</v>
      </c>
      <c r="I55" s="356"/>
      <c r="J55" s="353"/>
    </row>
    <row r="56" spans="2:10" ht="15.75" customHeight="1">
      <c r="B56" s="354"/>
      <c r="C56" s="243" t="s">
        <v>576</v>
      </c>
      <c r="D56" s="155"/>
      <c r="E56" s="257">
        <f>E55*$D$24</f>
        <v>2560000</v>
      </c>
      <c r="F56" s="257">
        <f>F55*$D$24</f>
        <v>2611200</v>
      </c>
      <c r="G56" s="257">
        <f>G55*$D$24</f>
        <v>2663424</v>
      </c>
      <c r="H56" s="257">
        <f>H55*$D$24</f>
        <v>2716692.48</v>
      </c>
      <c r="I56" s="356"/>
      <c r="J56" s="353"/>
    </row>
    <row r="57" spans="2:10" ht="15.75" customHeight="1">
      <c r="B57" s="354"/>
      <c r="C57" s="243" t="s">
        <v>558</v>
      </c>
      <c r="D57" s="155"/>
      <c r="E57" s="84">
        <f>D20</f>
        <v>62</v>
      </c>
      <c r="F57" s="84">
        <f>E57*(1+$D$45)</f>
        <v>64.655149999999992</v>
      </c>
      <c r="G57" s="84">
        <f>F57*(1+$D$45)</f>
        <v>67.424006798749986</v>
      </c>
      <c r="H57" s="84">
        <f>G57*(1+$D$45)</f>
        <v>70.311439889906453</v>
      </c>
      <c r="I57" s="356"/>
      <c r="J57" s="353"/>
    </row>
    <row r="58" spans="2:10" ht="15.75" customHeight="1">
      <c r="B58" s="354"/>
      <c r="C58" s="243"/>
      <c r="D58" s="155"/>
      <c r="E58" s="257"/>
      <c r="F58" s="257"/>
      <c r="G58" s="257"/>
      <c r="H58" s="257"/>
      <c r="I58" s="356"/>
      <c r="J58" s="353"/>
    </row>
    <row r="59" spans="2:10" ht="15.75" customHeight="1">
      <c r="B59" s="354"/>
      <c r="C59" s="360" t="s">
        <v>578</v>
      </c>
      <c r="D59" s="155"/>
      <c r="E59" s="257"/>
      <c r="F59" s="257"/>
      <c r="G59" s="257"/>
      <c r="H59" s="257"/>
      <c r="I59" s="356"/>
      <c r="J59" s="353"/>
    </row>
    <row r="60" spans="2:10" ht="15.75" customHeight="1">
      <c r="B60" s="354"/>
      <c r="C60" s="243" t="s">
        <v>579</v>
      </c>
      <c r="D60" s="155"/>
      <c r="E60" s="111">
        <f>E51*E52</f>
        <v>111848000</v>
      </c>
      <c r="F60" s="111">
        <f>F51*F52</f>
        <v>119553837.86499996</v>
      </c>
      <c r="G60" s="111">
        <f>G51*G52</f>
        <v>127790574.24585776</v>
      </c>
      <c r="H60" s="111">
        <f>H51*H52</f>
        <v>136594785.727635</v>
      </c>
      <c r="I60" s="356"/>
      <c r="J60" s="353"/>
    </row>
    <row r="61" spans="2:10" ht="15.75" customHeight="1">
      <c r="B61" s="354"/>
      <c r="C61" s="243" t="s">
        <v>580</v>
      </c>
      <c r="D61" s="155"/>
      <c r="E61" s="260">
        <f>E56*E57</f>
        <v>158720000</v>
      </c>
      <c r="F61" s="260">
        <f>F56*F57</f>
        <v>168827527.67999998</v>
      </c>
      <c r="G61" s="260">
        <f>G56*G57</f>
        <v>179578717.88395387</v>
      </c>
      <c r="H61" s="260">
        <f>H56*H57</f>
        <v>191014560.00688088</v>
      </c>
      <c r="I61" s="356"/>
      <c r="J61" s="353"/>
    </row>
    <row r="62" spans="2:10" ht="15.75" customHeight="1">
      <c r="B62" s="354"/>
      <c r="C62" s="243" t="s">
        <v>18</v>
      </c>
      <c r="D62" s="155"/>
      <c r="E62" s="111">
        <f>E60+E61</f>
        <v>270568000</v>
      </c>
      <c r="F62" s="111">
        <f>F60+F61</f>
        <v>288381365.54499996</v>
      </c>
      <c r="G62" s="111">
        <f>G60+G61</f>
        <v>307369292.12981164</v>
      </c>
      <c r="H62" s="111">
        <f>H60+H61</f>
        <v>327609345.73451591</v>
      </c>
      <c r="I62" s="356"/>
      <c r="J62" s="353"/>
    </row>
    <row r="63" spans="2:10" ht="15.75" customHeight="1">
      <c r="B63" s="354"/>
      <c r="C63" s="243"/>
      <c r="D63" s="155"/>
      <c r="E63" s="257"/>
      <c r="F63" s="257"/>
      <c r="G63" s="257"/>
      <c r="H63" s="257"/>
      <c r="I63" s="356"/>
      <c r="J63" s="353"/>
    </row>
    <row r="64" spans="2:10" ht="15.75" customHeight="1">
      <c r="B64" s="354"/>
      <c r="C64" s="360" t="s">
        <v>581</v>
      </c>
      <c r="D64" s="155"/>
      <c r="E64" s="257"/>
      <c r="F64" s="257"/>
      <c r="G64" s="257"/>
      <c r="H64" s="257"/>
      <c r="I64" s="356"/>
      <c r="J64" s="353"/>
    </row>
    <row r="65" spans="2:10" ht="15.75" customHeight="1">
      <c r="B65" s="354"/>
      <c r="C65" s="243" t="s">
        <v>579</v>
      </c>
      <c r="D65" s="155"/>
      <c r="E65" s="111">
        <f>E51*$D$14</f>
        <v>79112000</v>
      </c>
      <c r="F65" s="111">
        <f>F51*$D$14*(1+$D$45)</f>
        <v>84562470.684999973</v>
      </c>
      <c r="G65" s="111">
        <f>G51*$D$14*(1+$D$45)</f>
        <v>86676532.452124953</v>
      </c>
      <c r="H65" s="111">
        <f>H51*$D$14*(1+$D$45)</f>
        <v>88843445.763428062</v>
      </c>
      <c r="I65" s="356"/>
      <c r="J65" s="353"/>
    </row>
    <row r="66" spans="2:10" ht="15.75" customHeight="1">
      <c r="B66" s="354"/>
      <c r="C66" s="243" t="s">
        <v>580</v>
      </c>
      <c r="D66" s="155"/>
      <c r="E66" s="260">
        <f>E56*$D$21</f>
        <v>74240000</v>
      </c>
      <c r="F66" s="260">
        <f>F56*$D$21*(1+D45)</f>
        <v>78967714.559999987</v>
      </c>
      <c r="G66" s="260">
        <f>G56*$D$21*(1+E45)</f>
        <v>77239296</v>
      </c>
      <c r="H66" s="260">
        <f>H56*$D$21*(1+F45)</f>
        <v>78784081.920000002</v>
      </c>
      <c r="I66" s="356"/>
      <c r="J66" s="353"/>
    </row>
    <row r="67" spans="2:10" ht="15.75" customHeight="1">
      <c r="B67" s="354"/>
      <c r="C67" s="243" t="s">
        <v>18</v>
      </c>
      <c r="D67" s="155"/>
      <c r="E67" s="111">
        <f>E65+E66</f>
        <v>153352000</v>
      </c>
      <c r="F67" s="111">
        <f>F65+F66</f>
        <v>163530185.24499995</v>
      </c>
      <c r="G67" s="111">
        <f>G65+G66</f>
        <v>163915828.45212495</v>
      </c>
      <c r="H67" s="111">
        <f>H65+H66</f>
        <v>167627527.68342805</v>
      </c>
      <c r="I67" s="356"/>
      <c r="J67" s="353"/>
    </row>
    <row r="68" spans="2:10" ht="15.75" customHeight="1">
      <c r="B68" s="354"/>
      <c r="C68" s="243"/>
      <c r="D68" s="155"/>
      <c r="E68" s="257"/>
      <c r="F68" s="257"/>
      <c r="G68" s="257"/>
      <c r="H68" s="257"/>
      <c r="I68" s="356"/>
      <c r="J68" s="353"/>
    </row>
    <row r="69" spans="2:10" ht="15.75" customHeight="1">
      <c r="B69" s="354"/>
      <c r="C69" s="243" t="s">
        <v>582</v>
      </c>
      <c r="D69" s="155"/>
      <c r="E69" s="111">
        <f>E62</f>
        <v>270568000</v>
      </c>
      <c r="F69" s="111">
        <f>F62</f>
        <v>288381365.54499996</v>
      </c>
      <c r="G69" s="111">
        <f>G62</f>
        <v>307369292.12981164</v>
      </c>
      <c r="H69" s="111">
        <f>H62</f>
        <v>327609345.73451591</v>
      </c>
      <c r="I69" s="356"/>
      <c r="J69" s="353"/>
    </row>
    <row r="70" spans="2:10" ht="15.75" customHeight="1">
      <c r="B70" s="354"/>
      <c r="C70" s="243" t="s">
        <v>260</v>
      </c>
      <c r="D70" s="155"/>
      <c r="E70" s="257">
        <f>E67</f>
        <v>153352000</v>
      </c>
      <c r="F70" s="257">
        <f>F67</f>
        <v>163530185.24499995</v>
      </c>
      <c r="G70" s="257">
        <f>G67</f>
        <v>163915828.45212495</v>
      </c>
      <c r="H70" s="257">
        <f>H67</f>
        <v>167627527.68342805</v>
      </c>
      <c r="I70" s="356"/>
      <c r="J70" s="353"/>
    </row>
    <row r="71" spans="2:10" ht="15.75" customHeight="1">
      <c r="B71" s="354"/>
      <c r="C71" s="243" t="s">
        <v>566</v>
      </c>
      <c r="D71" s="155"/>
      <c r="E71" s="257">
        <f>D28</f>
        <v>43000000</v>
      </c>
      <c r="F71" s="257">
        <f>E71*(1+$D$30)</f>
        <v>44397500</v>
      </c>
      <c r="G71" s="257">
        <f>F71*(1+$D$30)</f>
        <v>45840418.75</v>
      </c>
      <c r="H71" s="257">
        <f>G71*(1+$D$30)</f>
        <v>47330232.359375</v>
      </c>
      <c r="I71" s="356"/>
      <c r="J71" s="353"/>
    </row>
    <row r="72" spans="2:10" ht="15.75" customHeight="1">
      <c r="B72" s="354"/>
      <c r="C72" s="243" t="s">
        <v>201</v>
      </c>
      <c r="D72" s="155"/>
      <c r="E72" s="260">
        <f>D9*D35</f>
        <v>22864000</v>
      </c>
      <c r="F72" s="260">
        <f>D9*D36</f>
        <v>39184000</v>
      </c>
      <c r="G72" s="260">
        <f>D9*D37</f>
        <v>27984000</v>
      </c>
      <c r="H72" s="260">
        <f>D9*D38</f>
        <v>19984000</v>
      </c>
      <c r="I72" s="356"/>
      <c r="J72" s="353"/>
    </row>
    <row r="73" spans="2:10" ht="15.75" customHeight="1">
      <c r="B73" s="354"/>
      <c r="C73" s="243" t="s">
        <v>38</v>
      </c>
      <c r="D73" s="155"/>
      <c r="E73" s="111">
        <f>E69-E70-E71-E72</f>
        <v>51352000</v>
      </c>
      <c r="F73" s="111">
        <f>F69-F70-F71-F72</f>
        <v>41269680.300000012</v>
      </c>
      <c r="G73" s="111">
        <f>G69-G70-G71-G72</f>
        <v>69629044.927686691</v>
      </c>
      <c r="H73" s="111">
        <f>H69-H70-H71-H72</f>
        <v>92667585.691712856</v>
      </c>
      <c r="I73" s="356"/>
      <c r="J73" s="353"/>
    </row>
    <row r="74" spans="2:10" ht="15.75" customHeight="1">
      <c r="B74" s="354"/>
      <c r="C74" s="243" t="s">
        <v>39</v>
      </c>
      <c r="D74" s="155"/>
      <c r="E74" s="260">
        <f>E73*$D$29</f>
        <v>20540800</v>
      </c>
      <c r="F74" s="260">
        <f>F73*$D$29</f>
        <v>16507872.120000005</v>
      </c>
      <c r="G74" s="260">
        <f>G73*$D$29</f>
        <v>27851617.971074678</v>
      </c>
      <c r="H74" s="260">
        <f>H73*$D$29</f>
        <v>37067034.276685141</v>
      </c>
      <c r="I74" s="356"/>
      <c r="J74" s="353"/>
    </row>
    <row r="75" spans="2:10" ht="15.75" customHeight="1">
      <c r="B75" s="354"/>
      <c r="C75" s="243" t="s">
        <v>40</v>
      </c>
      <c r="D75" s="155"/>
      <c r="E75" s="111">
        <f>E73-E74</f>
        <v>30811200</v>
      </c>
      <c r="F75" s="111">
        <f>F73-F74</f>
        <v>24761808.180000007</v>
      </c>
      <c r="G75" s="111">
        <f>G73-G74</f>
        <v>41777426.956612013</v>
      </c>
      <c r="H75" s="111">
        <f>H73-H74</f>
        <v>55600551.415027715</v>
      </c>
      <c r="I75" s="356"/>
      <c r="J75" s="353"/>
    </row>
    <row r="76" spans="2:10" ht="15.75" customHeight="1">
      <c r="B76" s="354"/>
      <c r="C76" s="243" t="s">
        <v>542</v>
      </c>
      <c r="D76" s="155"/>
      <c r="E76" s="111">
        <f>E75+E72</f>
        <v>53675200</v>
      </c>
      <c r="F76" s="111">
        <f>F75+F72</f>
        <v>63945808.180000007</v>
      </c>
      <c r="G76" s="111">
        <f>G75+G72</f>
        <v>69761426.956612021</v>
      </c>
      <c r="H76" s="111">
        <f>H75+H72</f>
        <v>75584551.415027708</v>
      </c>
      <c r="I76" s="356"/>
      <c r="J76" s="353"/>
    </row>
    <row r="77" spans="2:10" ht="15.75" customHeight="1">
      <c r="B77" s="354"/>
      <c r="C77" s="243"/>
      <c r="D77" s="155"/>
      <c r="E77" s="111"/>
      <c r="F77" s="111"/>
      <c r="G77" s="111"/>
      <c r="H77" s="111"/>
      <c r="I77" s="356"/>
      <c r="J77" s="353"/>
    </row>
    <row r="78" spans="2:10" ht="15.75" customHeight="1">
      <c r="B78" s="354"/>
      <c r="C78" s="360" t="s">
        <v>583</v>
      </c>
      <c r="D78" s="155"/>
      <c r="E78" s="111"/>
      <c r="F78" s="111"/>
      <c r="G78" s="111"/>
      <c r="H78" s="111"/>
      <c r="I78" s="356"/>
      <c r="J78" s="353"/>
    </row>
    <row r="79" spans="2:10" ht="15.75" customHeight="1">
      <c r="B79" s="354"/>
      <c r="C79" s="243" t="s">
        <v>584</v>
      </c>
      <c r="D79" s="155">
        <f>0</f>
        <v>0</v>
      </c>
      <c r="E79" s="111">
        <f>D80</f>
        <v>9000000</v>
      </c>
      <c r="F79" s="111">
        <f>E80</f>
        <v>40585200</v>
      </c>
      <c r="G79" s="111">
        <f>F80</f>
        <v>43257204.831749991</v>
      </c>
      <c r="H79" s="111">
        <f>G80</f>
        <v>46105393.819471747</v>
      </c>
      <c r="I79" s="356"/>
      <c r="J79" s="353"/>
    </row>
    <row r="80" spans="2:10" ht="15.75" customHeight="1">
      <c r="B80" s="354"/>
      <c r="C80" s="243" t="s">
        <v>585</v>
      </c>
      <c r="D80" s="260">
        <f>D32</f>
        <v>9000000</v>
      </c>
      <c r="E80" s="260">
        <f>$D$33*E62</f>
        <v>40585200</v>
      </c>
      <c r="F80" s="260">
        <f>$D$33*F62</f>
        <v>43257204.831749991</v>
      </c>
      <c r="G80" s="260">
        <f>$D$33*G62</f>
        <v>46105393.819471747</v>
      </c>
      <c r="H80" s="260">
        <v>0</v>
      </c>
      <c r="I80" s="356"/>
      <c r="J80" s="353"/>
    </row>
    <row r="81" spans="2:10" ht="15.75" customHeight="1">
      <c r="B81" s="354"/>
      <c r="C81" s="243" t="s">
        <v>543</v>
      </c>
      <c r="D81" s="111">
        <f>D79-D80</f>
        <v>-9000000</v>
      </c>
      <c r="E81" s="111">
        <f>E79-E80</f>
        <v>-31585200</v>
      </c>
      <c r="F81" s="111">
        <f>F79-F80</f>
        <v>-2672004.8317499906</v>
      </c>
      <c r="G81" s="111">
        <f>G79-G80</f>
        <v>-2848188.9877217561</v>
      </c>
      <c r="H81" s="111">
        <f>H79-H80</f>
        <v>46105393.819471747</v>
      </c>
      <c r="I81" s="356"/>
      <c r="J81" s="353"/>
    </row>
    <row r="82" spans="2:10" ht="15.75" customHeight="1">
      <c r="B82" s="354"/>
      <c r="C82" s="243"/>
      <c r="D82" s="155"/>
      <c r="E82" s="111"/>
      <c r="F82" s="111"/>
      <c r="G82" s="111"/>
      <c r="H82" s="111"/>
      <c r="I82" s="356"/>
      <c r="J82" s="353"/>
    </row>
    <row r="83" spans="2:10" ht="15.75" customHeight="1">
      <c r="B83" s="354"/>
      <c r="C83" s="243" t="s">
        <v>586</v>
      </c>
      <c r="D83" s="111">
        <f>D9</f>
        <v>160000000</v>
      </c>
      <c r="E83" s="111">
        <f>D9-E72</f>
        <v>137136000</v>
      </c>
      <c r="F83" s="111">
        <f>E83-F72</f>
        <v>97952000</v>
      </c>
      <c r="G83" s="111">
        <f>F83-G72</f>
        <v>69968000</v>
      </c>
      <c r="H83" s="111">
        <f>G83-H72</f>
        <v>49984000</v>
      </c>
      <c r="I83" s="356"/>
      <c r="J83" s="353"/>
    </row>
    <row r="84" spans="2:10" ht="15.75" customHeight="1">
      <c r="B84" s="354"/>
      <c r="C84" s="243"/>
      <c r="D84" s="155"/>
      <c r="E84" s="111"/>
      <c r="F84" s="111"/>
      <c r="G84" s="111"/>
      <c r="H84" s="111"/>
      <c r="I84" s="356"/>
      <c r="J84" s="353"/>
    </row>
    <row r="85" spans="2:10" ht="15.75" customHeight="1">
      <c r="B85" s="354"/>
      <c r="C85" s="243" t="s">
        <v>587</v>
      </c>
      <c r="D85" s="155"/>
      <c r="E85" s="111"/>
      <c r="F85" s="111"/>
      <c r="G85" s="111"/>
      <c r="H85" s="111"/>
      <c r="I85" s="356"/>
      <c r="J85" s="353"/>
    </row>
    <row r="86" spans="2:10" ht="15.75" customHeight="1">
      <c r="B86" s="354"/>
      <c r="C86" s="243" t="s">
        <v>588</v>
      </c>
      <c r="D86" s="111">
        <f>D10</f>
        <v>65000000</v>
      </c>
      <c r="E86" s="111"/>
      <c r="F86" s="111"/>
      <c r="G86" s="111"/>
      <c r="H86" s="111"/>
      <c r="I86" s="356"/>
      <c r="J86" s="353"/>
    </row>
    <row r="87" spans="2:10" ht="15.75" customHeight="1">
      <c r="B87" s="354"/>
      <c r="C87" s="243" t="s">
        <v>391</v>
      </c>
      <c r="D87" s="260">
        <f>(H83-D86)*D29</f>
        <v>-6006400</v>
      </c>
      <c r="E87" s="111"/>
      <c r="F87" s="111"/>
      <c r="G87" s="111"/>
      <c r="H87" s="111"/>
      <c r="I87" s="356"/>
      <c r="J87" s="353"/>
    </row>
    <row r="88" spans="2:10" ht="15.75" customHeight="1">
      <c r="B88" s="354"/>
      <c r="C88" s="243" t="s">
        <v>18</v>
      </c>
      <c r="D88" s="111">
        <f>D86+D87</f>
        <v>58993600</v>
      </c>
      <c r="E88" s="111"/>
      <c r="F88" s="111"/>
      <c r="G88" s="111"/>
      <c r="H88" s="111"/>
      <c r="I88" s="356"/>
      <c r="J88" s="353"/>
    </row>
    <row r="89" spans="2:10" ht="15.75" customHeight="1">
      <c r="B89" s="354"/>
      <c r="C89" s="243"/>
      <c r="D89" s="155"/>
      <c r="E89" s="111"/>
      <c r="F89" s="111"/>
      <c r="G89" s="111"/>
      <c r="H89" s="111"/>
      <c r="I89" s="356"/>
      <c r="J89" s="353"/>
    </row>
    <row r="90" spans="2:10" ht="15.75" customHeight="1">
      <c r="B90" s="354"/>
      <c r="C90" s="243"/>
      <c r="D90" s="359" t="s">
        <v>100</v>
      </c>
      <c r="E90" s="359" t="s">
        <v>101</v>
      </c>
      <c r="F90" s="359" t="s">
        <v>102</v>
      </c>
      <c r="G90" s="359" t="s">
        <v>103</v>
      </c>
      <c r="H90" s="359" t="s">
        <v>104</v>
      </c>
      <c r="I90" s="356"/>
      <c r="J90" s="353"/>
    </row>
    <row r="91" spans="2:10" ht="15.75" customHeight="1">
      <c r="B91" s="354"/>
      <c r="C91" s="243" t="s">
        <v>396</v>
      </c>
      <c r="D91" s="363"/>
      <c r="E91" s="111">
        <f>E76</f>
        <v>53675200</v>
      </c>
      <c r="F91" s="111">
        <f>F76</f>
        <v>63945808.180000007</v>
      </c>
      <c r="G91" s="111">
        <f>G76</f>
        <v>69761426.956612021</v>
      </c>
      <c r="H91" s="111">
        <f>H76</f>
        <v>75584551.415027708</v>
      </c>
      <c r="I91" s="356"/>
      <c r="J91" s="353"/>
    </row>
    <row r="92" spans="2:10" ht="15.75" customHeight="1">
      <c r="B92" s="354"/>
      <c r="C92" s="725" t="s">
        <v>861</v>
      </c>
      <c r="D92" s="111">
        <f>-D9</f>
        <v>-160000000</v>
      </c>
      <c r="E92" s="111"/>
      <c r="F92" s="111"/>
      <c r="G92" s="111"/>
      <c r="H92" s="257">
        <f>D88</f>
        <v>58993600</v>
      </c>
      <c r="I92" s="356"/>
      <c r="J92" s="353"/>
    </row>
    <row r="93" spans="2:10" ht="15.75" customHeight="1">
      <c r="B93" s="354"/>
      <c r="C93" s="243" t="s">
        <v>207</v>
      </c>
      <c r="D93" s="260">
        <f>D81</f>
        <v>-9000000</v>
      </c>
      <c r="E93" s="260">
        <f>E81</f>
        <v>-31585200</v>
      </c>
      <c r="F93" s="260">
        <f>F81</f>
        <v>-2672004.8317499906</v>
      </c>
      <c r="G93" s="260">
        <f>G81</f>
        <v>-2848188.9877217561</v>
      </c>
      <c r="H93" s="260">
        <f>H81</f>
        <v>46105393.819471747</v>
      </c>
      <c r="I93" s="356"/>
      <c r="J93" s="353"/>
    </row>
    <row r="94" spans="2:10" ht="15.75" customHeight="1">
      <c r="B94" s="354"/>
      <c r="C94" s="243" t="s">
        <v>589</v>
      </c>
      <c r="D94" s="111">
        <f>D91+D92+D93</f>
        <v>-169000000</v>
      </c>
      <c r="E94" s="111">
        <f>E91+E92+E93</f>
        <v>22090000</v>
      </c>
      <c r="F94" s="111">
        <f>F91+F92+F93</f>
        <v>61273803.348250017</v>
      </c>
      <c r="G94" s="111">
        <f>G91+G92+G93</f>
        <v>66913237.968890265</v>
      </c>
      <c r="H94" s="111">
        <f>H91+H92+H93</f>
        <v>180683545.23449945</v>
      </c>
      <c r="I94" s="356"/>
      <c r="J94" s="353"/>
    </row>
    <row r="95" spans="2:10" ht="15.75" customHeight="1">
      <c r="B95" s="354"/>
      <c r="C95" s="243"/>
      <c r="D95" s="111"/>
      <c r="E95" s="111"/>
      <c r="F95" s="111"/>
      <c r="G95" s="111"/>
      <c r="H95" s="195"/>
      <c r="I95" s="356"/>
      <c r="J95" s="353"/>
    </row>
    <row r="96" spans="2:10" ht="15.75" customHeight="1">
      <c r="B96" s="354"/>
      <c r="C96" s="243" t="s">
        <v>590</v>
      </c>
      <c r="D96" s="111">
        <f>D94</f>
        <v>-169000000</v>
      </c>
      <c r="E96" s="111">
        <f>E94/(1+D31)</f>
        <v>19479717.813051149</v>
      </c>
      <c r="F96" s="111">
        <f>F94/((1+D31)^2)</f>
        <v>47648444.696591504</v>
      </c>
      <c r="G96" s="111">
        <f>G94/((1+D31)^3)</f>
        <v>45885226.779622138</v>
      </c>
      <c r="H96" s="111">
        <f>H94/((1+D31)^4)</f>
        <v>109261305.44903038</v>
      </c>
      <c r="I96" s="356"/>
      <c r="J96" s="353"/>
    </row>
    <row r="97" spans="2:10" ht="15.75" customHeight="1">
      <c r="B97" s="354"/>
      <c r="C97" s="243"/>
      <c r="D97" s="155"/>
      <c r="E97" s="111"/>
      <c r="F97" s="111"/>
      <c r="G97" s="111">
        <f>SUM(E96:G96)</f>
        <v>113013389.2892648</v>
      </c>
      <c r="H97" s="111"/>
      <c r="I97" s="356"/>
      <c r="J97" s="353"/>
    </row>
    <row r="98" spans="2:10" ht="15.75" customHeight="1">
      <c r="B98" s="354"/>
      <c r="C98" s="243" t="s">
        <v>244</v>
      </c>
      <c r="D98" s="37">
        <f>NPV(D31,E94:H94)+D94</f>
        <v>53274694.738295168</v>
      </c>
      <c r="E98" s="111"/>
      <c r="F98" s="111"/>
      <c r="G98" s="111">
        <f>D96+G97</f>
        <v>-55986610.710735202</v>
      </c>
      <c r="H98" s="195"/>
      <c r="I98" s="356"/>
      <c r="J98" s="353"/>
    </row>
    <row r="99" spans="2:10" ht="15.75" customHeight="1">
      <c r="B99" s="354"/>
      <c r="C99" s="243" t="s">
        <v>334</v>
      </c>
      <c r="D99" s="364">
        <f>IRR(D94:H94)</f>
        <v>0.24044981777513108</v>
      </c>
      <c r="E99" s="111"/>
      <c r="F99" s="111"/>
      <c r="G99" s="743">
        <f>G98/H96</f>
        <v>-0.51241023050793177</v>
      </c>
      <c r="H99" s="111"/>
      <c r="I99" s="356"/>
      <c r="J99" s="353"/>
    </row>
    <row r="100" spans="2:10" ht="15.75" customHeight="1">
      <c r="B100" s="354"/>
      <c r="C100" s="243" t="s">
        <v>339</v>
      </c>
      <c r="D100" s="365">
        <f>NPV(D31,E94:H94)/-D96</f>
        <v>1.3152348801082554</v>
      </c>
      <c r="E100" s="111"/>
      <c r="F100" s="111"/>
      <c r="G100" s="111"/>
      <c r="H100" s="111"/>
      <c r="I100" s="356"/>
      <c r="J100" s="353"/>
    </row>
    <row r="101" spans="2:10" ht="15.75" customHeight="1" thickBot="1">
      <c r="B101" s="366"/>
      <c r="C101" s="163"/>
      <c r="D101" s="163"/>
      <c r="E101" s="163"/>
      <c r="F101" s="163"/>
      <c r="G101" s="163"/>
      <c r="H101" s="163"/>
      <c r="I101" s="367"/>
      <c r="J101" s="353"/>
    </row>
    <row r="102" spans="2:10" ht="15.75" customHeight="1">
      <c r="B102" s="75"/>
      <c r="C102" s="75"/>
      <c r="D102" s="75"/>
      <c r="E102" s="75"/>
      <c r="F102" s="75"/>
      <c r="G102" s="75"/>
      <c r="H102" s="75"/>
    </row>
    <row r="103" spans="2:10" ht="15.75" customHeight="1">
      <c r="F103" s="368"/>
    </row>
    <row r="104" spans="2:10" ht="15.75" customHeight="1">
      <c r="D104" s="369"/>
      <c r="E104" s="726"/>
    </row>
    <row r="105" spans="2:10" ht="15.75" customHeight="1"/>
    <row r="106" spans="2:10" ht="15.75" customHeight="1"/>
    <row r="107" spans="2:10" ht="15.75" customHeight="1"/>
    <row r="108" spans="2:10" ht="15.75" customHeight="1"/>
    <row r="109" spans="2:10" ht="15.75" customHeight="1"/>
    <row r="110" spans="2:10" ht="15.75" customHeight="1"/>
    <row r="111" spans="2:10" ht="15.75" customHeight="1"/>
    <row r="112" spans="2:10" ht="15.75" customHeight="1"/>
  </sheetData>
  <mergeCells count="1">
    <mergeCell ref="C2:F2"/>
  </mergeCells>
  <phoneticPr fontId="0" type="noConversion"/>
  <pageMargins left="0.75" right="0.75" top="1" bottom="1" header="0.5" footer="0.5"/>
  <pageSetup scale="64" orientation="portrait" horizontalDpi="360" verticalDpi="36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dimension ref="B1:I172"/>
  <sheetViews>
    <sheetView zoomScaleNormal="100" workbookViewId="0"/>
  </sheetViews>
  <sheetFormatPr defaultRowHeight="12.75"/>
  <cols>
    <col min="1" max="1" width="9.140625" style="439"/>
    <col min="2" max="2" width="3.140625" style="439" customWidth="1"/>
    <col min="3" max="3" width="32.5703125" style="439" customWidth="1"/>
    <col min="4" max="4" width="23.42578125" style="439" bestFit="1" customWidth="1"/>
    <col min="5" max="7" width="18.85546875" style="439" bestFit="1" customWidth="1"/>
    <col min="8" max="9" width="3.140625" style="439" customWidth="1"/>
    <col min="10" max="16384" width="9.140625" style="439"/>
  </cols>
  <sheetData>
    <row r="1" spans="2:8" ht="18">
      <c r="C1" s="654" t="s">
        <v>750</v>
      </c>
    </row>
    <row r="2" spans="2:8" ht="18">
      <c r="C2" s="654" t="s">
        <v>592</v>
      </c>
    </row>
    <row r="3" spans="2:8" ht="15.75" customHeight="1"/>
    <row r="4" spans="2:8" ht="15.75" customHeight="1">
      <c r="C4" s="441" t="s">
        <v>34</v>
      </c>
    </row>
    <row r="5" spans="2:8" ht="15.75" customHeight="1" thickBot="1"/>
    <row r="6" spans="2:8" ht="15.75" customHeight="1">
      <c r="B6" s="717"/>
      <c r="C6" s="716"/>
      <c r="D6" s="716"/>
      <c r="E6" s="716"/>
      <c r="F6" s="715"/>
      <c r="G6" s="715"/>
      <c r="H6" s="714"/>
    </row>
    <row r="7" spans="2:8" ht="15.75" customHeight="1">
      <c r="B7" s="704"/>
      <c r="C7" s="450" t="s">
        <v>593</v>
      </c>
      <c r="D7" s="702">
        <v>5000</v>
      </c>
      <c r="E7" s="713"/>
      <c r="F7" s="712"/>
      <c r="G7" s="712"/>
      <c r="H7" s="701"/>
    </row>
    <row r="8" spans="2:8" ht="15.75" customHeight="1">
      <c r="B8" s="704"/>
      <c r="C8" s="450" t="s">
        <v>594</v>
      </c>
      <c r="D8" s="702">
        <v>20</v>
      </c>
      <c r="E8" s="713"/>
      <c r="F8" s="712"/>
      <c r="G8" s="712"/>
      <c r="H8" s="701"/>
    </row>
    <row r="9" spans="2:8" ht="15.75" customHeight="1">
      <c r="B9" s="704"/>
      <c r="C9" s="450" t="s">
        <v>595</v>
      </c>
      <c r="D9" s="597">
        <v>620</v>
      </c>
      <c r="E9" s="713"/>
      <c r="F9" s="712"/>
      <c r="G9" s="712"/>
      <c r="H9" s="701"/>
    </row>
    <row r="10" spans="2:8" ht="15.75" customHeight="1">
      <c r="B10" s="704"/>
      <c r="C10" s="703" t="s">
        <v>596</v>
      </c>
      <c r="D10" s="597">
        <v>605</v>
      </c>
      <c r="E10" s="713"/>
      <c r="F10" s="712"/>
      <c r="G10" s="712"/>
      <c r="H10" s="701"/>
    </row>
    <row r="11" spans="2:8" ht="15.75" customHeight="1">
      <c r="B11" s="704"/>
      <c r="C11" s="703" t="s">
        <v>597</v>
      </c>
      <c r="D11" s="50">
        <v>595</v>
      </c>
      <c r="E11" s="713"/>
      <c r="F11" s="712"/>
      <c r="G11" s="712"/>
      <c r="H11" s="701"/>
    </row>
    <row r="12" spans="2:8" ht="15.75" customHeight="1">
      <c r="B12" s="704"/>
      <c r="C12" s="703" t="s">
        <v>598</v>
      </c>
      <c r="D12" s="50">
        <v>1000</v>
      </c>
      <c r="E12" s="713"/>
      <c r="F12" s="712"/>
      <c r="G12" s="712"/>
      <c r="H12" s="701"/>
    </row>
    <row r="13" spans="2:8" ht="15.75" customHeight="1">
      <c r="B13" s="704"/>
      <c r="C13" s="711" t="s">
        <v>599</v>
      </c>
      <c r="D13" s="370" t="s">
        <v>600</v>
      </c>
      <c r="E13" s="710"/>
      <c r="F13" s="710"/>
      <c r="G13" s="710"/>
      <c r="H13" s="701"/>
    </row>
    <row r="14" spans="2:8" ht="15.75" customHeight="1">
      <c r="B14" s="704"/>
      <c r="C14" s="709" t="s">
        <v>601</v>
      </c>
      <c r="D14" s="371" t="s">
        <v>602</v>
      </c>
      <c r="E14" s="708" t="s">
        <v>603</v>
      </c>
      <c r="F14" s="708" t="s">
        <v>604</v>
      </c>
      <c r="G14" s="708" t="s">
        <v>605</v>
      </c>
      <c r="H14" s="701"/>
    </row>
    <row r="15" spans="2:8" ht="15.75" customHeight="1">
      <c r="B15" s="704"/>
      <c r="C15" s="707">
        <v>20</v>
      </c>
      <c r="D15" s="706">
        <v>14.1</v>
      </c>
      <c r="E15" s="705">
        <v>0.16</v>
      </c>
      <c r="F15" s="705">
        <v>0.36</v>
      </c>
      <c r="G15" s="529">
        <f>1-E15-F15</f>
        <v>0.48</v>
      </c>
      <c r="H15" s="701"/>
    </row>
    <row r="16" spans="2:8" ht="15.75" customHeight="1">
      <c r="B16" s="704"/>
      <c r="C16" s="707">
        <v>25</v>
      </c>
      <c r="D16" s="706">
        <v>16.399999999999999</v>
      </c>
      <c r="E16" s="705">
        <v>0.2</v>
      </c>
      <c r="F16" s="705">
        <v>0.4</v>
      </c>
      <c r="G16" s="529">
        <f>1-E16-F16</f>
        <v>0.4</v>
      </c>
      <c r="H16" s="701"/>
    </row>
    <row r="17" spans="2:8" ht="15.75" customHeight="1">
      <c r="B17" s="704"/>
      <c r="C17" s="707">
        <v>30</v>
      </c>
      <c r="D17" s="706">
        <v>17.3</v>
      </c>
      <c r="E17" s="705">
        <v>0.22</v>
      </c>
      <c r="F17" s="705">
        <v>0.43</v>
      </c>
      <c r="G17" s="529">
        <f>1-E17-F17</f>
        <v>0.35000000000000003</v>
      </c>
      <c r="H17" s="701"/>
    </row>
    <row r="18" spans="2:8" ht="15.75" customHeight="1">
      <c r="B18" s="704"/>
      <c r="C18" s="707">
        <v>35</v>
      </c>
      <c r="D18" s="706">
        <v>18.100000000000001</v>
      </c>
      <c r="E18" s="705">
        <v>0.24</v>
      </c>
      <c r="F18" s="705">
        <v>0.45</v>
      </c>
      <c r="G18" s="529">
        <f>1-E18-F18</f>
        <v>0.31</v>
      </c>
      <c r="H18" s="701"/>
    </row>
    <row r="19" spans="2:8" ht="15.75" customHeight="1">
      <c r="B19" s="704"/>
      <c r="C19" s="703"/>
      <c r="D19" s="429"/>
      <c r="E19" s="702"/>
      <c r="F19" s="702"/>
      <c r="G19" s="702"/>
      <c r="H19" s="701"/>
    </row>
    <row r="20" spans="2:8" ht="15.75" customHeight="1">
      <c r="B20" s="704"/>
      <c r="C20" s="703" t="s">
        <v>606</v>
      </c>
      <c r="D20" s="48">
        <v>0.05</v>
      </c>
      <c r="E20" s="702"/>
      <c r="F20" s="702"/>
      <c r="G20" s="702"/>
      <c r="H20" s="701"/>
    </row>
    <row r="21" spans="2:8" ht="15.75" customHeight="1">
      <c r="B21" s="704"/>
      <c r="C21" s="703" t="s">
        <v>607</v>
      </c>
      <c r="D21" s="50">
        <v>140</v>
      </c>
      <c r="E21" s="702"/>
      <c r="F21" s="702"/>
      <c r="G21" s="702"/>
      <c r="H21" s="701"/>
    </row>
    <row r="22" spans="2:8" ht="15.75" customHeight="1">
      <c r="B22" s="704"/>
      <c r="C22" s="703" t="s">
        <v>608</v>
      </c>
      <c r="D22" s="50">
        <v>50</v>
      </c>
      <c r="E22" s="702"/>
      <c r="F22" s="702"/>
      <c r="G22" s="702"/>
      <c r="H22" s="701"/>
    </row>
    <row r="23" spans="2:8" ht="15.75" customHeight="1">
      <c r="B23" s="704"/>
      <c r="C23" s="703" t="s">
        <v>609</v>
      </c>
      <c r="D23" s="50"/>
      <c r="E23" s="702"/>
      <c r="F23" s="702"/>
      <c r="G23" s="702"/>
      <c r="H23" s="701"/>
    </row>
    <row r="24" spans="2:8" ht="15.75" customHeight="1">
      <c r="B24" s="704"/>
      <c r="C24" s="703" t="s">
        <v>610</v>
      </c>
      <c r="D24" s="50">
        <v>18</v>
      </c>
      <c r="E24" s="702"/>
      <c r="F24" s="702"/>
      <c r="G24" s="702"/>
      <c r="H24" s="701"/>
    </row>
    <row r="25" spans="2:8" ht="15.75" customHeight="1">
      <c r="B25" s="704"/>
      <c r="C25" s="703"/>
      <c r="D25" s="50"/>
      <c r="E25" s="702"/>
      <c r="F25" s="702"/>
      <c r="G25" s="702"/>
      <c r="H25" s="701"/>
    </row>
    <row r="26" spans="2:8" ht="15.75" customHeight="1">
      <c r="B26" s="704"/>
      <c r="C26" s="703" t="s">
        <v>611</v>
      </c>
      <c r="D26" s="50">
        <v>150</v>
      </c>
      <c r="E26" s="702"/>
      <c r="F26" s="702"/>
      <c r="G26" s="702"/>
      <c r="H26" s="701"/>
    </row>
    <row r="27" spans="2:8" ht="15.75" customHeight="1">
      <c r="B27" s="704"/>
      <c r="C27" s="703" t="s">
        <v>612</v>
      </c>
      <c r="D27" s="50">
        <v>300</v>
      </c>
      <c r="E27" s="702"/>
      <c r="F27" s="702"/>
      <c r="G27" s="702"/>
      <c r="H27" s="701"/>
    </row>
    <row r="28" spans="2:8" ht="15.75" customHeight="1">
      <c r="B28" s="704"/>
      <c r="C28" s="703" t="s">
        <v>613</v>
      </c>
      <c r="D28" s="50">
        <v>145</v>
      </c>
      <c r="E28" s="702"/>
      <c r="F28" s="702"/>
      <c r="G28" s="702"/>
      <c r="H28" s="701"/>
    </row>
    <row r="29" spans="2:8" ht="15.75" customHeight="1">
      <c r="B29" s="704"/>
      <c r="C29" s="703" t="s">
        <v>614</v>
      </c>
      <c r="D29" s="50">
        <v>225</v>
      </c>
      <c r="E29" s="702"/>
      <c r="F29" s="702"/>
      <c r="G29" s="702"/>
      <c r="H29" s="701"/>
    </row>
    <row r="30" spans="2:8" ht="15.75" customHeight="1">
      <c r="B30" s="704"/>
      <c r="C30" s="703"/>
      <c r="D30" s="48"/>
      <c r="E30" s="702"/>
      <c r="F30" s="702"/>
      <c r="G30" s="702"/>
      <c r="H30" s="701"/>
    </row>
    <row r="31" spans="2:8" ht="15.75" customHeight="1">
      <c r="B31" s="704"/>
      <c r="C31" s="703" t="s">
        <v>615</v>
      </c>
      <c r="D31" s="22">
        <v>0.1</v>
      </c>
      <c r="E31" s="702"/>
      <c r="F31" s="702"/>
      <c r="G31" s="702"/>
      <c r="H31" s="701"/>
    </row>
    <row r="32" spans="2:8" ht="15.75" customHeight="1">
      <c r="B32" s="704"/>
      <c r="C32" s="703" t="s">
        <v>568</v>
      </c>
      <c r="D32" s="22">
        <v>3.6999999999999998E-2</v>
      </c>
      <c r="E32" s="702"/>
      <c r="F32" s="702"/>
      <c r="G32" s="702"/>
      <c r="H32" s="701"/>
    </row>
    <row r="33" spans="2:9" ht="15.75" customHeight="1">
      <c r="B33" s="704"/>
      <c r="C33" s="703" t="s">
        <v>49</v>
      </c>
      <c r="D33" s="48">
        <v>0.35</v>
      </c>
      <c r="E33" s="702"/>
      <c r="F33" s="702"/>
      <c r="G33" s="702"/>
      <c r="H33" s="701"/>
    </row>
    <row r="34" spans="2:9" ht="15.75" customHeight="1">
      <c r="B34" s="704"/>
      <c r="C34" s="703"/>
      <c r="D34" s="48"/>
      <c r="E34" s="702"/>
      <c r="F34" s="702"/>
      <c r="G34" s="702"/>
      <c r="H34" s="701"/>
    </row>
    <row r="35" spans="2:9" ht="15.75" customHeight="1">
      <c r="B35" s="704"/>
      <c r="C35" s="703" t="s">
        <v>616</v>
      </c>
      <c r="D35" s="50">
        <v>250000</v>
      </c>
      <c r="E35" s="702"/>
      <c r="F35" s="702"/>
      <c r="G35" s="702"/>
      <c r="H35" s="701"/>
    </row>
    <row r="36" spans="2:9" ht="15.75" customHeight="1">
      <c r="B36" s="704"/>
      <c r="C36" s="703" t="s">
        <v>617</v>
      </c>
      <c r="D36" s="22">
        <v>3.2000000000000001E-2</v>
      </c>
      <c r="E36" s="702"/>
      <c r="F36" s="702"/>
      <c r="G36" s="702"/>
      <c r="H36" s="701"/>
    </row>
    <row r="37" spans="2:9" ht="15.75" customHeight="1" thickBot="1">
      <c r="B37" s="700"/>
      <c r="C37" s="582"/>
      <c r="D37" s="699"/>
      <c r="E37" s="698"/>
      <c r="F37" s="697"/>
      <c r="G37" s="697"/>
      <c r="H37" s="696"/>
    </row>
    <row r="38" spans="2:9" ht="15.75" customHeight="1"/>
    <row r="39" spans="2:9" ht="15.75" customHeight="1">
      <c r="C39" s="441" t="s">
        <v>51</v>
      </c>
    </row>
    <row r="40" spans="2:9" ht="15.75" customHeight="1" thickBot="1"/>
    <row r="41" spans="2:9" ht="15.75" customHeight="1">
      <c r="B41" s="695"/>
      <c r="C41" s="694"/>
      <c r="D41" s="694"/>
      <c r="E41" s="694"/>
      <c r="F41" s="694"/>
      <c r="G41" s="694"/>
      <c r="H41" s="693"/>
      <c r="I41" s="670"/>
    </row>
    <row r="42" spans="2:9" ht="15.75" customHeight="1">
      <c r="B42" s="678"/>
      <c r="C42" s="685" t="s">
        <v>618</v>
      </c>
      <c r="D42" s="691">
        <f>((1+D31)/(1+D32))-1</f>
        <v>6.0752169720347249E-2</v>
      </c>
      <c r="E42" s="681"/>
      <c r="F42" s="681"/>
      <c r="G42" s="681"/>
      <c r="H42" s="692"/>
      <c r="I42" s="670"/>
    </row>
    <row r="43" spans="2:9" ht="15.75" customHeight="1">
      <c r="B43" s="678"/>
      <c r="C43" s="685"/>
      <c r="D43" s="691"/>
      <c r="E43" s="681"/>
      <c r="F43" s="681"/>
      <c r="G43" s="681"/>
      <c r="H43" s="674"/>
      <c r="I43" s="670"/>
    </row>
    <row r="44" spans="2:9" ht="15.75" customHeight="1">
      <c r="B44" s="678"/>
      <c r="C44" s="685" t="s">
        <v>619</v>
      </c>
      <c r="D44" s="663">
        <f>D7*D12</f>
        <v>5000000</v>
      </c>
      <c r="E44" s="685"/>
      <c r="F44" s="685"/>
      <c r="G44" s="685"/>
      <c r="H44" s="674"/>
      <c r="I44" s="670"/>
    </row>
    <row r="45" spans="2:9" ht="15.75" customHeight="1">
      <c r="B45" s="678"/>
      <c r="C45" s="685"/>
      <c r="D45" s="690"/>
      <c r="E45" s="690"/>
      <c r="F45" s="690"/>
      <c r="G45" s="690"/>
      <c r="H45" s="674"/>
      <c r="I45" s="670"/>
    </row>
    <row r="46" spans="2:9" ht="15.75" customHeight="1">
      <c r="B46" s="678"/>
      <c r="C46" s="689" t="s">
        <v>620</v>
      </c>
      <c r="D46" s="688">
        <f>C15</f>
        <v>20</v>
      </c>
      <c r="E46" s="687" t="s">
        <v>621</v>
      </c>
      <c r="F46" s="682"/>
      <c r="G46" s="682"/>
      <c r="H46" s="674"/>
      <c r="I46" s="670"/>
    </row>
    <row r="47" spans="2:9" ht="15.75" customHeight="1">
      <c r="B47" s="678"/>
      <c r="C47" s="677"/>
      <c r="D47" s="680"/>
      <c r="E47" s="686"/>
      <c r="F47" s="686"/>
      <c r="G47" s="686"/>
      <c r="H47" s="674"/>
      <c r="I47" s="670"/>
    </row>
    <row r="48" spans="2:9" ht="15.75" customHeight="1">
      <c r="B48" s="678"/>
      <c r="C48" s="677" t="s">
        <v>582</v>
      </c>
      <c r="D48" s="663">
        <f>(((E15*D15*D9)+(F15*D15*D10)+(G15*D15*D11))*D7)*(1-D20)</f>
        <v>40359135</v>
      </c>
      <c r="E48" s="686"/>
      <c r="F48" s="686"/>
      <c r="G48" s="686"/>
      <c r="H48" s="674"/>
      <c r="I48" s="670"/>
    </row>
    <row r="49" spans="2:9" ht="15.75" customHeight="1">
      <c r="B49" s="678"/>
      <c r="C49" s="677" t="s">
        <v>622</v>
      </c>
      <c r="D49" s="675">
        <f>D21*D15*D7</f>
        <v>9870000</v>
      </c>
      <c r="E49" s="686"/>
      <c r="F49" s="686"/>
      <c r="G49" s="686"/>
      <c r="H49" s="674"/>
      <c r="I49" s="670"/>
    </row>
    <row r="50" spans="2:9" ht="15.75" customHeight="1">
      <c r="B50" s="678"/>
      <c r="C50" s="685" t="s">
        <v>623</v>
      </c>
      <c r="D50" s="675">
        <f>D22*D15*D7</f>
        <v>3525000</v>
      </c>
      <c r="E50" s="682"/>
      <c r="F50" s="682"/>
      <c r="G50" s="682"/>
      <c r="H50" s="674"/>
      <c r="I50" s="670"/>
    </row>
    <row r="51" spans="2:9" ht="15.75" customHeight="1">
      <c r="B51" s="678"/>
      <c r="C51" s="685" t="s">
        <v>624</v>
      </c>
      <c r="D51" s="675">
        <f>D24*D15*D7</f>
        <v>1269000</v>
      </c>
      <c r="E51" s="619"/>
      <c r="F51" s="619"/>
      <c r="G51" s="619"/>
      <c r="H51" s="674"/>
      <c r="I51" s="670"/>
    </row>
    <row r="52" spans="2:9" ht="15.75" customHeight="1">
      <c r="B52" s="678"/>
      <c r="C52" s="685" t="s">
        <v>625</v>
      </c>
      <c r="D52" s="675">
        <f>D26*D7</f>
        <v>750000</v>
      </c>
      <c r="E52" s="675"/>
      <c r="F52" s="675"/>
      <c r="G52" s="675"/>
      <c r="H52" s="674"/>
      <c r="I52" s="670"/>
    </row>
    <row r="53" spans="2:9" ht="15.75" customHeight="1">
      <c r="B53" s="678"/>
      <c r="C53" s="685" t="s">
        <v>626</v>
      </c>
      <c r="D53" s="675">
        <f>D27*D7</f>
        <v>1500000</v>
      </c>
      <c r="E53" s="675"/>
      <c r="F53" s="675"/>
      <c r="G53" s="675"/>
      <c r="H53" s="674"/>
      <c r="I53" s="670"/>
    </row>
    <row r="54" spans="2:9" ht="15.75" customHeight="1">
      <c r="B54" s="678"/>
      <c r="C54" s="685" t="s">
        <v>627</v>
      </c>
      <c r="D54" s="675">
        <f>D28*D7</f>
        <v>725000</v>
      </c>
      <c r="E54" s="675"/>
      <c r="F54" s="675"/>
      <c r="G54" s="675"/>
      <c r="H54" s="674"/>
      <c r="I54" s="670"/>
    </row>
    <row r="55" spans="2:9" ht="15.75" customHeight="1">
      <c r="B55" s="678"/>
      <c r="C55" s="685" t="s">
        <v>628</v>
      </c>
      <c r="D55" s="684">
        <f>D29*D7</f>
        <v>1125000</v>
      </c>
      <c r="E55" s="675"/>
      <c r="F55" s="675"/>
      <c r="G55" s="675"/>
      <c r="H55" s="674"/>
      <c r="I55" s="670"/>
    </row>
    <row r="56" spans="2:9" ht="15.75" customHeight="1">
      <c r="B56" s="678"/>
      <c r="C56" s="677" t="s">
        <v>202</v>
      </c>
      <c r="D56" s="663">
        <f>D48-D49-D50-D51-D52-D53-D54-D55</f>
        <v>21595135</v>
      </c>
      <c r="E56" s="663"/>
      <c r="F56" s="663"/>
      <c r="G56" s="663"/>
      <c r="H56" s="674"/>
      <c r="I56" s="670"/>
    </row>
    <row r="57" spans="2:9" ht="15.75" customHeight="1">
      <c r="B57" s="678"/>
      <c r="C57" s="677" t="s">
        <v>391</v>
      </c>
      <c r="D57" s="684">
        <f>D56*D33</f>
        <v>7558297.2499999991</v>
      </c>
      <c r="E57" s="675"/>
      <c r="F57" s="675"/>
      <c r="G57" s="675"/>
      <c r="H57" s="674"/>
      <c r="I57" s="670"/>
    </row>
    <row r="58" spans="2:9" ht="15.75" customHeight="1">
      <c r="B58" s="678"/>
      <c r="C58" s="677" t="s">
        <v>629</v>
      </c>
      <c r="D58" s="663">
        <f>D56-D57</f>
        <v>14036837.75</v>
      </c>
      <c r="E58" s="663"/>
      <c r="F58" s="663"/>
      <c r="G58" s="663"/>
      <c r="H58" s="674"/>
      <c r="I58" s="670"/>
    </row>
    <row r="59" spans="2:9" ht="15.75" customHeight="1">
      <c r="B59" s="678"/>
      <c r="C59" s="677"/>
      <c r="D59" s="675"/>
      <c r="E59" s="675"/>
      <c r="F59" s="675"/>
      <c r="G59" s="675"/>
      <c r="H59" s="674"/>
      <c r="I59" s="670"/>
    </row>
    <row r="60" spans="2:9" ht="15.75" customHeight="1">
      <c r="B60" s="678"/>
      <c r="C60" s="677" t="s">
        <v>630</v>
      </c>
      <c r="D60" s="663">
        <f>D58/((1+D42)^D46)</f>
        <v>4315098.4093300896</v>
      </c>
      <c r="E60" s="675"/>
      <c r="F60" s="675"/>
      <c r="G60" s="675"/>
      <c r="H60" s="674"/>
      <c r="I60" s="670"/>
    </row>
    <row r="61" spans="2:9" ht="15.75" customHeight="1">
      <c r="B61" s="678"/>
      <c r="C61" s="677"/>
      <c r="D61" s="675"/>
      <c r="E61" s="663"/>
      <c r="F61" s="663"/>
      <c r="G61" s="663"/>
      <c r="H61" s="674"/>
      <c r="I61" s="670"/>
    </row>
    <row r="62" spans="2:9" ht="15.75" customHeight="1">
      <c r="B62" s="678"/>
      <c r="C62" s="677" t="s">
        <v>631</v>
      </c>
      <c r="D62" s="675">
        <f>D46+D8</f>
        <v>40</v>
      </c>
      <c r="E62" s="683" t="s">
        <v>632</v>
      </c>
      <c r="F62" s="675"/>
      <c r="G62" s="675"/>
      <c r="H62" s="674"/>
      <c r="I62" s="670"/>
    </row>
    <row r="63" spans="2:9" ht="15.75" customHeight="1">
      <c r="B63" s="678"/>
      <c r="C63" s="677" t="s">
        <v>633</v>
      </c>
      <c r="D63" s="680"/>
      <c r="E63" s="35">
        <f>((1+D42)^D62)-1</f>
        <v>9.5817415673871711</v>
      </c>
      <c r="F63" s="663"/>
      <c r="G63" s="663"/>
      <c r="H63" s="674"/>
      <c r="I63" s="670"/>
    </row>
    <row r="64" spans="2:9" ht="15.75" customHeight="1">
      <c r="B64" s="678"/>
      <c r="C64" s="677" t="s">
        <v>859</v>
      </c>
      <c r="D64" s="680"/>
      <c r="E64" s="35">
        <f>(((1+D31)/(1+D36))-1)</f>
        <v>6.5891472868217171E-2</v>
      </c>
      <c r="F64" s="663"/>
      <c r="G64" s="663"/>
      <c r="H64" s="674"/>
      <c r="I64" s="670"/>
    </row>
    <row r="65" spans="2:9" ht="15.75" customHeight="1">
      <c r="B65" s="678"/>
      <c r="C65" s="677" t="s">
        <v>634</v>
      </c>
      <c r="D65" s="680"/>
      <c r="E65" s="35"/>
      <c r="F65" s="663"/>
      <c r="G65" s="663"/>
      <c r="H65" s="674"/>
      <c r="I65" s="670"/>
    </row>
    <row r="66" spans="2:9" ht="15.75" customHeight="1">
      <c r="B66" s="678"/>
      <c r="C66" s="677" t="s">
        <v>635</v>
      </c>
      <c r="D66" s="680"/>
      <c r="E66" s="35">
        <f>((1+E64)^D62)-1</f>
        <v>11.838654586619757</v>
      </c>
      <c r="F66" s="663"/>
      <c r="G66" s="663"/>
      <c r="H66" s="674"/>
      <c r="I66" s="670"/>
    </row>
    <row r="67" spans="2:9" ht="15.75" customHeight="1">
      <c r="B67" s="678"/>
      <c r="C67" s="677"/>
      <c r="D67" s="680"/>
      <c r="E67" s="35"/>
      <c r="F67" s="663"/>
      <c r="G67" s="663"/>
      <c r="H67" s="674"/>
      <c r="I67" s="670"/>
    </row>
    <row r="68" spans="2:9" ht="15.75" customHeight="1">
      <c r="B68" s="678"/>
      <c r="C68" s="677" t="s">
        <v>636</v>
      </c>
      <c r="D68" s="682">
        <f>-D35*(1-D33)</f>
        <v>-162500</v>
      </c>
      <c r="E68" s="35"/>
      <c r="F68" s="663"/>
      <c r="G68" s="663"/>
      <c r="H68" s="674"/>
      <c r="I68" s="670"/>
    </row>
    <row r="69" spans="2:9" ht="15.75" customHeight="1">
      <c r="B69" s="678"/>
      <c r="C69" s="677" t="s">
        <v>858</v>
      </c>
      <c r="D69" s="682">
        <f>$D$68+$D$68/E66</f>
        <v>-176226.22191238354</v>
      </c>
      <c r="E69" s="35"/>
      <c r="F69" s="663"/>
      <c r="G69" s="663"/>
      <c r="H69" s="674"/>
      <c r="I69" s="670"/>
    </row>
    <row r="70" spans="2:9" ht="15.75" customHeight="1">
      <c r="B70" s="678"/>
      <c r="C70" s="677"/>
      <c r="D70" s="680"/>
      <c r="E70" s="35"/>
      <c r="F70" s="663"/>
      <c r="G70" s="663"/>
      <c r="H70" s="674"/>
      <c r="I70" s="670"/>
    </row>
    <row r="71" spans="2:9" ht="15.75" customHeight="1">
      <c r="B71" s="678"/>
      <c r="C71" s="677" t="s">
        <v>637</v>
      </c>
      <c r="D71" s="681">
        <f>D44/E63</f>
        <v>521825.80430035974</v>
      </c>
      <c r="E71" s="663"/>
      <c r="F71" s="663"/>
      <c r="G71" s="663"/>
      <c r="H71" s="674"/>
      <c r="I71" s="670"/>
    </row>
    <row r="72" spans="2:9" ht="15.75" customHeight="1">
      <c r="B72" s="678"/>
      <c r="C72" s="677" t="s">
        <v>638</v>
      </c>
      <c r="D72" s="681">
        <f>(D58/E63)/((1+D42)^D46)</f>
        <v>450345.93961677537</v>
      </c>
      <c r="E72" s="675"/>
      <c r="F72" s="675"/>
      <c r="G72" s="675"/>
      <c r="H72" s="674"/>
      <c r="I72" s="670"/>
    </row>
    <row r="73" spans="2:9" ht="15.75" customHeight="1">
      <c r="B73" s="678"/>
      <c r="C73" s="677" t="s">
        <v>639</v>
      </c>
      <c r="D73" s="681">
        <f>D69/((1+E64)^D46)</f>
        <v>-49182.519544552844</v>
      </c>
      <c r="E73" s="675"/>
      <c r="F73" s="675"/>
      <c r="G73" s="675"/>
      <c r="H73" s="674"/>
      <c r="I73" s="670"/>
    </row>
    <row r="74" spans="2:9" ht="15.75" customHeight="1">
      <c r="B74" s="678"/>
      <c r="C74" s="677"/>
      <c r="D74" s="680"/>
      <c r="E74" s="675"/>
      <c r="F74" s="675"/>
      <c r="G74" s="675"/>
      <c r="H74" s="674"/>
      <c r="I74" s="670"/>
    </row>
    <row r="75" spans="2:9" ht="15.75" customHeight="1">
      <c r="B75" s="678"/>
      <c r="C75" s="677" t="s">
        <v>640</v>
      </c>
      <c r="D75" s="679">
        <f>D60+D71+D72+D73</f>
        <v>5238087.6337026712</v>
      </c>
      <c r="E75" s="675"/>
      <c r="F75" s="675"/>
      <c r="G75" s="675"/>
      <c r="H75" s="674"/>
      <c r="I75" s="670"/>
    </row>
    <row r="76" spans="2:9" ht="15.75" customHeight="1">
      <c r="B76" s="678"/>
      <c r="C76" s="677"/>
      <c r="D76" s="676"/>
      <c r="E76" s="675"/>
      <c r="F76" s="675"/>
      <c r="G76" s="675"/>
      <c r="H76" s="674"/>
      <c r="I76" s="670"/>
    </row>
    <row r="77" spans="2:9" ht="15.75" customHeight="1">
      <c r="B77" s="678"/>
      <c r="C77" s="689" t="s">
        <v>620</v>
      </c>
      <c r="D77" s="688">
        <f>C16</f>
        <v>25</v>
      </c>
      <c r="E77" s="687" t="s">
        <v>621</v>
      </c>
      <c r="F77" s="675"/>
      <c r="G77" s="675"/>
      <c r="H77" s="674"/>
      <c r="I77" s="670"/>
    </row>
    <row r="78" spans="2:9" ht="15.75" customHeight="1">
      <c r="B78" s="678"/>
      <c r="C78" s="677"/>
      <c r="D78" s="680"/>
      <c r="E78" s="686"/>
      <c r="F78" s="675"/>
      <c r="G78" s="675"/>
      <c r="H78" s="674"/>
      <c r="I78" s="670"/>
    </row>
    <row r="79" spans="2:9" ht="15.75" customHeight="1">
      <c r="B79" s="678"/>
      <c r="C79" s="677" t="s">
        <v>582</v>
      </c>
      <c r="D79" s="663">
        <f>(((E16*D16*D9)+(F16*D16*D10)+(G16*D16*D11))*D7)*(1-D20)</f>
        <v>47051599.999999993</v>
      </c>
      <c r="E79" s="686"/>
      <c r="F79" s="675"/>
      <c r="G79" s="675"/>
      <c r="H79" s="674"/>
      <c r="I79" s="670"/>
    </row>
    <row r="80" spans="2:9" ht="15.75" customHeight="1">
      <c r="B80" s="678"/>
      <c r="C80" s="677" t="s">
        <v>622</v>
      </c>
      <c r="D80" s="675">
        <f>D21*D16*D7</f>
        <v>11480000</v>
      </c>
      <c r="E80" s="686"/>
      <c r="F80" s="675"/>
      <c r="G80" s="675"/>
      <c r="H80" s="674"/>
      <c r="I80" s="670"/>
    </row>
    <row r="81" spans="2:9" ht="15.75" customHeight="1">
      <c r="B81" s="678"/>
      <c r="C81" s="685" t="s">
        <v>623</v>
      </c>
      <c r="D81" s="675">
        <f>D22*D16*D7</f>
        <v>4099999.9999999995</v>
      </c>
      <c r="E81" s="682"/>
      <c r="F81" s="675"/>
      <c r="G81" s="675"/>
      <c r="H81" s="674"/>
      <c r="I81" s="670"/>
    </row>
    <row r="82" spans="2:9" ht="15.75" customHeight="1">
      <c r="B82" s="678"/>
      <c r="C82" s="685" t="s">
        <v>624</v>
      </c>
      <c r="D82" s="675">
        <f>D24*D16*D7</f>
        <v>1476000</v>
      </c>
      <c r="E82" s="619"/>
      <c r="F82" s="675"/>
      <c r="G82" s="675"/>
      <c r="H82" s="674"/>
      <c r="I82" s="670"/>
    </row>
    <row r="83" spans="2:9" ht="15.75" customHeight="1">
      <c r="B83" s="678"/>
      <c r="C83" s="685" t="s">
        <v>625</v>
      </c>
      <c r="D83" s="675">
        <f>$D$26*$D$7</f>
        <v>750000</v>
      </c>
      <c r="E83" s="675"/>
      <c r="F83" s="675"/>
      <c r="G83" s="675"/>
      <c r="H83" s="674"/>
      <c r="I83" s="670"/>
    </row>
    <row r="84" spans="2:9" ht="15.75" customHeight="1">
      <c r="B84" s="678"/>
      <c r="C84" s="685" t="s">
        <v>626</v>
      </c>
      <c r="D84" s="675">
        <f>$D$27*$D$7</f>
        <v>1500000</v>
      </c>
      <c r="E84" s="675"/>
      <c r="F84" s="675"/>
      <c r="G84" s="675"/>
      <c r="H84" s="674"/>
      <c r="I84" s="670"/>
    </row>
    <row r="85" spans="2:9" ht="15.75" customHeight="1">
      <c r="B85" s="678"/>
      <c r="C85" s="685" t="s">
        <v>627</v>
      </c>
      <c r="D85" s="675">
        <f>$D$28*$D$7</f>
        <v>725000</v>
      </c>
      <c r="E85" s="675"/>
      <c r="F85" s="675"/>
      <c r="G85" s="675"/>
      <c r="H85" s="674"/>
      <c r="I85" s="670"/>
    </row>
    <row r="86" spans="2:9" ht="15.75" customHeight="1">
      <c r="B86" s="678"/>
      <c r="C86" s="685" t="s">
        <v>628</v>
      </c>
      <c r="D86" s="684">
        <f>$D$29*$D$7</f>
        <v>1125000</v>
      </c>
      <c r="E86" s="675"/>
      <c r="F86" s="675"/>
      <c r="G86" s="675"/>
      <c r="H86" s="674"/>
      <c r="I86" s="670"/>
    </row>
    <row r="87" spans="2:9" ht="15.75" customHeight="1">
      <c r="B87" s="678"/>
      <c r="C87" s="677" t="s">
        <v>202</v>
      </c>
      <c r="D87" s="663">
        <f>D79-D80-D81-D82-D83-D84-D85-D86</f>
        <v>25895599.999999993</v>
      </c>
      <c r="E87" s="663"/>
      <c r="F87" s="675"/>
      <c r="G87" s="675"/>
      <c r="H87" s="674"/>
      <c r="I87" s="670"/>
    </row>
    <row r="88" spans="2:9" ht="15.75" customHeight="1">
      <c r="B88" s="678"/>
      <c r="C88" s="677" t="s">
        <v>391</v>
      </c>
      <c r="D88" s="684">
        <f>D87*$D$33</f>
        <v>9063459.9999999963</v>
      </c>
      <c r="E88" s="675"/>
      <c r="F88" s="675"/>
      <c r="G88" s="675"/>
      <c r="H88" s="674"/>
      <c r="I88" s="670"/>
    </row>
    <row r="89" spans="2:9" ht="15.75" customHeight="1">
      <c r="B89" s="678"/>
      <c r="C89" s="677" t="s">
        <v>629</v>
      </c>
      <c r="D89" s="663">
        <f>D87-D88</f>
        <v>16832139.999999996</v>
      </c>
      <c r="E89" s="663"/>
      <c r="F89" s="675"/>
      <c r="G89" s="675"/>
      <c r="H89" s="674"/>
      <c r="I89" s="670"/>
    </row>
    <row r="90" spans="2:9" ht="15.75" customHeight="1">
      <c r="B90" s="678"/>
      <c r="C90" s="677"/>
      <c r="D90" s="675"/>
      <c r="E90" s="675"/>
      <c r="F90" s="675"/>
      <c r="G90" s="675"/>
      <c r="H90" s="674"/>
      <c r="I90" s="670"/>
    </row>
    <row r="91" spans="2:9" ht="15.75" customHeight="1">
      <c r="B91" s="678"/>
      <c r="C91" s="677" t="s">
        <v>630</v>
      </c>
      <c r="D91" s="663">
        <f>D89/((1+D42)^D77)</f>
        <v>3852929.9702184414</v>
      </c>
      <c r="E91" s="675"/>
      <c r="F91" s="675"/>
      <c r="G91" s="675"/>
      <c r="H91" s="674"/>
      <c r="I91" s="670"/>
    </row>
    <row r="92" spans="2:9" ht="15.75" customHeight="1">
      <c r="B92" s="678"/>
      <c r="C92" s="677"/>
      <c r="D92" s="675"/>
      <c r="E92" s="663"/>
      <c r="F92" s="675"/>
      <c r="G92" s="675"/>
      <c r="H92" s="674"/>
      <c r="I92" s="670"/>
    </row>
    <row r="93" spans="2:9" ht="15.75" customHeight="1">
      <c r="B93" s="678"/>
      <c r="C93" s="677" t="s">
        <v>631</v>
      </c>
      <c r="D93" s="675">
        <f>D77+D8</f>
        <v>45</v>
      </c>
      <c r="E93" s="683" t="s">
        <v>632</v>
      </c>
      <c r="F93" s="675"/>
      <c r="G93" s="675"/>
      <c r="H93" s="674"/>
      <c r="I93" s="670"/>
    </row>
    <row r="94" spans="2:9" ht="15.75" customHeight="1">
      <c r="B94" s="678"/>
      <c r="C94" s="677" t="s">
        <v>633</v>
      </c>
      <c r="D94" s="680"/>
      <c r="E94" s="35">
        <f>((1+D42)^D93)-1</f>
        <v>13.211070521585112</v>
      </c>
      <c r="F94" s="675"/>
      <c r="G94" s="675"/>
      <c r="H94" s="674"/>
      <c r="I94" s="670"/>
    </row>
    <row r="95" spans="2:9" ht="15.75" customHeight="1">
      <c r="B95" s="678"/>
      <c r="C95" s="677" t="s">
        <v>634</v>
      </c>
      <c r="D95" s="680"/>
      <c r="E95" s="35"/>
      <c r="F95" s="663"/>
      <c r="G95" s="663"/>
      <c r="H95" s="674"/>
      <c r="I95" s="670"/>
    </row>
    <row r="96" spans="2:9" ht="15.75" customHeight="1">
      <c r="B96" s="678"/>
      <c r="C96" s="677" t="s">
        <v>635</v>
      </c>
      <c r="D96" s="680"/>
      <c r="E96" s="35">
        <f>((1+E64)^D93)-1</f>
        <v>16.663812823148174</v>
      </c>
      <c r="F96" s="663"/>
      <c r="G96" s="663"/>
      <c r="H96" s="674"/>
      <c r="I96" s="670"/>
    </row>
    <row r="97" spans="2:9" ht="15.75" customHeight="1">
      <c r="B97" s="678"/>
      <c r="C97" s="677" t="s">
        <v>858</v>
      </c>
      <c r="D97" s="682">
        <f>$D$68+$D$68/E96</f>
        <v>-172251.66978437651</v>
      </c>
      <c r="E97" s="35"/>
      <c r="F97" s="663"/>
      <c r="G97" s="663"/>
      <c r="H97" s="674"/>
      <c r="I97" s="670"/>
    </row>
    <row r="98" spans="2:9" ht="15.75" customHeight="1">
      <c r="B98" s="678"/>
      <c r="C98" s="677"/>
      <c r="D98" s="680"/>
      <c r="E98" s="675"/>
      <c r="F98" s="675"/>
      <c r="G98" s="675"/>
      <c r="H98" s="674"/>
      <c r="I98" s="670"/>
    </row>
    <row r="99" spans="2:9" ht="15.75" customHeight="1">
      <c r="B99" s="678"/>
      <c r="C99" s="677" t="s">
        <v>637</v>
      </c>
      <c r="D99" s="681">
        <f>D44/E94</f>
        <v>378470.46473869565</v>
      </c>
      <c r="E99" s="663"/>
      <c r="F99" s="675"/>
      <c r="G99" s="675"/>
      <c r="H99" s="674"/>
      <c r="I99" s="670"/>
    </row>
    <row r="100" spans="2:9" ht="15.75" customHeight="1">
      <c r="B100" s="678"/>
      <c r="C100" s="677" t="s">
        <v>638</v>
      </c>
      <c r="D100" s="681">
        <f>(D89/E94)/((1+D42)^D77)</f>
        <v>291644.03928684449</v>
      </c>
      <c r="E100" s="675"/>
      <c r="F100" s="675"/>
      <c r="G100" s="675"/>
      <c r="H100" s="674"/>
      <c r="I100" s="670"/>
    </row>
    <row r="101" spans="2:9" ht="15.75" customHeight="1">
      <c r="B101" s="678"/>
      <c r="C101" s="677" t="s">
        <v>639</v>
      </c>
      <c r="D101" s="681">
        <f>D97/((1+$E$64)^D77)</f>
        <v>-34941.274651069631</v>
      </c>
      <c r="E101" s="675"/>
      <c r="F101" s="675"/>
      <c r="G101" s="675"/>
      <c r="H101" s="674"/>
      <c r="I101" s="670"/>
    </row>
    <row r="102" spans="2:9" ht="15.75" customHeight="1">
      <c r="B102" s="678"/>
      <c r="C102" s="677"/>
      <c r="D102" s="680"/>
      <c r="E102" s="675"/>
      <c r="F102" s="675"/>
      <c r="G102" s="675"/>
      <c r="H102" s="674"/>
      <c r="I102" s="670"/>
    </row>
    <row r="103" spans="2:9" ht="15.75" customHeight="1">
      <c r="B103" s="678"/>
      <c r="C103" s="677" t="s">
        <v>640</v>
      </c>
      <c r="D103" s="679">
        <f>D91+D99+D100+D101</f>
        <v>4488103.1995929126</v>
      </c>
      <c r="E103" s="675"/>
      <c r="F103" s="675"/>
      <c r="G103" s="675"/>
      <c r="H103" s="674"/>
      <c r="I103" s="670"/>
    </row>
    <row r="104" spans="2:9" ht="15.75" customHeight="1">
      <c r="B104" s="678"/>
      <c r="C104" s="677"/>
      <c r="D104" s="676"/>
      <c r="E104" s="675"/>
      <c r="F104" s="675"/>
      <c r="G104" s="675"/>
      <c r="H104" s="674"/>
      <c r="I104" s="670"/>
    </row>
    <row r="105" spans="2:9" ht="15.75" customHeight="1">
      <c r="B105" s="678"/>
      <c r="C105" s="689" t="s">
        <v>620</v>
      </c>
      <c r="D105" s="688">
        <f>C17</f>
        <v>30</v>
      </c>
      <c r="E105" s="687" t="s">
        <v>621</v>
      </c>
      <c r="F105" s="675"/>
      <c r="G105" s="675"/>
      <c r="H105" s="674"/>
      <c r="I105" s="670"/>
    </row>
    <row r="106" spans="2:9" ht="15.75" customHeight="1">
      <c r="B106" s="678"/>
      <c r="C106" s="677"/>
      <c r="D106" s="680"/>
      <c r="E106" s="686"/>
      <c r="F106" s="675"/>
      <c r="G106" s="675"/>
      <c r="H106" s="674"/>
      <c r="I106" s="670"/>
    </row>
    <row r="107" spans="2:9" ht="15.75" customHeight="1">
      <c r="B107" s="678"/>
      <c r="C107" s="677" t="s">
        <v>582</v>
      </c>
      <c r="D107" s="663">
        <f>(((E17*D17*D9)+(F17*D17*D10)+(G17*D17*D11))*D7)*(1-D20)</f>
        <v>49699440.000000007</v>
      </c>
      <c r="E107" s="686"/>
      <c r="F107" s="675"/>
      <c r="G107" s="675"/>
      <c r="H107" s="674"/>
      <c r="I107" s="670"/>
    </row>
    <row r="108" spans="2:9" ht="15.75" customHeight="1">
      <c r="B108" s="678"/>
      <c r="C108" s="677" t="s">
        <v>622</v>
      </c>
      <c r="D108" s="675">
        <f>D21*D17*D7</f>
        <v>12110000</v>
      </c>
      <c r="E108" s="686"/>
      <c r="F108" s="675"/>
      <c r="G108" s="675"/>
      <c r="H108" s="674"/>
      <c r="I108" s="670"/>
    </row>
    <row r="109" spans="2:9" ht="15.75" customHeight="1">
      <c r="B109" s="678"/>
      <c r="C109" s="685" t="s">
        <v>623</v>
      </c>
      <c r="D109" s="675">
        <f>D22*D17*D7</f>
        <v>4325000</v>
      </c>
      <c r="E109" s="682"/>
      <c r="F109" s="675"/>
      <c r="G109" s="675"/>
      <c r="H109" s="674"/>
      <c r="I109" s="670"/>
    </row>
    <row r="110" spans="2:9" ht="15.75" customHeight="1">
      <c r="B110" s="678"/>
      <c r="C110" s="685" t="s">
        <v>624</v>
      </c>
      <c r="D110" s="675">
        <f>D24*D17*D7</f>
        <v>1557000.0000000002</v>
      </c>
      <c r="E110" s="619"/>
      <c r="F110" s="675"/>
      <c r="G110" s="675"/>
      <c r="H110" s="674"/>
      <c r="I110" s="670"/>
    </row>
    <row r="111" spans="2:9" ht="15.75" customHeight="1">
      <c r="B111" s="678"/>
      <c r="C111" s="685" t="s">
        <v>625</v>
      </c>
      <c r="D111" s="675">
        <f>$D$26*$D$7</f>
        <v>750000</v>
      </c>
      <c r="E111" s="675"/>
      <c r="F111" s="675"/>
      <c r="G111" s="675"/>
      <c r="H111" s="674"/>
      <c r="I111" s="670"/>
    </row>
    <row r="112" spans="2:9" ht="15.75" customHeight="1">
      <c r="B112" s="678"/>
      <c r="C112" s="685" t="s">
        <v>626</v>
      </c>
      <c r="D112" s="675">
        <f>$D$27*$D$7</f>
        <v>1500000</v>
      </c>
      <c r="E112" s="675"/>
      <c r="F112" s="675"/>
      <c r="G112" s="675"/>
      <c r="H112" s="674"/>
      <c r="I112" s="670"/>
    </row>
    <row r="113" spans="2:9" ht="15.75" customHeight="1">
      <c r="B113" s="678"/>
      <c r="C113" s="685" t="s">
        <v>627</v>
      </c>
      <c r="D113" s="675">
        <f>$D$28*$D$7</f>
        <v>725000</v>
      </c>
      <c r="E113" s="675"/>
      <c r="F113" s="675"/>
      <c r="G113" s="675"/>
      <c r="H113" s="674"/>
      <c r="I113" s="670"/>
    </row>
    <row r="114" spans="2:9" ht="15.75" customHeight="1">
      <c r="B114" s="678"/>
      <c r="C114" s="685" t="s">
        <v>628</v>
      </c>
      <c r="D114" s="684">
        <f>$D$29*$D$7</f>
        <v>1125000</v>
      </c>
      <c r="E114" s="675"/>
      <c r="F114" s="675"/>
      <c r="G114" s="675"/>
      <c r="H114" s="674"/>
      <c r="I114" s="670"/>
    </row>
    <row r="115" spans="2:9" ht="15.75" customHeight="1">
      <c r="B115" s="678"/>
      <c r="C115" s="677" t="s">
        <v>202</v>
      </c>
      <c r="D115" s="663">
        <f>D107-D108-D109-D110-D111-D112-D113-D114</f>
        <v>27607440.000000007</v>
      </c>
      <c r="E115" s="663"/>
      <c r="F115" s="675"/>
      <c r="G115" s="675"/>
      <c r="H115" s="674"/>
      <c r="I115" s="670"/>
    </row>
    <row r="116" spans="2:9" ht="15.75" customHeight="1">
      <c r="B116" s="678"/>
      <c r="C116" s="677" t="s">
        <v>391</v>
      </c>
      <c r="D116" s="684">
        <f>D115*$D$33</f>
        <v>9662604.0000000019</v>
      </c>
      <c r="E116" s="675"/>
      <c r="F116" s="675"/>
      <c r="G116" s="675"/>
      <c r="H116" s="674"/>
      <c r="I116" s="670"/>
    </row>
    <row r="117" spans="2:9" ht="15.75" customHeight="1">
      <c r="B117" s="678"/>
      <c r="C117" s="677" t="s">
        <v>629</v>
      </c>
      <c r="D117" s="663">
        <f>D115-D116</f>
        <v>17944836.000000007</v>
      </c>
      <c r="E117" s="663"/>
      <c r="F117" s="675"/>
      <c r="G117" s="675"/>
      <c r="H117" s="674"/>
      <c r="I117" s="670"/>
    </row>
    <row r="118" spans="2:9" ht="15.75" customHeight="1">
      <c r="B118" s="678"/>
      <c r="C118" s="677"/>
      <c r="D118" s="675"/>
      <c r="E118" s="675"/>
      <c r="F118" s="675"/>
      <c r="G118" s="675"/>
      <c r="H118" s="674"/>
      <c r="I118" s="670"/>
    </row>
    <row r="119" spans="2:9" ht="15.75" customHeight="1">
      <c r="B119" s="678"/>
      <c r="C119" s="677" t="s">
        <v>630</v>
      </c>
      <c r="D119" s="663">
        <f>D117/((1+D42)^D105)</f>
        <v>3058592.5794843067</v>
      </c>
      <c r="E119" s="675"/>
      <c r="F119" s="675"/>
      <c r="G119" s="675"/>
      <c r="H119" s="674"/>
      <c r="I119" s="670"/>
    </row>
    <row r="120" spans="2:9" ht="15.75" customHeight="1">
      <c r="B120" s="678"/>
      <c r="C120" s="677"/>
      <c r="D120" s="675"/>
      <c r="E120" s="663"/>
      <c r="F120" s="675"/>
      <c r="G120" s="675"/>
      <c r="H120" s="674"/>
      <c r="I120" s="670"/>
    </row>
    <row r="121" spans="2:9" ht="15.75" customHeight="1">
      <c r="B121" s="678"/>
      <c r="C121" s="677" t="s">
        <v>631</v>
      </c>
      <c r="D121" s="675">
        <f>D105+D8</f>
        <v>50</v>
      </c>
      <c r="E121" s="683" t="s">
        <v>632</v>
      </c>
      <c r="F121" s="675"/>
      <c r="G121" s="675"/>
      <c r="H121" s="674"/>
      <c r="I121" s="670"/>
    </row>
    <row r="122" spans="2:9" ht="15.75" customHeight="1">
      <c r="B122" s="678"/>
      <c r="C122" s="677" t="s">
        <v>633</v>
      </c>
      <c r="D122" s="680"/>
      <c r="E122" s="35">
        <f>((1+D42)^D121)-1</f>
        <v>18.085187828805736</v>
      </c>
      <c r="F122" s="675"/>
      <c r="G122" s="675"/>
      <c r="H122" s="674"/>
      <c r="I122" s="670"/>
    </row>
    <row r="123" spans="2:9" ht="15.75" customHeight="1">
      <c r="B123" s="678"/>
      <c r="C123" s="677" t="s">
        <v>634</v>
      </c>
      <c r="D123" s="680"/>
      <c r="E123" s="35"/>
      <c r="F123" s="675"/>
      <c r="G123" s="675"/>
      <c r="H123" s="674"/>
      <c r="I123" s="670"/>
    </row>
    <row r="124" spans="2:9" ht="15.75" customHeight="1">
      <c r="B124" s="678"/>
      <c r="C124" s="677" t="s">
        <v>635</v>
      </c>
      <c r="D124" s="680"/>
      <c r="E124" s="35">
        <f>((1+E64)^D121)-1</f>
        <v>23.302412791476304</v>
      </c>
      <c r="F124" s="675"/>
      <c r="G124" s="675"/>
      <c r="H124" s="674"/>
      <c r="I124" s="670"/>
    </row>
    <row r="125" spans="2:9" ht="15.75" customHeight="1">
      <c r="B125" s="678"/>
      <c r="C125" s="677" t="s">
        <v>858</v>
      </c>
      <c r="D125" s="682">
        <f>$D$68+$D$68/E124</f>
        <v>-169473.52679545013</v>
      </c>
      <c r="E125" s="35"/>
      <c r="F125" s="675"/>
      <c r="G125" s="675"/>
      <c r="H125" s="674"/>
      <c r="I125" s="670"/>
    </row>
    <row r="126" spans="2:9" ht="15.75" customHeight="1">
      <c r="B126" s="678"/>
      <c r="C126" s="677"/>
      <c r="D126" s="680"/>
      <c r="E126" s="675"/>
      <c r="F126" s="675"/>
      <c r="G126" s="675"/>
      <c r="H126" s="674"/>
      <c r="I126" s="670"/>
    </row>
    <row r="127" spans="2:9" ht="15.75" customHeight="1">
      <c r="B127" s="678"/>
      <c r="C127" s="677" t="s">
        <v>637</v>
      </c>
      <c r="D127" s="681">
        <f>D44/E122</f>
        <v>276469.34316248004</v>
      </c>
      <c r="E127" s="663"/>
      <c r="F127" s="675"/>
      <c r="G127" s="675"/>
      <c r="H127" s="674"/>
      <c r="I127" s="670"/>
    </row>
    <row r="128" spans="2:9" ht="15.75" customHeight="1">
      <c r="B128" s="678"/>
      <c r="C128" s="677" t="s">
        <v>638</v>
      </c>
      <c r="D128" s="681">
        <f>(D117/E122)/((1+D42)^D105)</f>
        <v>169121.41629033233</v>
      </c>
      <c r="E128" s="675"/>
      <c r="F128" s="675"/>
      <c r="G128" s="675"/>
      <c r="H128" s="674"/>
      <c r="I128" s="670"/>
    </row>
    <row r="129" spans="2:9" ht="15.75" customHeight="1">
      <c r="B129" s="678"/>
      <c r="C129" s="677" t="s">
        <v>639</v>
      </c>
      <c r="D129" s="681">
        <f>D125/((1+$E$64)^D105)</f>
        <v>-24986.89152054748</v>
      </c>
      <c r="E129" s="675"/>
      <c r="F129" s="675"/>
      <c r="G129" s="675"/>
      <c r="H129" s="674"/>
      <c r="I129" s="670"/>
    </row>
    <row r="130" spans="2:9" ht="15.75" customHeight="1">
      <c r="B130" s="678"/>
      <c r="C130" s="677"/>
      <c r="D130" s="680"/>
      <c r="E130" s="675"/>
      <c r="F130" s="675"/>
      <c r="G130" s="675"/>
      <c r="H130" s="674"/>
      <c r="I130" s="670"/>
    </row>
    <row r="131" spans="2:9" ht="15.75" customHeight="1">
      <c r="B131" s="678"/>
      <c r="C131" s="677" t="s">
        <v>640</v>
      </c>
      <c r="D131" s="679">
        <f>D119+D127+D128+D129</f>
        <v>3479196.4474165719</v>
      </c>
      <c r="E131" s="675"/>
      <c r="F131" s="675"/>
      <c r="G131" s="675"/>
      <c r="H131" s="674"/>
      <c r="I131" s="670"/>
    </row>
    <row r="132" spans="2:9" ht="15.75" customHeight="1">
      <c r="B132" s="678"/>
      <c r="C132" s="677"/>
      <c r="D132" s="676"/>
      <c r="E132" s="675"/>
      <c r="F132" s="675"/>
      <c r="G132" s="675"/>
      <c r="H132" s="674"/>
      <c r="I132" s="670"/>
    </row>
    <row r="133" spans="2:9" ht="15.75" customHeight="1">
      <c r="B133" s="678"/>
      <c r="C133" s="689" t="s">
        <v>620</v>
      </c>
      <c r="D133" s="688">
        <f>C18</f>
        <v>35</v>
      </c>
      <c r="E133" s="687" t="s">
        <v>621</v>
      </c>
      <c r="F133" s="675"/>
      <c r="G133" s="675"/>
      <c r="H133" s="674"/>
      <c r="I133" s="670"/>
    </row>
    <row r="134" spans="2:9" ht="15.75" customHeight="1">
      <c r="B134" s="678"/>
      <c r="C134" s="677"/>
      <c r="D134" s="680"/>
      <c r="E134" s="686"/>
      <c r="F134" s="675"/>
      <c r="G134" s="675"/>
      <c r="H134" s="674"/>
      <c r="I134" s="670"/>
    </row>
    <row r="135" spans="2:9" ht="15.75" customHeight="1">
      <c r="B135" s="678"/>
      <c r="C135" s="677" t="s">
        <v>582</v>
      </c>
      <c r="D135" s="663">
        <f>(((E18*D18*D9)+(F18*D18*D10)+(G18*D18*D11))*D7)*(1-D20)</f>
        <v>52057862.500000007</v>
      </c>
      <c r="E135" s="686"/>
      <c r="F135" s="675"/>
      <c r="G135" s="675"/>
      <c r="H135" s="674"/>
      <c r="I135" s="670"/>
    </row>
    <row r="136" spans="2:9" ht="15.75" customHeight="1">
      <c r="B136" s="678"/>
      <c r="C136" s="677" t="s">
        <v>622</v>
      </c>
      <c r="D136" s="675">
        <f>D21*D18*D7</f>
        <v>12670000</v>
      </c>
      <c r="E136" s="686"/>
      <c r="F136" s="675"/>
      <c r="G136" s="675"/>
      <c r="H136" s="674"/>
      <c r="I136" s="670"/>
    </row>
    <row r="137" spans="2:9" ht="15.75" customHeight="1">
      <c r="B137" s="678"/>
      <c r="C137" s="685" t="s">
        <v>623</v>
      </c>
      <c r="D137" s="675">
        <f>D22*D18*D7</f>
        <v>4525000.0000000009</v>
      </c>
      <c r="E137" s="682"/>
      <c r="F137" s="675"/>
      <c r="G137" s="675"/>
      <c r="H137" s="674"/>
      <c r="I137" s="670"/>
    </row>
    <row r="138" spans="2:9" ht="15.75" customHeight="1">
      <c r="B138" s="678"/>
      <c r="C138" s="685" t="s">
        <v>624</v>
      </c>
      <c r="D138" s="675">
        <f>D24*D18*D7</f>
        <v>1629000</v>
      </c>
      <c r="E138" s="619"/>
      <c r="F138" s="675"/>
      <c r="G138" s="675"/>
      <c r="H138" s="674"/>
      <c r="I138" s="670"/>
    </row>
    <row r="139" spans="2:9" ht="15.75" customHeight="1">
      <c r="B139" s="678"/>
      <c r="C139" s="685" t="s">
        <v>625</v>
      </c>
      <c r="D139" s="675">
        <f>$D$26*$D$7</f>
        <v>750000</v>
      </c>
      <c r="E139" s="675"/>
      <c r="F139" s="675"/>
      <c r="G139" s="675"/>
      <c r="H139" s="674"/>
      <c r="I139" s="670"/>
    </row>
    <row r="140" spans="2:9" ht="15.75" customHeight="1">
      <c r="B140" s="678"/>
      <c r="C140" s="685" t="s">
        <v>626</v>
      </c>
      <c r="D140" s="675">
        <f>$D$27*$D$7</f>
        <v>1500000</v>
      </c>
      <c r="E140" s="675"/>
      <c r="F140" s="675"/>
      <c r="G140" s="675"/>
      <c r="H140" s="674"/>
      <c r="I140" s="670"/>
    </row>
    <row r="141" spans="2:9" ht="15.75" customHeight="1">
      <c r="B141" s="678"/>
      <c r="C141" s="685" t="s">
        <v>627</v>
      </c>
      <c r="D141" s="675">
        <f>$D$28*$D$7</f>
        <v>725000</v>
      </c>
      <c r="E141" s="675"/>
      <c r="F141" s="675"/>
      <c r="G141" s="675"/>
      <c r="H141" s="674"/>
      <c r="I141" s="670"/>
    </row>
    <row r="142" spans="2:9" ht="15.75" customHeight="1">
      <c r="B142" s="678"/>
      <c r="C142" s="685" t="s">
        <v>628</v>
      </c>
      <c r="D142" s="684">
        <f>$D$29*$D$7</f>
        <v>1125000</v>
      </c>
      <c r="E142" s="675"/>
      <c r="F142" s="675"/>
      <c r="G142" s="675"/>
      <c r="H142" s="674"/>
      <c r="I142" s="670"/>
    </row>
    <row r="143" spans="2:9" ht="15.75" customHeight="1">
      <c r="B143" s="678"/>
      <c r="C143" s="677" t="s">
        <v>202</v>
      </c>
      <c r="D143" s="663">
        <f>D135-D136-D137-D138-D139-D140-D141-D142</f>
        <v>29133862.500000007</v>
      </c>
      <c r="E143" s="663"/>
      <c r="F143" s="675"/>
      <c r="G143" s="675"/>
      <c r="H143" s="674"/>
      <c r="I143" s="670"/>
    </row>
    <row r="144" spans="2:9" ht="15.75" customHeight="1">
      <c r="B144" s="678"/>
      <c r="C144" s="677" t="s">
        <v>391</v>
      </c>
      <c r="D144" s="684">
        <f>D143*$D$33</f>
        <v>10196851.875000002</v>
      </c>
      <c r="E144" s="675"/>
      <c r="F144" s="675"/>
      <c r="G144" s="675"/>
      <c r="H144" s="674"/>
      <c r="I144" s="670"/>
    </row>
    <row r="145" spans="2:9" ht="15.75" customHeight="1">
      <c r="B145" s="678"/>
      <c r="C145" s="677" t="s">
        <v>629</v>
      </c>
      <c r="D145" s="663">
        <f>D143-D144</f>
        <v>18937010.625000007</v>
      </c>
      <c r="E145" s="663"/>
      <c r="F145" s="675"/>
      <c r="G145" s="675"/>
      <c r="H145" s="674"/>
      <c r="I145" s="670"/>
    </row>
    <row r="146" spans="2:9" ht="15.75" customHeight="1">
      <c r="B146" s="678"/>
      <c r="C146" s="677"/>
      <c r="D146" s="675"/>
      <c r="E146" s="675"/>
      <c r="F146" s="675"/>
      <c r="G146" s="675"/>
      <c r="H146" s="674"/>
      <c r="I146" s="670"/>
    </row>
    <row r="147" spans="2:9" ht="15.75" customHeight="1">
      <c r="B147" s="678"/>
      <c r="C147" s="677" t="s">
        <v>630</v>
      </c>
      <c r="D147" s="663">
        <f>D145/((1+D42)^D133)</f>
        <v>2403388.1521414523</v>
      </c>
      <c r="E147" s="675"/>
      <c r="F147" s="675"/>
      <c r="G147" s="675"/>
      <c r="H147" s="674"/>
      <c r="I147" s="670"/>
    </row>
    <row r="148" spans="2:9" ht="15.75" customHeight="1">
      <c r="B148" s="678"/>
      <c r="C148" s="677"/>
      <c r="D148" s="675"/>
      <c r="E148" s="663"/>
      <c r="F148" s="675"/>
      <c r="G148" s="675"/>
      <c r="H148" s="674"/>
      <c r="I148" s="670"/>
    </row>
    <row r="149" spans="2:9" ht="15.75" customHeight="1">
      <c r="B149" s="678"/>
      <c r="C149" s="677" t="s">
        <v>631</v>
      </c>
      <c r="D149" s="675">
        <f>D133+D8</f>
        <v>55</v>
      </c>
      <c r="E149" s="683" t="s">
        <v>632</v>
      </c>
      <c r="F149" s="675"/>
      <c r="G149" s="675"/>
      <c r="H149" s="674"/>
      <c r="I149" s="670"/>
    </row>
    <row r="150" spans="2:9" ht="15.75" customHeight="1">
      <c r="B150" s="678"/>
      <c r="C150" s="677" t="s">
        <v>633</v>
      </c>
      <c r="D150" s="680"/>
      <c r="E150" s="35">
        <f>((1+D42)^D149)-1</f>
        <v>24.631031378497898</v>
      </c>
      <c r="F150" s="675"/>
      <c r="G150" s="675"/>
      <c r="H150" s="674"/>
      <c r="I150" s="670"/>
    </row>
    <row r="151" spans="2:9" ht="15.75" customHeight="1">
      <c r="B151" s="678"/>
      <c r="C151" s="677" t="s">
        <v>634</v>
      </c>
      <c r="D151" s="680"/>
      <c r="E151" s="35"/>
      <c r="F151" s="675"/>
      <c r="G151" s="675"/>
      <c r="H151" s="674"/>
      <c r="I151" s="670"/>
    </row>
    <row r="152" spans="2:9" ht="15.75" customHeight="1">
      <c r="B152" s="678"/>
      <c r="C152" s="677" t="s">
        <v>635</v>
      </c>
      <c r="D152" s="680"/>
      <c r="E152" s="35">
        <f>((1+E64)^D149)-1</f>
        <v>32.436001241664471</v>
      </c>
      <c r="F152" s="675"/>
      <c r="G152" s="675"/>
      <c r="H152" s="674"/>
      <c r="I152" s="670"/>
    </row>
    <row r="153" spans="2:9" ht="15.75" customHeight="1">
      <c r="B153" s="678"/>
      <c r="C153" s="677" t="s">
        <v>858</v>
      </c>
      <c r="D153" s="682">
        <f>$D$68+$D$68/E152</f>
        <v>-167509.86538967284</v>
      </c>
      <c r="E153" s="35"/>
      <c r="F153" s="675"/>
      <c r="G153" s="675"/>
      <c r="H153" s="674"/>
      <c r="I153" s="670"/>
    </row>
    <row r="154" spans="2:9" ht="15.75" customHeight="1">
      <c r="B154" s="678"/>
      <c r="C154" s="677"/>
      <c r="D154" s="680"/>
      <c r="E154" s="675"/>
      <c r="F154" s="675"/>
      <c r="G154" s="675"/>
      <c r="H154" s="674"/>
      <c r="I154" s="670"/>
    </row>
    <row r="155" spans="2:9" ht="15.75" customHeight="1">
      <c r="B155" s="678"/>
      <c r="C155" s="677" t="s">
        <v>637</v>
      </c>
      <c r="D155" s="681">
        <f>D44/E150</f>
        <v>202995.96566487427</v>
      </c>
      <c r="E155" s="663"/>
      <c r="F155" s="675"/>
      <c r="G155" s="675"/>
      <c r="H155" s="674"/>
      <c r="I155" s="670"/>
    </row>
    <row r="156" spans="2:9" ht="15.75" customHeight="1">
      <c r="B156" s="678"/>
      <c r="C156" s="677" t="s">
        <v>638</v>
      </c>
      <c r="D156" s="681">
        <f>(D145/E150)/((1+D42)^D133)</f>
        <v>97575.619762294373</v>
      </c>
      <c r="E156" s="675"/>
      <c r="F156" s="675"/>
      <c r="G156" s="675"/>
      <c r="H156" s="674"/>
      <c r="I156" s="670"/>
    </row>
    <row r="157" spans="2:9" ht="15.75" customHeight="1">
      <c r="B157" s="678"/>
      <c r="C157" s="677" t="s">
        <v>639</v>
      </c>
      <c r="D157" s="681">
        <f>D153/((1+$E$64)^D133)</f>
        <v>-17950.882917087896</v>
      </c>
      <c r="E157" s="675"/>
      <c r="F157" s="675"/>
      <c r="G157" s="675"/>
      <c r="H157" s="674"/>
      <c r="I157" s="670"/>
    </row>
    <row r="158" spans="2:9" ht="15.75" customHeight="1">
      <c r="B158" s="678"/>
      <c r="C158" s="677"/>
      <c r="D158" s="680"/>
      <c r="E158" s="675"/>
      <c r="F158" s="675"/>
      <c r="G158" s="675"/>
      <c r="H158" s="674"/>
      <c r="I158" s="670"/>
    </row>
    <row r="159" spans="2:9" ht="15.75" customHeight="1">
      <c r="B159" s="678"/>
      <c r="C159" s="677" t="s">
        <v>640</v>
      </c>
      <c r="D159" s="679">
        <f>D147+D155+D156+D157</f>
        <v>2686008.8546515331</v>
      </c>
      <c r="E159" s="675"/>
      <c r="F159" s="675"/>
      <c r="G159" s="675"/>
      <c r="H159" s="674"/>
      <c r="I159" s="670"/>
    </row>
    <row r="160" spans="2:9" ht="15.75" customHeight="1">
      <c r="B160" s="678"/>
      <c r="C160" s="677"/>
      <c r="D160" s="676"/>
      <c r="E160" s="675"/>
      <c r="F160" s="675"/>
      <c r="G160" s="675"/>
      <c r="H160" s="674"/>
      <c r="I160" s="670"/>
    </row>
    <row r="161" spans="2:9" ht="15.75" customHeight="1" thickBot="1">
      <c r="B161" s="673"/>
      <c r="C161" s="672"/>
      <c r="D161" s="672"/>
      <c r="E161" s="672"/>
      <c r="F161" s="672"/>
      <c r="G161" s="672"/>
      <c r="H161" s="671"/>
      <c r="I161" s="670"/>
    </row>
    <row r="162" spans="2:9" ht="15.75" customHeight="1">
      <c r="B162" s="631"/>
      <c r="C162" s="631"/>
      <c r="D162" s="631"/>
      <c r="E162" s="631"/>
      <c r="F162" s="631"/>
      <c r="G162" s="631"/>
    </row>
    <row r="163" spans="2:9" ht="15.75" customHeight="1"/>
    <row r="164" spans="2:9" ht="15.75" customHeight="1">
      <c r="D164" s="669"/>
    </row>
    <row r="165" spans="2:9" ht="15.75" customHeight="1"/>
    <row r="166" spans="2:9" ht="15.75" customHeight="1"/>
    <row r="167" spans="2:9" ht="15.75" customHeight="1"/>
    <row r="168" spans="2:9" ht="15.75" customHeight="1"/>
    <row r="169" spans="2:9" ht="15.75" customHeight="1"/>
    <row r="170" spans="2:9" ht="15.75" customHeight="1"/>
    <row r="171" spans="2:9" ht="15.75" customHeight="1"/>
    <row r="172" spans="2:9" ht="15.75" customHeight="1"/>
  </sheetData>
  <phoneticPr fontId="53" type="noConversion"/>
  <pageMargins left="0.75" right="0.75" top="1" bottom="1" header="0.5" footer="0.5"/>
  <pageSetup scale="64" orientation="portrait" horizontalDpi="360" verticalDpi="360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>
  <sheetPr codeName="Sheet11211121"/>
  <dimension ref="B1:J49"/>
  <sheetViews>
    <sheetView workbookViewId="0"/>
  </sheetViews>
  <sheetFormatPr defaultRowHeight="12.75"/>
  <cols>
    <col min="1" max="1" width="9.140625" style="439"/>
    <col min="2" max="2" width="3.140625" style="439" customWidth="1"/>
    <col min="3" max="3" width="31" style="439" customWidth="1"/>
    <col min="4" max="4" width="18.28515625" style="439" bestFit="1" customWidth="1"/>
    <col min="5" max="5" width="3.140625" style="439" customWidth="1"/>
    <col min="6" max="6" width="17" style="439" customWidth="1"/>
    <col min="7" max="7" width="3.140625" style="439" customWidth="1"/>
    <col min="8" max="16384" width="9.140625" style="439"/>
  </cols>
  <sheetData>
    <row r="1" spans="2:10" ht="18">
      <c r="C1" s="777" t="s">
        <v>778</v>
      </c>
      <c r="D1" s="777"/>
      <c r="E1" s="777"/>
      <c r="F1" s="777"/>
      <c r="G1" s="777"/>
      <c r="H1" s="777"/>
      <c r="I1" s="777"/>
    </row>
    <row r="2" spans="2:10" ht="18">
      <c r="C2" s="777" t="s">
        <v>751</v>
      </c>
      <c r="D2" s="777"/>
      <c r="E2" s="777"/>
      <c r="F2" s="777"/>
      <c r="G2" s="777"/>
      <c r="H2" s="777"/>
      <c r="I2" s="777"/>
      <c r="J2" s="528"/>
    </row>
    <row r="4" spans="2:10" ht="15">
      <c r="C4" s="441" t="s">
        <v>34</v>
      </c>
      <c r="D4" s="440"/>
      <c r="E4" s="440"/>
      <c r="F4" s="440"/>
      <c r="G4" s="440"/>
    </row>
    <row r="5" spans="2:10" s="440" customFormat="1" ht="15.75" thickBot="1">
      <c r="C5" s="443"/>
      <c r="D5" s="530"/>
      <c r="E5" s="530"/>
      <c r="F5" s="530"/>
    </row>
    <row r="6" spans="2:10" s="440" customFormat="1" ht="15">
      <c r="B6" s="531"/>
      <c r="C6" s="446"/>
      <c r="D6" s="532"/>
      <c r="E6" s="448"/>
      <c r="F6" s="533"/>
      <c r="G6" s="533"/>
    </row>
    <row r="7" spans="2:10" s="440" customFormat="1" ht="15">
      <c r="B7" s="534"/>
      <c r="C7" s="450" t="s">
        <v>720</v>
      </c>
      <c r="D7" s="535">
        <v>20</v>
      </c>
      <c r="E7" s="536"/>
      <c r="F7" s="533"/>
      <c r="G7" s="533"/>
    </row>
    <row r="8" spans="2:10" s="440" customFormat="1" ht="15">
      <c r="B8" s="534"/>
      <c r="C8" s="450" t="s">
        <v>332</v>
      </c>
      <c r="D8" s="22">
        <v>6.5000000000000002E-2</v>
      </c>
      <c r="E8" s="537"/>
      <c r="F8" s="533"/>
      <c r="G8" s="533"/>
    </row>
    <row r="9" spans="2:10" s="440" customFormat="1" ht="15">
      <c r="B9" s="534"/>
      <c r="C9" s="450" t="s">
        <v>752</v>
      </c>
      <c r="D9" s="317">
        <v>50000000</v>
      </c>
      <c r="E9" s="538"/>
      <c r="F9" s="533"/>
      <c r="G9" s="533"/>
    </row>
    <row r="10" spans="2:10" s="440" customFormat="1" ht="15">
      <c r="B10" s="534"/>
      <c r="C10" s="450" t="s">
        <v>753</v>
      </c>
      <c r="D10" s="539">
        <v>1000</v>
      </c>
      <c r="E10" s="540"/>
      <c r="F10" s="533"/>
      <c r="G10" s="533"/>
    </row>
    <row r="11" spans="2:10" s="440" customFormat="1" ht="15">
      <c r="B11" s="534"/>
      <c r="C11" s="450"/>
      <c r="D11" s="541"/>
      <c r="E11" s="540"/>
      <c r="F11" s="533"/>
      <c r="G11" s="533"/>
    </row>
    <row r="12" spans="2:10" s="440" customFormat="1" ht="15">
      <c r="B12" s="534"/>
      <c r="C12" s="450" t="s">
        <v>754</v>
      </c>
      <c r="D12" s="22">
        <v>6.5000000000000002E-2</v>
      </c>
      <c r="E12" s="537"/>
      <c r="F12" s="533"/>
      <c r="G12" s="533"/>
    </row>
    <row r="13" spans="2:10" s="440" customFormat="1" ht="15">
      <c r="B13" s="534"/>
      <c r="C13" s="450" t="s">
        <v>49</v>
      </c>
      <c r="D13" s="48">
        <v>0.35</v>
      </c>
      <c r="E13" s="537"/>
      <c r="F13" s="533"/>
      <c r="G13" s="533"/>
    </row>
    <row r="14" spans="2:10" s="440" customFormat="1" ht="15">
      <c r="B14" s="534"/>
      <c r="C14" s="450"/>
      <c r="D14" s="48"/>
      <c r="E14" s="537"/>
      <c r="F14" s="533"/>
      <c r="G14" s="533"/>
    </row>
    <row r="15" spans="2:10" s="440" customFormat="1" ht="15">
      <c r="B15" s="534"/>
      <c r="C15" s="450" t="s">
        <v>755</v>
      </c>
      <c r="D15" s="429">
        <v>7</v>
      </c>
      <c r="E15" s="537"/>
      <c r="F15" s="533"/>
      <c r="G15" s="533"/>
    </row>
    <row r="16" spans="2:10" s="440" customFormat="1" ht="15">
      <c r="B16" s="534"/>
      <c r="C16" s="450" t="s">
        <v>756</v>
      </c>
      <c r="D16" s="22">
        <v>4.0000000000000001E-3</v>
      </c>
      <c r="E16" s="537"/>
      <c r="F16" s="533"/>
      <c r="G16" s="533"/>
    </row>
    <row r="17" spans="2:8" s="440" customFormat="1" ht="15">
      <c r="B17" s="534"/>
      <c r="C17" s="450" t="s">
        <v>757</v>
      </c>
      <c r="D17" s="22">
        <v>4.8000000000000001E-2</v>
      </c>
      <c r="E17" s="537"/>
      <c r="F17" s="533"/>
      <c r="G17" s="533"/>
    </row>
    <row r="18" spans="2:8" s="440" customFormat="1" ht="15">
      <c r="B18" s="534"/>
      <c r="C18" s="450" t="s">
        <v>757</v>
      </c>
      <c r="D18" s="22">
        <v>8.2000000000000003E-2</v>
      </c>
      <c r="E18" s="537"/>
      <c r="F18" s="533"/>
      <c r="G18" s="533"/>
    </row>
    <row r="19" spans="2:8" s="440" customFormat="1" ht="15" customHeight="1" thickBot="1">
      <c r="B19" s="542"/>
      <c r="C19" s="463"/>
      <c r="D19" s="463"/>
      <c r="E19" s="465"/>
      <c r="F19" s="533"/>
      <c r="G19" s="533"/>
    </row>
    <row r="20" spans="2:8" s="440" customFormat="1" ht="15"/>
    <row r="21" spans="2:8" s="440" customFormat="1" ht="15">
      <c r="C21" s="441" t="s">
        <v>51</v>
      </c>
    </row>
    <row r="22" spans="2:8" s="440" customFormat="1" ht="15.75" thickBot="1">
      <c r="C22" s="443"/>
      <c r="F22" s="530"/>
      <c r="G22" s="530"/>
    </row>
    <row r="23" spans="2:8" s="440" customFormat="1" ht="15">
      <c r="B23" s="543"/>
      <c r="C23" s="467"/>
      <c r="D23" s="467"/>
      <c r="E23" s="467"/>
      <c r="F23" s="467"/>
      <c r="G23" s="544"/>
      <c r="H23" s="530"/>
    </row>
    <row r="24" spans="2:8" s="440" customFormat="1" ht="15.75">
      <c r="B24" s="545" t="s">
        <v>111</v>
      </c>
      <c r="C24" s="482" t="s">
        <v>758</v>
      </c>
      <c r="D24" s="42">
        <f>D10</f>
        <v>1000</v>
      </c>
      <c r="E24" s="42"/>
      <c r="F24" s="42"/>
      <c r="G24" s="546"/>
      <c r="H24" s="530"/>
    </row>
    <row r="25" spans="2:8" s="440" customFormat="1" ht="15.75">
      <c r="B25" s="547"/>
      <c r="C25" s="475" t="s">
        <v>759</v>
      </c>
      <c r="D25" s="548">
        <f>D9/D10</f>
        <v>50000</v>
      </c>
      <c r="E25" s="549"/>
      <c r="F25" s="549"/>
      <c r="G25" s="550"/>
      <c r="H25" s="530"/>
    </row>
    <row r="26" spans="2:8" s="440" customFormat="1" ht="15.75">
      <c r="B26" s="547"/>
      <c r="C26" s="475"/>
      <c r="D26" s="549"/>
      <c r="E26" s="549"/>
      <c r="F26" s="549"/>
      <c r="G26" s="550"/>
      <c r="H26" s="530"/>
    </row>
    <row r="27" spans="2:8" s="440" customFormat="1" ht="15">
      <c r="B27" s="547"/>
      <c r="C27" s="475" t="s">
        <v>760</v>
      </c>
      <c r="D27" s="34">
        <f>ROUND(PV(D8/2,D7*2,0,-D10),2)</f>
        <v>278.23</v>
      </c>
      <c r="E27" s="34"/>
      <c r="F27" s="34"/>
      <c r="G27" s="550"/>
      <c r="H27" s="530"/>
    </row>
    <row r="28" spans="2:8" s="440" customFormat="1" ht="15.75">
      <c r="B28" s="547"/>
      <c r="C28" s="475" t="s">
        <v>761</v>
      </c>
      <c r="D28" s="548">
        <f>INT(D9/D27)</f>
        <v>179707</v>
      </c>
      <c r="E28" s="549"/>
      <c r="F28" s="549"/>
      <c r="G28" s="550"/>
      <c r="H28" s="530"/>
    </row>
    <row r="29" spans="2:8" s="440" customFormat="1" ht="15">
      <c r="B29" s="547"/>
      <c r="C29" s="475"/>
      <c r="D29" s="34"/>
      <c r="E29" s="34"/>
      <c r="F29" s="34"/>
      <c r="G29" s="550"/>
      <c r="H29" s="530"/>
    </row>
    <row r="30" spans="2:8" s="440" customFormat="1" ht="15.75">
      <c r="B30" s="545" t="s">
        <v>140</v>
      </c>
      <c r="C30" s="475" t="s">
        <v>762</v>
      </c>
      <c r="D30" s="398">
        <f>D9</f>
        <v>50000000</v>
      </c>
      <c r="E30" s="173"/>
      <c r="F30" s="173"/>
      <c r="G30" s="550"/>
      <c r="H30" s="530"/>
    </row>
    <row r="31" spans="2:8" s="440" customFormat="1" ht="15.75">
      <c r="B31" s="545"/>
      <c r="C31" s="475"/>
      <c r="D31" s="551"/>
      <c r="E31" s="551"/>
      <c r="F31" s="551"/>
      <c r="G31" s="550"/>
      <c r="H31" s="530"/>
    </row>
    <row r="32" spans="2:8" s="440" customFormat="1" ht="15.75">
      <c r="B32" s="545"/>
      <c r="C32" s="475" t="s">
        <v>763</v>
      </c>
      <c r="D32" s="398">
        <f>D28*D10</f>
        <v>179707000</v>
      </c>
      <c r="E32" s="173"/>
      <c r="F32" s="173"/>
      <c r="G32" s="550"/>
      <c r="H32" s="530"/>
    </row>
    <row r="33" spans="2:8" s="440" customFormat="1" ht="15.75">
      <c r="B33" s="545"/>
      <c r="C33" s="475"/>
      <c r="D33" s="552"/>
      <c r="E33" s="552"/>
      <c r="F33" s="552"/>
      <c r="G33" s="550"/>
      <c r="H33" s="530"/>
    </row>
    <row r="34" spans="2:8" s="440" customFormat="1" ht="15.75">
      <c r="B34" s="545" t="s">
        <v>250</v>
      </c>
      <c r="C34" s="471" t="s">
        <v>764</v>
      </c>
      <c r="D34" s="553"/>
      <c r="E34" s="553"/>
      <c r="F34" s="553"/>
      <c r="G34" s="550"/>
    </row>
    <row r="35" spans="2:8" s="440" customFormat="1" ht="15.75">
      <c r="B35" s="545"/>
      <c r="C35" s="475" t="s">
        <v>765</v>
      </c>
      <c r="D35" s="42">
        <f>(D12*D10)*D25</f>
        <v>3250000</v>
      </c>
      <c r="E35" s="553"/>
      <c r="F35" s="553"/>
      <c r="G35" s="550"/>
    </row>
    <row r="36" spans="2:8" s="440" customFormat="1" ht="15.75">
      <c r="B36" s="545"/>
      <c r="C36" s="475" t="s">
        <v>766</v>
      </c>
      <c r="D36" s="554">
        <f>D35*(1-D13)</f>
        <v>2112500</v>
      </c>
      <c r="E36" s="555"/>
      <c r="F36" s="556" t="str">
        <f>IF(D36&gt;0,"Cash outflow","Cash inflow")</f>
        <v>Cash outflow</v>
      </c>
      <c r="G36" s="550"/>
    </row>
    <row r="37" spans="2:8" s="440" customFormat="1" ht="15.75">
      <c r="B37" s="545"/>
      <c r="C37" s="475"/>
      <c r="D37" s="173"/>
      <c r="E37" s="552"/>
      <c r="F37" s="552"/>
      <c r="G37" s="550"/>
    </row>
    <row r="38" spans="2:8" s="440" customFormat="1" ht="15.75">
      <c r="B38" s="545"/>
      <c r="C38" s="475" t="s">
        <v>767</v>
      </c>
      <c r="D38" s="34">
        <f>PV(D8/2,(D7-1)*2,0,-D10)</f>
        <v>296.60448072922571</v>
      </c>
      <c r="E38" s="552"/>
      <c r="F38" s="552"/>
      <c r="G38" s="550"/>
    </row>
    <row r="39" spans="2:8" s="440" customFormat="1" ht="15.75">
      <c r="B39" s="545"/>
      <c r="C39" s="475" t="s">
        <v>721</v>
      </c>
      <c r="D39" s="557">
        <f>D38-D27</f>
        <v>18.374480729225695</v>
      </c>
      <c r="E39" s="552"/>
      <c r="F39" s="552"/>
      <c r="G39" s="550"/>
    </row>
    <row r="40" spans="2:8" s="440" customFormat="1" ht="15.75">
      <c r="B40" s="545"/>
      <c r="C40" s="482" t="s">
        <v>768</v>
      </c>
      <c r="D40" s="558">
        <f>-D28*D39*D13</f>
        <v>-1155707.9829424366</v>
      </c>
      <c r="E40" s="559"/>
      <c r="F40" s="556" t="str">
        <f>IF(D40&gt;0,"Cash outflow","Cash inflow")</f>
        <v>Cash inflow</v>
      </c>
      <c r="G40" s="560"/>
    </row>
    <row r="41" spans="2:8" s="440" customFormat="1" ht="15.75">
      <c r="B41" s="545"/>
      <c r="C41" s="482"/>
      <c r="D41" s="561"/>
      <c r="E41" s="561"/>
      <c r="F41" s="561"/>
      <c r="G41" s="560"/>
    </row>
    <row r="42" spans="2:8" s="440" customFormat="1" ht="15.75">
      <c r="B42" s="545"/>
      <c r="C42" s="482" t="s">
        <v>769</v>
      </c>
      <c r="D42" s="561"/>
      <c r="E42" s="561"/>
      <c r="F42" s="561"/>
      <c r="G42" s="560"/>
    </row>
    <row r="43" spans="2:8" s="440" customFormat="1" ht="15.75">
      <c r="B43" s="545"/>
      <c r="C43" s="482" t="s">
        <v>770</v>
      </c>
      <c r="D43" s="561"/>
      <c r="E43" s="561"/>
      <c r="F43" s="561"/>
      <c r="G43" s="560"/>
    </row>
    <row r="44" spans="2:8" s="440" customFormat="1" ht="15.75">
      <c r="B44" s="545"/>
      <c r="C44" s="482"/>
      <c r="D44" s="561"/>
      <c r="E44" s="561"/>
      <c r="F44" s="561"/>
      <c r="G44" s="560"/>
      <c r="H44" s="530"/>
    </row>
    <row r="45" spans="2:8" s="440" customFormat="1" ht="15.75">
      <c r="B45" s="545" t="s">
        <v>276</v>
      </c>
      <c r="C45" s="482" t="s">
        <v>771</v>
      </c>
      <c r="D45" s="172">
        <f>-PV((D17+$D$16)/2,($D$7-$D$15)*2,$D$8*1000/2,1000)</f>
        <v>1121.7348632536352</v>
      </c>
      <c r="E45" s="561"/>
      <c r="F45" s="561"/>
      <c r="G45" s="560"/>
      <c r="H45" s="530"/>
    </row>
    <row r="46" spans="2:8" s="440" customFormat="1" ht="15.75">
      <c r="B46" s="547"/>
      <c r="C46" s="482"/>
      <c r="D46" s="551"/>
      <c r="E46" s="561"/>
      <c r="F46" s="561"/>
      <c r="G46" s="560"/>
      <c r="H46" s="530"/>
    </row>
    <row r="47" spans="2:8" s="440" customFormat="1" ht="15.75">
      <c r="B47" s="547"/>
      <c r="C47" s="482" t="s">
        <v>771</v>
      </c>
      <c r="D47" s="172">
        <f>-PV((D18+$D$16)/2,($D$7-$D$15)*2,$D$8*1000/2,1000)</f>
        <v>837.5340412571793</v>
      </c>
      <c r="E47" s="561"/>
      <c r="F47" s="561"/>
      <c r="G47" s="560"/>
      <c r="H47" s="530"/>
    </row>
    <row r="48" spans="2:8" s="440" customFormat="1" ht="15" customHeight="1" thickBot="1">
      <c r="B48" s="562"/>
      <c r="C48" s="492"/>
      <c r="D48" s="492"/>
      <c r="E48" s="492"/>
      <c r="F48" s="492"/>
      <c r="G48" s="563"/>
      <c r="H48" s="530"/>
    </row>
    <row r="49" spans="6:7" s="440" customFormat="1" ht="15">
      <c r="F49" s="530"/>
      <c r="G49" s="530"/>
    </row>
  </sheetData>
  <mergeCells count="2">
    <mergeCell ref="C1:I1"/>
    <mergeCell ref="C2:I2"/>
  </mergeCells>
  <phoneticPr fontId="53" type="noConversion"/>
  <pageMargins left="0.75" right="0.75" top="1" bottom="1" header="0.5" footer="0.5"/>
  <pageSetup orientation="portrait" horizont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37</vt:i4>
      </vt:variant>
    </vt:vector>
  </HeadingPairs>
  <TitlesOfParts>
    <vt:vector size="37" baseType="lpstr">
      <vt:lpstr>Case Solutions</vt:lpstr>
      <vt:lpstr>Chapter 2</vt:lpstr>
      <vt:lpstr>Chapter 3</vt:lpstr>
      <vt:lpstr>Chapter 4</vt:lpstr>
      <vt:lpstr>Chapter 5</vt:lpstr>
      <vt:lpstr>Chapter 6 Case #1</vt:lpstr>
      <vt:lpstr>Chapter 6 Case #2</vt:lpstr>
      <vt:lpstr>Chapter 7</vt:lpstr>
      <vt:lpstr>Chapter 8</vt:lpstr>
      <vt:lpstr>Chapter 9</vt:lpstr>
      <vt:lpstr>Chapter 10</vt:lpstr>
      <vt:lpstr>Chapter 11</vt:lpstr>
      <vt:lpstr>Chapter 11 Sharpe</vt:lpstr>
      <vt:lpstr>Chapter 12</vt:lpstr>
      <vt:lpstr>FMAGX</vt:lpstr>
      <vt:lpstr>FSLPX</vt:lpstr>
      <vt:lpstr>BSCFX</vt:lpstr>
      <vt:lpstr>Chapter 13</vt:lpstr>
      <vt:lpstr>Chapter 16</vt:lpstr>
      <vt:lpstr>Chapter 17</vt:lpstr>
      <vt:lpstr>Chapter 18</vt:lpstr>
      <vt:lpstr>Chapter 20</vt:lpstr>
      <vt:lpstr>Chapter 21</vt:lpstr>
      <vt:lpstr>Chapter 22</vt:lpstr>
      <vt:lpstr>$65 strike</vt:lpstr>
      <vt:lpstr>$70 strike</vt:lpstr>
      <vt:lpstr>$75 strike</vt:lpstr>
      <vt:lpstr>$80 strike</vt:lpstr>
      <vt:lpstr>Chapter 23</vt:lpstr>
      <vt:lpstr>Chapter 24</vt:lpstr>
      <vt:lpstr>Chapter 25</vt:lpstr>
      <vt:lpstr>Chapter 26</vt:lpstr>
      <vt:lpstr>Chapter 26 Answer Report</vt:lpstr>
      <vt:lpstr>Chapter 27</vt:lpstr>
      <vt:lpstr>Chapter 28</vt:lpstr>
      <vt:lpstr>Chapter 29</vt:lpstr>
      <vt:lpstr>Chapter 31</vt:lpstr>
    </vt:vector>
  </TitlesOfParts>
  <Company>Belmont University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Joe Smolira</dc:creator>
  <cp:lastModifiedBy>Faiyaz Ahmed</cp:lastModifiedBy>
  <cp:lastPrinted>2011-10-19T19:33:40Z</cp:lastPrinted>
  <dcterms:created xsi:type="dcterms:W3CDTF">2006-02-01T18:09:02Z</dcterms:created>
  <dcterms:modified xsi:type="dcterms:W3CDTF">2012-11-06T11:04:30Z</dcterms:modified>
</cp:coreProperties>
</file>