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8955"/>
  </bookViews>
  <sheets>
    <sheet name="Chapter 18" sheetId="1" r:id="rId1"/>
    <sheet name="#1" sheetId="2" r:id="rId2"/>
    <sheet name="#2" sheetId="3" r:id="rId3"/>
    <sheet name="#3" sheetId="6" r:id="rId4"/>
    <sheet name="#4" sheetId="7" r:id="rId5"/>
    <sheet name="#5" sheetId="8" r:id="rId6"/>
    <sheet name="#6" sheetId="9" r:id="rId7"/>
    <sheet name="#7" sheetId="11" r:id="rId8"/>
    <sheet name="#8" sheetId="10" r:id="rId9"/>
    <sheet name="#9" sheetId="12" r:id="rId10"/>
    <sheet name="#10" sheetId="4" r:id="rId11"/>
    <sheet name="#11" sheetId="5" r:id="rId12"/>
    <sheet name="#12" sheetId="18" r:id="rId13"/>
    <sheet name="#13" sheetId="13" r:id="rId14"/>
    <sheet name="#14" sheetId="19" r:id="rId15"/>
    <sheet name="#15" sheetId="14" r:id="rId16"/>
    <sheet name="#16" sheetId="15" r:id="rId17"/>
    <sheet name="#17" sheetId="16" r:id="rId18"/>
    <sheet name="#18" sheetId="17" r:id="rId19"/>
  </sheets>
  <calcPr calcId="114210"/>
</workbook>
</file>

<file path=xl/calcChain.xml><?xml version="1.0" encoding="utf-8"?>
<calcChain xmlns="http://schemas.openxmlformats.org/spreadsheetml/2006/main">
  <c r="D28" i="19"/>
  <c r="D36" i="13"/>
  <c r="D26" i="19"/>
  <c r="D27"/>
  <c r="D25"/>
  <c r="D19" i="3"/>
  <c r="D21"/>
  <c r="D28" i="17"/>
  <c r="D30"/>
  <c r="D22"/>
  <c r="D24"/>
  <c r="D26"/>
  <c r="D32"/>
  <c r="D34"/>
  <c r="D35"/>
  <c r="D36"/>
  <c r="D37"/>
  <c r="D38"/>
  <c r="D39"/>
  <c r="D28" i="18"/>
  <c r="D29"/>
  <c r="D25"/>
  <c r="D30"/>
  <c r="D42"/>
  <c r="D21"/>
  <c r="D23"/>
  <c r="D32" i="16"/>
  <c r="D31"/>
  <c r="D23"/>
  <c r="D17"/>
  <c r="D18"/>
  <c r="D19"/>
  <c r="D21"/>
  <c r="D26" i="15"/>
  <c r="D28"/>
  <c r="D29"/>
  <c r="D18"/>
  <c r="D19"/>
  <c r="D40" i="14"/>
  <c r="D41"/>
  <c r="D18"/>
  <c r="D20"/>
  <c r="D22"/>
  <c r="D24"/>
  <c r="D25" i="13"/>
  <c r="D26"/>
  <c r="D27"/>
  <c r="D30"/>
  <c r="D32"/>
  <c r="D36" i="12"/>
  <c r="D33"/>
  <c r="D37"/>
  <c r="D40"/>
  <c r="D34"/>
  <c r="E11"/>
  <c r="D27"/>
  <c r="D11"/>
  <c r="D22"/>
  <c r="D21" i="11"/>
  <c r="D19"/>
  <c r="D18" i="10"/>
  <c r="D20"/>
  <c r="D22"/>
  <c r="D19" i="9"/>
  <c r="D21"/>
  <c r="D23"/>
  <c r="D17"/>
  <c r="E22" i="8"/>
  <c r="E24"/>
  <c r="D22"/>
  <c r="D24"/>
  <c r="D28" i="7"/>
  <c r="D22"/>
  <c r="D30"/>
  <c r="D24"/>
  <c r="D20" i="6"/>
  <c r="D21"/>
  <c r="D22"/>
  <c r="D23"/>
  <c r="D7" i="5"/>
  <c r="D12"/>
  <c r="D10"/>
  <c r="D11"/>
  <c r="D9"/>
  <c r="D8"/>
  <c r="D14"/>
  <c r="D13"/>
  <c r="D15"/>
  <c r="D25"/>
  <c r="D26" i="4"/>
  <c r="D22"/>
  <c r="D24"/>
  <c r="D26" i="2"/>
  <c r="D22"/>
  <c r="D20"/>
  <c r="D21"/>
  <c r="D24"/>
  <c r="D28"/>
  <c r="D23" i="12"/>
  <c r="D21"/>
  <c r="D25"/>
  <c r="D28" i="4"/>
  <c r="D39" i="12"/>
  <c r="D42"/>
  <c r="D31" i="15"/>
  <c r="D39"/>
  <c r="D42" i="14"/>
  <c r="D43"/>
  <c r="D44"/>
  <c r="D26"/>
  <c r="D32"/>
  <c r="D34" i="18"/>
  <c r="D35"/>
  <c r="D31"/>
  <c r="D23" i="3"/>
  <c r="D29" i="19"/>
  <c r="D33" i="16"/>
  <c r="D20" i="15"/>
  <c r="D40"/>
  <c r="D41"/>
  <c r="D28" i="14"/>
  <c r="D30"/>
  <c r="D34"/>
  <c r="D36"/>
  <c r="D28" i="13"/>
  <c r="D34"/>
  <c r="D40" i="18"/>
  <c r="D41"/>
  <c r="D43"/>
  <c r="D36"/>
  <c r="D28" i="12"/>
  <c r="D23" i="11"/>
  <c r="D26" i="7"/>
  <c r="D32"/>
  <c r="D24" i="6"/>
  <c r="D25"/>
  <c r="D26"/>
  <c r="D28"/>
  <c r="D30" i="2"/>
  <c r="D21" i="5"/>
  <c r="D23"/>
  <c r="D27"/>
  <c r="D29"/>
  <c r="D21" i="15"/>
  <c r="D22"/>
  <c r="D33"/>
  <c r="D25" i="16"/>
  <c r="D27"/>
  <c r="D29"/>
  <c r="D41" i="17"/>
  <c r="D38" i="14"/>
  <c r="D46"/>
  <c r="D34" i="16"/>
  <c r="D35"/>
  <c r="D29" i="12"/>
  <c r="D30" i="19"/>
  <c r="D31"/>
  <c r="D33"/>
  <c r="D37" i="18"/>
  <c r="D45"/>
  <c r="D47"/>
  <c r="D37" i="16"/>
  <c r="D31" i="12"/>
  <c r="D24" i="15"/>
  <c r="D30" i="6"/>
  <c r="D32"/>
  <c r="D36" i="15"/>
  <c r="D35"/>
  <c r="D42"/>
  <c r="D43"/>
  <c r="D44"/>
  <c r="D45"/>
  <c r="D47"/>
</calcChain>
</file>

<file path=xl/sharedStrings.xml><?xml version="1.0" encoding="utf-8"?>
<sst xmlns="http://schemas.openxmlformats.org/spreadsheetml/2006/main" count="423" uniqueCount="204">
  <si>
    <t>Input boxes in tan</t>
  </si>
  <si>
    <t>Output boxes in yellow</t>
  </si>
  <si>
    <t>Given data in blue</t>
  </si>
  <si>
    <t>Calculations in red</t>
  </si>
  <si>
    <t>Answers in green</t>
  </si>
  <si>
    <t>Question 1</t>
  </si>
  <si>
    <t>Input Area:</t>
  </si>
  <si>
    <t>Output Area:</t>
  </si>
  <si>
    <t>Interest</t>
  </si>
  <si>
    <t>NI</t>
  </si>
  <si>
    <t>EBTD</t>
  </si>
  <si>
    <t>Years for project</t>
  </si>
  <si>
    <t>Tax rate</t>
  </si>
  <si>
    <t>Unlevered cost of equity</t>
  </si>
  <si>
    <t>Purchase price</t>
  </si>
  <si>
    <t>Debt issue amount</t>
  </si>
  <si>
    <t>Cost of debt</t>
  </si>
  <si>
    <t>a.</t>
  </si>
  <si>
    <t>PV of aftertax earnings</t>
  </si>
  <si>
    <t>Aftertax earnings</t>
  </si>
  <si>
    <t>Maximum price to pay</t>
  </si>
  <si>
    <t>b.</t>
  </si>
  <si>
    <t>NPV (All-equity)</t>
  </si>
  <si>
    <t>NPV (Financing effects)</t>
  </si>
  <si>
    <t>Price factor</t>
  </si>
  <si>
    <t>APV</t>
  </si>
  <si>
    <t>Question 2</t>
  </si>
  <si>
    <t>Investment</t>
  </si>
  <si>
    <t>Floatation costs</t>
  </si>
  <si>
    <t>Question 3</t>
  </si>
  <si>
    <t>Economic life</t>
  </si>
  <si>
    <t>EBITD</t>
  </si>
  <si>
    <t>Loan amount</t>
  </si>
  <si>
    <t>Loan life</t>
  </si>
  <si>
    <t>Loan interest rate</t>
  </si>
  <si>
    <t>Annual depreciation</t>
  </si>
  <si>
    <t>Question 4</t>
  </si>
  <si>
    <t>Gain from subsidized debt</t>
  </si>
  <si>
    <t>Question 5</t>
  </si>
  <si>
    <t>Debt-equity ratio</t>
  </si>
  <si>
    <t>Levered cost of equity</t>
  </si>
  <si>
    <t>Number of restaurants</t>
  </si>
  <si>
    <t>Annual sales/store</t>
  </si>
  <si>
    <t>Interest payments/store</t>
  </si>
  <si>
    <t>COGS/store</t>
  </si>
  <si>
    <t>Total G&amp;A costs</t>
  </si>
  <si>
    <t>Sales</t>
  </si>
  <si>
    <t>COGS</t>
  </si>
  <si>
    <t>Gen &amp; Admin costs</t>
  </si>
  <si>
    <t>EBT</t>
  </si>
  <si>
    <t>Taxes</t>
  </si>
  <si>
    <t>Value of equity</t>
  </si>
  <si>
    <t>Value of debt</t>
  </si>
  <si>
    <t>Value of company</t>
  </si>
  <si>
    <t>All-equity beta</t>
  </si>
  <si>
    <t>Target debt-equity</t>
  </si>
  <si>
    <t>Market expected return</t>
  </si>
  <si>
    <t>Risk-free rate</t>
  </si>
  <si>
    <t>Current date</t>
  </si>
  <si>
    <t>Bond maturity date</t>
  </si>
  <si>
    <t>Bond price</t>
  </si>
  <si>
    <t>Coupons per year</t>
  </si>
  <si>
    <t>Yield to maturity</t>
  </si>
  <si>
    <t>Coupon rate</t>
  </si>
  <si>
    <t>c.</t>
  </si>
  <si>
    <t>Debt-value ratio</t>
  </si>
  <si>
    <t>Equity-value ratio</t>
  </si>
  <si>
    <t>WACC</t>
  </si>
  <si>
    <t>Beta</t>
  </si>
  <si>
    <t>Debt</t>
  </si>
  <si>
    <t>Equity</t>
  </si>
  <si>
    <t>North Pole</t>
  </si>
  <si>
    <t>South Pole</t>
  </si>
  <si>
    <t>Unlevered beta</t>
  </si>
  <si>
    <t>Required return on equity</t>
  </si>
  <si>
    <t>Question 6</t>
  </si>
  <si>
    <t>Gross proceeds</t>
  </si>
  <si>
    <t>Pretax cost of debt</t>
  </si>
  <si>
    <t>NPV</t>
  </si>
  <si>
    <t>Project cost</t>
  </si>
  <si>
    <t>Depreciation tax shield</t>
  </si>
  <si>
    <t>Question 7</t>
  </si>
  <si>
    <t>Unlevered cash flows</t>
  </si>
  <si>
    <t>Cost of equity</t>
  </si>
  <si>
    <t>Debt-value</t>
  </si>
  <si>
    <t>Equity-value</t>
  </si>
  <si>
    <t>Question 8</t>
  </si>
  <si>
    <t>Project length</t>
  </si>
  <si>
    <t>Aftertax revenue minus</t>
  </si>
  <si>
    <t xml:space="preserve">  expenses</t>
  </si>
  <si>
    <t>Question 9</t>
  </si>
  <si>
    <t>Short-term debt</t>
  </si>
  <si>
    <t>Long-term debt</t>
  </si>
  <si>
    <t>Common stock</t>
  </si>
  <si>
    <t>Total</t>
  </si>
  <si>
    <t>Book value</t>
  </si>
  <si>
    <t>Market value</t>
  </si>
  <si>
    <t>Cost</t>
  </si>
  <si>
    <t>Target debt-equity ratio</t>
  </si>
  <si>
    <t>Target ST debt-LT debt</t>
  </si>
  <si>
    <t>Weight of equity</t>
  </si>
  <si>
    <t>Weight of short-term debt</t>
  </si>
  <si>
    <t>Weight of long-term debt</t>
  </si>
  <si>
    <t>Short-term debt/Total debt</t>
  </si>
  <si>
    <t>Long-term debt/Total debt</t>
  </si>
  <si>
    <t>Short-term debt/Value</t>
  </si>
  <si>
    <t>Long-term debt/Value</t>
  </si>
  <si>
    <t>Question 11</t>
  </si>
  <si>
    <t>Question 10</t>
  </si>
  <si>
    <t>NPV (Financing)</t>
  </si>
  <si>
    <t>Question 12</t>
  </si>
  <si>
    <t>Covariance of stock</t>
  </si>
  <si>
    <t xml:space="preserve">  return with market</t>
  </si>
  <si>
    <t>Std. deviation of market</t>
  </si>
  <si>
    <t>Market risk premium</t>
  </si>
  <si>
    <t>Bond value</t>
  </si>
  <si>
    <t>Bond YTM</t>
  </si>
  <si>
    <t>Shares outstanding</t>
  </si>
  <si>
    <t>Price per share</t>
  </si>
  <si>
    <t>Treasury bill rate</t>
  </si>
  <si>
    <t>Market value of equity</t>
  </si>
  <si>
    <t>Weight of debt</t>
  </si>
  <si>
    <t>Total market value of company</t>
  </si>
  <si>
    <t>Beta of stock</t>
  </si>
  <si>
    <t>Expected return on stock</t>
  </si>
  <si>
    <t>Question 13</t>
  </si>
  <si>
    <t>Earnings before tax</t>
  </si>
  <si>
    <t>Current return on equity</t>
  </si>
  <si>
    <t>Bond issue</t>
  </si>
  <si>
    <t>Share price</t>
  </si>
  <si>
    <t>New share price</t>
  </si>
  <si>
    <t>Value after announcement</t>
  </si>
  <si>
    <t>Shares repurchased</t>
  </si>
  <si>
    <t>Share price after recapitalization</t>
  </si>
  <si>
    <t>Value of equity after recapitalization</t>
  </si>
  <si>
    <t>Shares outstanding after recapitalization</t>
  </si>
  <si>
    <t>d.</t>
  </si>
  <si>
    <t>EBIT</t>
  </si>
  <si>
    <t>Net income</t>
  </si>
  <si>
    <t>Unlevered return on equity</t>
  </si>
  <si>
    <t>Variable costs</t>
  </si>
  <si>
    <t>Tax</t>
  </si>
  <si>
    <t>All-equity value</t>
  </si>
  <si>
    <t>Return on levered equity</t>
  </si>
  <si>
    <t>Levered company value</t>
  </si>
  <si>
    <t>FTE equity value</t>
  </si>
  <si>
    <t>Value unlevered</t>
  </si>
  <si>
    <t>Year 0 cash flow</t>
  </si>
  <si>
    <t>Year 1 cash flow</t>
  </si>
  <si>
    <t>Year 2 cash flow</t>
  </si>
  <si>
    <t>Year 3 cash flow</t>
  </si>
  <si>
    <t>Debt issue</t>
  </si>
  <si>
    <t>Debt interest rate</t>
  </si>
  <si>
    <t>NPV (Unlevered cash flows)</t>
  </si>
  <si>
    <t>Debt retired each year</t>
  </si>
  <si>
    <t>Year 1:</t>
  </si>
  <si>
    <t>Aftertax interest payment</t>
  </si>
  <si>
    <t>Principal repayment</t>
  </si>
  <si>
    <t>Total debt cash flow</t>
  </si>
  <si>
    <t>Year 2:</t>
  </si>
  <si>
    <t>Year 3:</t>
  </si>
  <si>
    <t>Company target B/S ratio</t>
  </si>
  <si>
    <t>Industry target B/S ratio</t>
  </si>
  <si>
    <t>Industry beta</t>
  </si>
  <si>
    <t>Project Year 1 cash flow</t>
  </si>
  <si>
    <t xml:space="preserve">Growth rate in cash flow for </t>
  </si>
  <si>
    <t xml:space="preserve">   years 1-5</t>
  </si>
  <si>
    <t>Industry cost of levered equity</t>
  </si>
  <si>
    <t>Industry cost of unlevered equity</t>
  </si>
  <si>
    <t>Company cost of levered equity</t>
  </si>
  <si>
    <t>Company target B/V</t>
  </si>
  <si>
    <t>Company target S/V</t>
  </si>
  <si>
    <t>Company WACC</t>
  </si>
  <si>
    <t>Year 4 cash flow</t>
  </si>
  <si>
    <t>Year 5 cash flow</t>
  </si>
  <si>
    <t>Year 6 cash flow</t>
  </si>
  <si>
    <t>Question 14</t>
  </si>
  <si>
    <t>Question 15</t>
  </si>
  <si>
    <t>Question 16</t>
  </si>
  <si>
    <t>Question 17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</si>
  <si>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</si>
  <si>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</si>
  <si>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</si>
  <si>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</si>
  <si>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18</t>
  </si>
  <si>
    <t>Revenues minus expenses</t>
  </si>
  <si>
    <t>Annual flotation costs</t>
  </si>
  <si>
    <t>Problems 1-18</t>
  </si>
  <si>
    <t>Question 18</t>
  </si>
  <si>
    <t>Investment amount</t>
  </si>
  <si>
    <t>Unlevered cash flow</t>
  </si>
  <si>
    <t>Debt-to-value ratio</t>
  </si>
  <si>
    <t>Competitors unlevered betas</t>
  </si>
  <si>
    <t xml:space="preserve"> Competitor 1</t>
  </si>
  <si>
    <t xml:space="preserve"> Competitor 2</t>
  </si>
  <si>
    <t xml:space="preserve"> Competitor 3</t>
  </si>
  <si>
    <t xml:space="preserve"> Competitor 4</t>
  </si>
  <si>
    <t>Industry average beta</t>
  </si>
  <si>
    <t>Required return</t>
  </si>
  <si>
    <t>Equity-to-value ratio</t>
  </si>
  <si>
    <t>Years for cash flows</t>
  </si>
  <si>
    <t>PV of future cash flows</t>
  </si>
  <si>
    <t>Levered beta for project</t>
  </si>
  <si>
    <t>Debt YTM</t>
  </si>
</sst>
</file>

<file path=xl/styles.xml><?xml version="1.0" encoding="utf-8"?>
<styleSheet xmlns="http://schemas.openxmlformats.org/spreadsheetml/2006/main">
  <numFmts count="1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??_);_(@_)"/>
    <numFmt numFmtId="166" formatCode="_(* #,##0.00_);_(* \(#,##0.00\);_(* &quot;-&quot;_);_(@_)"/>
    <numFmt numFmtId="167" formatCode="_(&quot;$&quot;* #,##0.00_);_(&quot;$&quot;* \(#,##0.00\);_(&quot;$&quot;* &quot;-&quot;_);_(@_)"/>
    <numFmt numFmtId="168" formatCode="_(* #,##0.0000_);_(* \(#,##0.0000\);_(* &quot;-&quot;??_);_(@_)"/>
    <numFmt numFmtId="169" formatCode="_(&quot;$&quot;* #,##0.0000_);_(&quot;$&quot;* \(#,##0.0000\);_(&quot;$&quot;* &quot;-&quot;????_);_(@_)"/>
    <numFmt numFmtId="170" formatCode="_(&quot;$&quot;* #,##0_);_(&quot;$&quot;* \(#,##0\);_(&quot;$&quot;* &quot;-&quot;????_);_(@_)"/>
    <numFmt numFmtId="171" formatCode="_(* #,##0.000_);_(* \(#,##0.000\);_(* &quot;-&quot;??_);_(@_)"/>
    <numFmt numFmtId="172" formatCode="0.0%"/>
  </numFmts>
  <fonts count="28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57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i/>
      <sz val="12"/>
      <color indexed="8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3" fillId="3" borderId="1" xfId="0" applyFont="1" applyFill="1" applyBorder="1"/>
    <xf numFmtId="0" fontId="6" fillId="3" borderId="2" xfId="0" applyFont="1" applyFill="1" applyBorder="1"/>
    <xf numFmtId="0" fontId="16" fillId="3" borderId="2" xfId="0" applyFont="1" applyFill="1" applyBorder="1"/>
    <xf numFmtId="0" fontId="13" fillId="3" borderId="3" xfId="0" applyFont="1" applyFill="1" applyBorder="1"/>
    <xf numFmtId="0" fontId="13" fillId="3" borderId="4" xfId="0" applyFont="1" applyFill="1" applyBorder="1"/>
    <xf numFmtId="0" fontId="6" fillId="3" borderId="0" xfId="0" applyFont="1" applyFill="1" applyBorder="1"/>
    <xf numFmtId="164" fontId="17" fillId="3" borderId="0" xfId="1" applyNumberFormat="1" applyFont="1" applyFill="1" applyBorder="1"/>
    <xf numFmtId="0" fontId="13" fillId="3" borderId="5" xfId="0" applyFont="1" applyFill="1" applyBorder="1"/>
    <xf numFmtId="9" fontId="17" fillId="3" borderId="0" xfId="2" applyFont="1" applyFill="1" applyBorder="1"/>
    <xf numFmtId="0" fontId="13" fillId="3" borderId="6" xfId="0" applyFont="1" applyFill="1" applyBorder="1"/>
    <xf numFmtId="0" fontId="6" fillId="3" borderId="7" xfId="0" applyFont="1" applyFill="1" applyBorder="1"/>
    <xf numFmtId="0" fontId="16" fillId="3" borderId="7" xfId="0" applyFont="1" applyFill="1" applyBorder="1"/>
    <xf numFmtId="0" fontId="13" fillId="3" borderId="8" xfId="0" applyFont="1" applyFill="1" applyBorder="1"/>
    <xf numFmtId="0" fontId="13" fillId="4" borderId="1" xfId="0" applyFont="1" applyFill="1" applyBorder="1"/>
    <xf numFmtId="0" fontId="13" fillId="4" borderId="2" xfId="0" applyFont="1" applyFill="1" applyBorder="1"/>
    <xf numFmtId="0" fontId="13" fillId="4" borderId="3" xfId="0" applyFont="1" applyFill="1" applyBorder="1"/>
    <xf numFmtId="0" fontId="13" fillId="4" borderId="4" xfId="0" applyFont="1" applyFill="1" applyBorder="1"/>
    <xf numFmtId="0" fontId="13" fillId="4" borderId="0" xfId="0" applyFont="1" applyFill="1" applyBorder="1"/>
    <xf numFmtId="0" fontId="13" fillId="4" borderId="5" xfId="0" applyFont="1" applyFill="1" applyBorder="1"/>
    <xf numFmtId="44" fontId="18" fillId="4" borderId="0" xfId="0" applyNumberFormat="1" applyFont="1" applyFill="1" applyBorder="1"/>
    <xf numFmtId="0" fontId="13" fillId="4" borderId="6" xfId="0" applyFont="1" applyFill="1" applyBorder="1"/>
    <xf numFmtId="0" fontId="6" fillId="4" borderId="7" xfId="0" applyFont="1" applyFill="1" applyBorder="1"/>
    <xf numFmtId="0" fontId="19" fillId="4" borderId="7" xfId="0" applyFont="1" applyFill="1" applyBorder="1"/>
    <xf numFmtId="0" fontId="13" fillId="4" borderId="8" xfId="0" applyFont="1" applyFill="1" applyBorder="1"/>
    <xf numFmtId="41" fontId="17" fillId="3" borderId="0" xfId="1" applyNumberFormat="1" applyFont="1" applyFill="1" applyBorder="1"/>
    <xf numFmtId="42" fontId="17" fillId="3" borderId="0" xfId="2" applyNumberFormat="1" applyFont="1" applyFill="1" applyBorder="1"/>
    <xf numFmtId="44" fontId="13" fillId="4" borderId="0" xfId="0" applyNumberFormat="1" applyFont="1" applyFill="1" applyBorder="1"/>
    <xf numFmtId="44" fontId="13" fillId="4" borderId="0" xfId="1" applyNumberFormat="1" applyFont="1" applyFill="1" applyBorder="1"/>
    <xf numFmtId="0" fontId="15" fillId="4" borderId="4" xfId="0" applyFont="1" applyFill="1" applyBorder="1"/>
    <xf numFmtId="44" fontId="18" fillId="4" borderId="0" xfId="1" applyNumberFormat="1" applyFont="1" applyFill="1" applyBorder="1"/>
    <xf numFmtId="44" fontId="11" fillId="4" borderId="9" xfId="2" applyNumberFormat="1" applyFont="1" applyFill="1" applyBorder="1"/>
    <xf numFmtId="44" fontId="11" fillId="4" borderId="9" xfId="0" applyNumberFormat="1" applyFont="1" applyFill="1" applyBorder="1"/>
    <xf numFmtId="165" fontId="18" fillId="4" borderId="0" xfId="1" applyNumberFormat="1" applyFont="1" applyFill="1" applyBorder="1"/>
    <xf numFmtId="44" fontId="11" fillId="4" borderId="0" xfId="0" applyNumberFormat="1" applyFont="1" applyFill="1" applyBorder="1"/>
    <xf numFmtId="10" fontId="17" fillId="3" borderId="0" xfId="2" applyNumberFormat="1" applyFont="1" applyFill="1" applyBorder="1"/>
    <xf numFmtId="42" fontId="0" fillId="0" borderId="0" xfId="0" applyNumberFormat="1"/>
    <xf numFmtId="8" fontId="0" fillId="0" borderId="0" xfId="0" applyNumberFormat="1"/>
    <xf numFmtId="41" fontId="17" fillId="3" borderId="0" xfId="2" applyNumberFormat="1" applyFont="1" applyFill="1" applyBorder="1"/>
    <xf numFmtId="0" fontId="21" fillId="3" borderId="0" xfId="0" applyFont="1" applyFill="1" applyBorder="1"/>
    <xf numFmtId="0" fontId="20" fillId="3" borderId="4" xfId="0" applyFont="1" applyFill="1" applyBorder="1"/>
    <xf numFmtId="41" fontId="22" fillId="3" borderId="0" xfId="0" applyNumberFormat="1" applyFont="1" applyFill="1" applyBorder="1"/>
    <xf numFmtId="0" fontId="20" fillId="3" borderId="5" xfId="0" applyFont="1" applyFill="1" applyBorder="1"/>
    <xf numFmtId="10" fontId="22" fillId="3" borderId="0" xfId="2" applyNumberFormat="1" applyFont="1" applyFill="1" applyBorder="1"/>
    <xf numFmtId="42" fontId="18" fillId="4" borderId="0" xfId="0" applyNumberFormat="1" applyFont="1" applyFill="1" applyBorder="1"/>
    <xf numFmtId="42" fontId="18" fillId="3" borderId="0" xfId="2" applyNumberFormat="1" applyFont="1" applyFill="1" applyBorder="1"/>
    <xf numFmtId="41" fontId="18" fillId="3" borderId="0" xfId="2" applyNumberFormat="1" applyFont="1" applyFill="1" applyBorder="1"/>
    <xf numFmtId="9" fontId="18" fillId="3" borderId="0" xfId="2" applyFont="1" applyFill="1" applyBorder="1"/>
    <xf numFmtId="10" fontId="18" fillId="3" borderId="0" xfId="2" applyNumberFormat="1" applyFont="1" applyFill="1" applyBorder="1"/>
    <xf numFmtId="43" fontId="17" fillId="3" borderId="0" xfId="2" applyNumberFormat="1" applyFont="1" applyFill="1" applyBorder="1"/>
    <xf numFmtId="41" fontId="17" fillId="3" borderId="0" xfId="0" applyNumberFormat="1" applyFont="1" applyFill="1" applyBorder="1"/>
    <xf numFmtId="9" fontId="17" fillId="3" borderId="0" xfId="2" applyNumberFormat="1" applyFont="1" applyFill="1" applyBorder="1"/>
    <xf numFmtId="42" fontId="17" fillId="3" borderId="0" xfId="1" applyNumberFormat="1" applyFont="1" applyFill="1" applyBorder="1"/>
    <xf numFmtId="41" fontId="18" fillId="4" borderId="0" xfId="0" applyNumberFormat="1" applyFont="1" applyFill="1" applyBorder="1"/>
    <xf numFmtId="41" fontId="18" fillId="4" borderId="10" xfId="0" applyNumberFormat="1" applyFont="1" applyFill="1" applyBorder="1"/>
    <xf numFmtId="42" fontId="18" fillId="4" borderId="11" xfId="0" applyNumberFormat="1" applyFont="1" applyFill="1" applyBorder="1"/>
    <xf numFmtId="43" fontId="17" fillId="3" borderId="0" xfId="0" applyNumberFormat="1" applyFont="1" applyFill="1" applyBorder="1"/>
    <xf numFmtId="14" fontId="17" fillId="3" borderId="0" xfId="1" applyNumberFormat="1" applyFont="1" applyFill="1" applyBorder="1"/>
    <xf numFmtId="14" fontId="17" fillId="3" borderId="0" xfId="2" applyNumberFormat="1" applyFont="1" applyFill="1" applyBorder="1"/>
    <xf numFmtId="167" fontId="17" fillId="3" borderId="0" xfId="2" applyNumberFormat="1" applyFont="1" applyFill="1" applyBorder="1"/>
    <xf numFmtId="10" fontId="18" fillId="4" borderId="0" xfId="2" applyNumberFormat="1" applyFont="1" applyFill="1" applyBorder="1"/>
    <xf numFmtId="10" fontId="11" fillId="4" borderId="9" xfId="2" applyNumberFormat="1" applyFont="1" applyFill="1" applyBorder="1"/>
    <xf numFmtId="10" fontId="11" fillId="4" borderId="0" xfId="2" applyNumberFormat="1" applyFont="1" applyFill="1" applyBorder="1"/>
    <xf numFmtId="43" fontId="18" fillId="4" borderId="0" xfId="0" applyNumberFormat="1" applyFont="1" applyFill="1" applyBorder="1"/>
    <xf numFmtId="43" fontId="13" fillId="3" borderId="0" xfId="0" applyNumberFormat="1" applyFont="1" applyFill="1" applyBorder="1" applyAlignment="1">
      <alignment horizontal="right"/>
    </xf>
    <xf numFmtId="169" fontId="17" fillId="3" borderId="0" xfId="2" applyNumberFormat="1" applyFont="1" applyFill="1" applyBorder="1"/>
    <xf numFmtId="170" fontId="17" fillId="3" borderId="0" xfId="0" applyNumberFormat="1" applyFont="1" applyFill="1" applyBorder="1"/>
    <xf numFmtId="170" fontId="17" fillId="3" borderId="0" xfId="2" applyNumberFormat="1" applyFont="1" applyFill="1" applyBorder="1"/>
    <xf numFmtId="43" fontId="13" fillId="4" borderId="0" xfId="0" applyNumberFormat="1" applyFont="1" applyFill="1" applyBorder="1" applyAlignment="1">
      <alignment horizontal="right"/>
    </xf>
    <xf numFmtId="43" fontId="11" fillId="4" borderId="9" xfId="2" applyNumberFormat="1" applyFont="1" applyFill="1" applyBorder="1"/>
    <xf numFmtId="43" fontId="17" fillId="3" borderId="0" xfId="1" applyNumberFormat="1" applyFont="1" applyFill="1" applyBorder="1"/>
    <xf numFmtId="43" fontId="23" fillId="4" borderId="0" xfId="0" applyNumberFormat="1" applyFont="1" applyFill="1"/>
    <xf numFmtId="42" fontId="23" fillId="4" borderId="0" xfId="0" applyNumberFormat="1" applyFont="1" applyFill="1"/>
    <xf numFmtId="42" fontId="18" fillId="4" borderId="0" xfId="2" applyNumberFormat="1" applyFont="1" applyFill="1" applyBorder="1"/>
    <xf numFmtId="170" fontId="17" fillId="3" borderId="10" xfId="2" applyNumberFormat="1" applyFont="1" applyFill="1" applyBorder="1"/>
    <xf numFmtId="43" fontId="11" fillId="4" borderId="0" xfId="2" applyNumberFormat="1" applyFont="1" applyFill="1" applyBorder="1"/>
    <xf numFmtId="170" fontId="18" fillId="3" borderId="0" xfId="2" applyNumberFormat="1" applyFont="1" applyFill="1" applyBorder="1"/>
    <xf numFmtId="43" fontId="18" fillId="4" borderId="0" xfId="2" applyNumberFormat="1" applyFont="1" applyFill="1" applyBorder="1"/>
    <xf numFmtId="0" fontId="15" fillId="4" borderId="0" xfId="0" applyFont="1" applyFill="1" applyBorder="1"/>
    <xf numFmtId="168" fontId="17" fillId="3" borderId="0" xfId="2" applyNumberFormat="1" applyFont="1" applyFill="1" applyBorder="1"/>
    <xf numFmtId="165" fontId="18" fillId="4" borderId="0" xfId="2" applyNumberFormat="1" applyFont="1" applyFill="1" applyBorder="1"/>
    <xf numFmtId="42" fontId="11" fillId="4" borderId="9" xfId="2" applyNumberFormat="1" applyFont="1" applyFill="1" applyBorder="1"/>
    <xf numFmtId="42" fontId="11" fillId="4" borderId="0" xfId="2" applyNumberFormat="1" applyFont="1" applyFill="1" applyBorder="1"/>
    <xf numFmtId="167" fontId="11" fillId="4" borderId="9" xfId="2" applyNumberFormat="1" applyFont="1" applyFill="1" applyBorder="1"/>
    <xf numFmtId="41" fontId="11" fillId="4" borderId="9" xfId="2" applyNumberFormat="1" applyFont="1" applyFill="1" applyBorder="1"/>
    <xf numFmtId="42" fontId="11" fillId="4" borderId="9" xfId="0" applyNumberFormat="1" applyFont="1" applyFill="1" applyBorder="1"/>
    <xf numFmtId="164" fontId="18" fillId="4" borderId="0" xfId="0" applyNumberFormat="1" applyFont="1" applyFill="1" applyBorder="1"/>
    <xf numFmtId="164" fontId="18" fillId="4" borderId="11" xfId="0" applyNumberFormat="1" applyFont="1" applyFill="1" applyBorder="1"/>
    <xf numFmtId="167" fontId="18" fillId="4" borderId="0" xfId="2" applyNumberFormat="1" applyFont="1" applyFill="1" applyBorder="1"/>
    <xf numFmtId="41" fontId="18" fillId="4" borderId="0" xfId="2" applyNumberFormat="1" applyFont="1" applyFill="1" applyBorder="1"/>
    <xf numFmtId="42" fontId="18" fillId="4" borderId="11" xfId="2" applyNumberFormat="1" applyFont="1" applyFill="1" applyBorder="1"/>
    <xf numFmtId="44" fontId="18" fillId="4" borderId="0" xfId="2" applyNumberFormat="1" applyFont="1" applyFill="1" applyBorder="1"/>
    <xf numFmtId="42" fontId="11" fillId="4" borderId="0" xfId="0" applyNumberFormat="1" applyFont="1" applyFill="1" applyBorder="1"/>
    <xf numFmtId="167" fontId="11" fillId="4" borderId="9" xfId="0" applyNumberFormat="1" applyFont="1" applyFill="1" applyBorder="1"/>
    <xf numFmtId="0" fontId="18" fillId="4" borderId="7" xfId="0" applyFont="1" applyFill="1" applyBorder="1"/>
    <xf numFmtId="166" fontId="17" fillId="3" borderId="0" xfId="2" applyNumberFormat="1" applyFont="1" applyFill="1" applyBorder="1"/>
    <xf numFmtId="0" fontId="24" fillId="2" borderId="0" xfId="0" applyFont="1" applyFill="1" applyBorder="1"/>
    <xf numFmtId="171" fontId="18" fillId="4" borderId="0" xfId="2" applyNumberFormat="1" applyFont="1" applyFill="1" applyBorder="1"/>
    <xf numFmtId="0" fontId="16" fillId="3" borderId="0" xfId="0" applyFont="1" applyFill="1" applyBorder="1"/>
    <xf numFmtId="0" fontId="25" fillId="3" borderId="0" xfId="0" applyFont="1" applyFill="1" applyBorder="1"/>
    <xf numFmtId="8" fontId="18" fillId="4" borderId="0" xfId="2" applyNumberFormat="1" applyFont="1" applyFill="1" applyBorder="1"/>
    <xf numFmtId="44" fontId="26" fillId="4" borderId="9" xfId="0" applyNumberFormat="1" applyFont="1" applyFill="1" applyBorder="1"/>
    <xf numFmtId="44" fontId="26" fillId="4" borderId="9" xfId="2" applyNumberFormat="1" applyFont="1" applyFill="1" applyBorder="1"/>
    <xf numFmtId="172" fontId="17" fillId="3" borderId="0" xfId="2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3"/>
    <col min="4" max="4" width="42.5703125" style="3" customWidth="1"/>
    <col min="5" max="16384" width="9.140625" style="3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59.25">
      <c r="A12" s="1"/>
      <c r="B12" s="1"/>
      <c r="C12" s="1"/>
      <c r="D12" s="4" t="s">
        <v>184</v>
      </c>
      <c r="E12" s="1"/>
      <c r="F12" s="5"/>
      <c r="G12" s="1"/>
      <c r="H12" s="1"/>
      <c r="I12" s="1"/>
      <c r="J12" s="1"/>
      <c r="K12" s="1"/>
      <c r="L12" s="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23.25">
      <c r="A14" s="1"/>
      <c r="B14" s="1"/>
      <c r="C14" s="1"/>
      <c r="D14" s="6" t="s">
        <v>187</v>
      </c>
      <c r="E14" s="1"/>
      <c r="F14" s="1"/>
      <c r="G14" s="1"/>
      <c r="H14" s="1"/>
      <c r="I14" s="1"/>
      <c r="J14" s="1"/>
      <c r="K14" s="1"/>
      <c r="L14" s="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15">
      <c r="A17" s="1"/>
      <c r="B17" s="1"/>
      <c r="C17" s="1"/>
      <c r="D17" s="7"/>
      <c r="E17" s="1"/>
      <c r="F17" s="1"/>
      <c r="G17" s="1"/>
      <c r="H17" s="1"/>
      <c r="I17" s="1"/>
      <c r="J17" s="1"/>
      <c r="K17" s="1"/>
      <c r="L17" s="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15.75">
      <c r="A18" s="1"/>
      <c r="B18" s="1"/>
      <c r="C18" s="1"/>
      <c r="D18" s="8" t="s">
        <v>0</v>
      </c>
      <c r="E18" s="1"/>
      <c r="F18" s="1"/>
      <c r="G18" s="1"/>
      <c r="H18" s="1"/>
      <c r="I18" s="1"/>
      <c r="J18" s="1"/>
      <c r="K18" s="1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15.75">
      <c r="A19" s="1"/>
      <c r="B19" s="1"/>
      <c r="C19" s="1"/>
      <c r="D19" s="9" t="s">
        <v>1</v>
      </c>
      <c r="E19" s="1"/>
      <c r="F19" s="1"/>
      <c r="G19" s="1"/>
      <c r="H19" s="1"/>
      <c r="I19" s="1"/>
      <c r="J19" s="1"/>
      <c r="K19" s="1"/>
      <c r="L19" s="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75">
      <c r="A20" s="1"/>
      <c r="B20" s="1"/>
      <c r="C20" s="1"/>
      <c r="D20" s="10" t="s">
        <v>2</v>
      </c>
      <c r="E20" s="1"/>
      <c r="F20" s="1"/>
      <c r="G20" s="1"/>
      <c r="H20" s="1"/>
      <c r="I20" s="1"/>
      <c r="J20" s="1"/>
      <c r="K20" s="1"/>
      <c r="L20" s="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>
      <c r="A21" s="1"/>
      <c r="B21" s="1"/>
      <c r="C21" s="1"/>
      <c r="D21" s="11" t="s">
        <v>3</v>
      </c>
      <c r="E21" s="1"/>
      <c r="F21" s="1"/>
      <c r="G21" s="1"/>
      <c r="H21" s="1"/>
      <c r="I21" s="1"/>
      <c r="J21" s="1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>
      <c r="A22" s="1"/>
      <c r="B22" s="1"/>
      <c r="C22" s="1"/>
      <c r="D22" s="12" t="s">
        <v>4</v>
      </c>
      <c r="E22" s="1"/>
      <c r="F22" s="1"/>
      <c r="G22" s="1"/>
      <c r="H22" s="1"/>
      <c r="I22" s="1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">
      <c r="A23" s="1"/>
      <c r="B23" s="1"/>
      <c r="C23" s="1"/>
      <c r="D23" s="7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>
      <c r="A24" s="1"/>
      <c r="B24" s="1"/>
      <c r="C24" s="1"/>
      <c r="D24" s="112" t="s">
        <v>180</v>
      </c>
      <c r="E24" s="1"/>
      <c r="F24" s="1"/>
      <c r="G24" s="1"/>
      <c r="H24" s="1"/>
      <c r="I24" s="1"/>
      <c r="J24" s="1"/>
      <c r="K24" s="1"/>
      <c r="L24" s="1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>
      <c r="A25" s="1"/>
      <c r="B25" s="1"/>
      <c r="C25" s="1"/>
      <c r="D25" s="112" t="s">
        <v>181</v>
      </c>
      <c r="E25" s="1"/>
      <c r="F25" s="1"/>
      <c r="G25" s="1"/>
      <c r="H25" s="1"/>
      <c r="I25" s="1"/>
      <c r="J25" s="1"/>
      <c r="K25" s="1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>
      <c r="A26" s="1"/>
      <c r="B26" s="1"/>
      <c r="C26" s="1"/>
      <c r="D26" s="112" t="s">
        <v>182</v>
      </c>
      <c r="E26" s="1"/>
      <c r="F26" s="1"/>
      <c r="G26" s="1"/>
      <c r="H26" s="1"/>
      <c r="I26" s="1"/>
      <c r="J26" s="1"/>
      <c r="K26" s="1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>
      <c r="A27" s="1"/>
      <c r="B27" s="1"/>
      <c r="C27" s="1"/>
      <c r="D27" s="112" t="s">
        <v>183</v>
      </c>
      <c r="E27" s="1"/>
      <c r="F27" s="1"/>
      <c r="G27" s="1"/>
      <c r="H27" s="1"/>
      <c r="I27" s="1"/>
      <c r="J27" s="1"/>
      <c r="K27" s="1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29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29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29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29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29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29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29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1:1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1:1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1:1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1:1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1:1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</row>
    <row r="74" spans="1:1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</row>
    <row r="75" spans="1:1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1:1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</row>
    <row r="77" spans="1:1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</row>
    <row r="78" spans="1:1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</row>
    <row r="79" spans="1:1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</row>
    <row r="80" spans="1:1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1:1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1:1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1:1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1:1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1:1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02"/>
  <sheetViews>
    <sheetView zoomScaleNormal="100" workbookViewId="0"/>
  </sheetViews>
  <sheetFormatPr defaultRowHeight="12.75"/>
  <cols>
    <col min="2" max="2" width="3.140625" customWidth="1"/>
    <col min="3" max="3" width="28" bestFit="1" customWidth="1"/>
    <col min="4" max="6" width="18.140625" customWidth="1"/>
    <col min="7" max="7" width="3" customWidth="1"/>
    <col min="8" max="8" width="18.140625" customWidth="1"/>
    <col min="9" max="9" width="3.140625" customWidth="1"/>
    <col min="10" max="10" width="18.140625" customWidth="1"/>
    <col min="11" max="11" width="3.140625" customWidth="1"/>
  </cols>
  <sheetData>
    <row r="1" spans="1:12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  <c r="K1" s="14"/>
      <c r="L1" s="14"/>
    </row>
    <row r="2" spans="1:12" ht="15">
      <c r="A2" s="14"/>
      <c r="B2" s="14"/>
      <c r="C2" s="14" t="s">
        <v>90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5">
      <c r="A6" s="14"/>
      <c r="B6" s="17"/>
      <c r="C6" s="18"/>
      <c r="D6" s="19"/>
      <c r="E6" s="19"/>
      <c r="F6" s="19"/>
      <c r="G6" s="20"/>
      <c r="H6" s="14"/>
      <c r="I6" s="14"/>
      <c r="J6" s="14"/>
      <c r="K6" s="14"/>
      <c r="L6" s="14"/>
    </row>
    <row r="7" spans="1:12" ht="15">
      <c r="A7" s="14"/>
      <c r="B7" s="21"/>
      <c r="C7" s="22"/>
      <c r="D7" s="80" t="s">
        <v>95</v>
      </c>
      <c r="E7" s="80" t="s">
        <v>96</v>
      </c>
      <c r="F7" s="80" t="s">
        <v>97</v>
      </c>
      <c r="G7" s="24"/>
      <c r="H7" s="14"/>
      <c r="I7" s="14"/>
      <c r="J7" s="14"/>
      <c r="K7" s="14"/>
      <c r="L7" s="14"/>
    </row>
    <row r="8" spans="1:12" ht="15">
      <c r="A8" s="14"/>
      <c r="B8" s="21"/>
      <c r="C8" s="22" t="s">
        <v>91</v>
      </c>
      <c r="D8" s="82">
        <v>10000000</v>
      </c>
      <c r="E8" s="82">
        <v>11000000</v>
      </c>
      <c r="F8" s="51">
        <v>4.1000000000000002E-2</v>
      </c>
      <c r="G8" s="24"/>
      <c r="H8" s="14"/>
      <c r="I8" s="14"/>
      <c r="J8" s="14"/>
      <c r="K8" s="14"/>
      <c r="L8" s="14"/>
    </row>
    <row r="9" spans="1:12" ht="15">
      <c r="A9" s="14"/>
      <c r="B9" s="21"/>
      <c r="C9" s="22" t="s">
        <v>92</v>
      </c>
      <c r="D9" s="83">
        <v>3000000</v>
      </c>
      <c r="E9" s="83">
        <v>3000000</v>
      </c>
      <c r="F9" s="51">
        <v>7.1999999999999995E-2</v>
      </c>
      <c r="G9" s="24"/>
      <c r="H9" s="14"/>
      <c r="I9" s="14"/>
      <c r="J9" s="14"/>
      <c r="K9" s="14"/>
      <c r="L9" s="14"/>
    </row>
    <row r="10" spans="1:12" ht="15">
      <c r="A10" s="14"/>
      <c r="B10" s="21"/>
      <c r="C10" s="22" t="s">
        <v>93</v>
      </c>
      <c r="D10" s="90">
        <v>6000000</v>
      </c>
      <c r="E10" s="90">
        <v>26000000</v>
      </c>
      <c r="F10" s="51">
        <v>0.13800000000000001</v>
      </c>
      <c r="G10" s="24"/>
      <c r="H10" s="14"/>
      <c r="I10" s="14"/>
      <c r="J10" s="14"/>
      <c r="K10" s="14"/>
      <c r="L10" s="14"/>
    </row>
    <row r="11" spans="1:12" ht="15">
      <c r="A11" s="14"/>
      <c r="B11" s="21"/>
      <c r="C11" s="22" t="s">
        <v>94</v>
      </c>
      <c r="D11" s="92">
        <f>SUM(D8:D10)</f>
        <v>19000000</v>
      </c>
      <c r="E11" s="92">
        <f>SUM(E8:E10)</f>
        <v>40000000</v>
      </c>
      <c r="F11" s="83"/>
      <c r="G11" s="24"/>
      <c r="H11" s="14"/>
      <c r="I11" s="14"/>
      <c r="J11" s="14"/>
      <c r="K11" s="14"/>
      <c r="L11" s="14"/>
    </row>
    <row r="12" spans="1:12" ht="15">
      <c r="A12" s="14"/>
      <c r="B12" s="21"/>
      <c r="C12" s="22"/>
      <c r="D12" s="81"/>
      <c r="E12" s="81"/>
      <c r="F12" s="81"/>
      <c r="G12" s="24"/>
      <c r="H12" s="14"/>
      <c r="I12" s="14"/>
      <c r="J12" s="14"/>
      <c r="K12" s="14"/>
      <c r="L12" s="14"/>
    </row>
    <row r="13" spans="1:12" ht="15">
      <c r="A13" s="14"/>
      <c r="B13" s="21"/>
      <c r="C13" s="22" t="s">
        <v>12</v>
      </c>
      <c r="D13" s="67">
        <v>0.35</v>
      </c>
      <c r="E13" s="67"/>
      <c r="F13" s="67"/>
      <c r="G13" s="24"/>
      <c r="H13" s="14"/>
      <c r="I13" s="14"/>
      <c r="J13" s="14"/>
      <c r="K13" s="14"/>
      <c r="L13" s="14"/>
    </row>
    <row r="14" spans="1:12" ht="15">
      <c r="A14" s="14"/>
      <c r="B14" s="21"/>
      <c r="C14" s="22" t="s">
        <v>98</v>
      </c>
      <c r="D14" s="67">
        <v>0.6</v>
      </c>
      <c r="E14" s="25"/>
      <c r="F14" s="25"/>
      <c r="G14" s="24"/>
      <c r="H14" s="14"/>
      <c r="I14" s="14"/>
      <c r="J14" s="14"/>
      <c r="K14" s="14"/>
      <c r="L14" s="14"/>
    </row>
    <row r="15" spans="1:12" ht="15">
      <c r="A15" s="14"/>
      <c r="B15" s="21"/>
      <c r="C15" s="22" t="s">
        <v>99</v>
      </c>
      <c r="D15" s="67">
        <v>0.2</v>
      </c>
      <c r="E15" s="25"/>
      <c r="F15" s="25"/>
      <c r="G15" s="24"/>
      <c r="H15" s="14"/>
      <c r="I15" s="14"/>
      <c r="J15" s="14"/>
      <c r="K15" s="14"/>
      <c r="L15" s="14"/>
    </row>
    <row r="16" spans="1:12" ht="15.75" thickBot="1">
      <c r="A16" s="14"/>
      <c r="B16" s="26"/>
      <c r="C16" s="27"/>
      <c r="D16" s="28"/>
      <c r="E16" s="28"/>
      <c r="F16" s="28"/>
      <c r="G16" s="29"/>
      <c r="H16" s="14"/>
      <c r="I16" s="14"/>
      <c r="J16" s="14"/>
      <c r="K16" s="14"/>
      <c r="L16" s="14"/>
    </row>
    <row r="17" spans="1:12" ht="1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5">
      <c r="A18" s="14"/>
      <c r="B18" s="14"/>
      <c r="C18" s="16" t="s">
        <v>7</v>
      </c>
      <c r="D18" s="14"/>
      <c r="E18" s="14"/>
      <c r="F18" s="14"/>
      <c r="G18" s="14"/>
      <c r="H18" s="14"/>
      <c r="I18" s="14"/>
      <c r="J18" s="14"/>
      <c r="K18" s="14"/>
      <c r="L18" s="14"/>
    </row>
    <row r="19" spans="1:12" ht="15.75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2" ht="15">
      <c r="A20" s="14"/>
      <c r="B20" s="30"/>
      <c r="C20" s="31"/>
      <c r="D20" s="31"/>
      <c r="E20" s="31"/>
      <c r="F20" s="31"/>
      <c r="G20" s="32"/>
      <c r="H20" s="14"/>
      <c r="J20" s="52"/>
    </row>
    <row r="21" spans="1:12" ht="15.75">
      <c r="A21" s="14"/>
      <c r="B21" s="45" t="s">
        <v>17</v>
      </c>
      <c r="C21" s="34" t="s">
        <v>101</v>
      </c>
      <c r="D21" s="113">
        <f>D8/D11</f>
        <v>0.52631578947368418</v>
      </c>
      <c r="E21" s="91"/>
      <c r="F21" s="91"/>
      <c r="G21" s="35"/>
      <c r="H21" s="14"/>
      <c r="J21" s="52"/>
    </row>
    <row r="22" spans="1:12" ht="15.75">
      <c r="A22" s="14"/>
      <c r="B22" s="45"/>
      <c r="C22" s="34" t="s">
        <v>102</v>
      </c>
      <c r="D22" s="113">
        <f>D9/D11</f>
        <v>0.15789473684210525</v>
      </c>
      <c r="E22" s="91"/>
      <c r="F22" s="91"/>
      <c r="G22" s="35"/>
      <c r="H22" s="14"/>
      <c r="J22" s="52"/>
    </row>
    <row r="23" spans="1:12" ht="15.75">
      <c r="A23" s="14"/>
      <c r="B23" s="45"/>
      <c r="C23" s="34" t="s">
        <v>100</v>
      </c>
      <c r="D23" s="113">
        <f>D10/D11</f>
        <v>0.31578947368421051</v>
      </c>
      <c r="E23" s="91"/>
      <c r="F23" s="91"/>
      <c r="G23" s="35"/>
      <c r="H23" s="14"/>
      <c r="J23" s="52"/>
    </row>
    <row r="24" spans="1:12" ht="15.75">
      <c r="A24" s="14"/>
      <c r="B24" s="45"/>
      <c r="C24" s="34"/>
      <c r="D24" s="91"/>
      <c r="E24" s="91"/>
      <c r="F24" s="91"/>
      <c r="G24" s="35"/>
      <c r="H24" s="14"/>
      <c r="J24" s="52"/>
    </row>
    <row r="25" spans="1:12" ht="15.75">
      <c r="A25" s="14"/>
      <c r="B25" s="45"/>
      <c r="C25" s="34" t="s">
        <v>67</v>
      </c>
      <c r="D25" s="77">
        <f>(D21*F8*(1-D13))+(D22*F9*(1-D13))+(D23*F10)</f>
        <v>6.4994736842105258E-2</v>
      </c>
      <c r="E25" s="91"/>
      <c r="F25" s="91"/>
      <c r="G25" s="35"/>
      <c r="H25" s="14"/>
      <c r="J25" s="52"/>
    </row>
    <row r="26" spans="1:12" ht="15.75">
      <c r="A26" s="14"/>
      <c r="B26" s="45"/>
      <c r="C26" s="34"/>
      <c r="D26" s="91"/>
      <c r="E26" s="91"/>
      <c r="F26" s="91"/>
      <c r="G26" s="35"/>
      <c r="H26" s="14"/>
      <c r="J26" s="52"/>
    </row>
    <row r="27" spans="1:12" ht="15.75">
      <c r="A27" s="14"/>
      <c r="B27" s="45" t="s">
        <v>21</v>
      </c>
      <c r="C27" s="34" t="s">
        <v>101</v>
      </c>
      <c r="D27" s="113">
        <f>E8/E11</f>
        <v>0.27500000000000002</v>
      </c>
      <c r="E27" s="91"/>
      <c r="F27" s="91"/>
      <c r="G27" s="35"/>
      <c r="H27" s="14"/>
      <c r="J27" s="52"/>
    </row>
    <row r="28" spans="1:12" ht="15.75">
      <c r="A28" s="14"/>
      <c r="B28" s="45"/>
      <c r="C28" s="34" t="s">
        <v>102</v>
      </c>
      <c r="D28" s="113">
        <f>E9/E11</f>
        <v>7.4999999999999997E-2</v>
      </c>
      <c r="E28" s="91"/>
      <c r="F28" s="91"/>
      <c r="G28" s="35"/>
      <c r="H28" s="14"/>
      <c r="J28" s="52"/>
    </row>
    <row r="29" spans="1:12" ht="15.75">
      <c r="A29" s="14"/>
      <c r="B29" s="45"/>
      <c r="C29" s="34" t="s">
        <v>100</v>
      </c>
      <c r="D29" s="113">
        <f>E10/E11</f>
        <v>0.65</v>
      </c>
      <c r="E29" s="91"/>
      <c r="F29" s="91"/>
      <c r="G29" s="35"/>
      <c r="H29" s="14"/>
      <c r="J29" s="52"/>
    </row>
    <row r="30" spans="1:12" ht="15.75">
      <c r="A30" s="14"/>
      <c r="B30" s="45"/>
      <c r="C30" s="34"/>
      <c r="D30" s="93"/>
      <c r="E30" s="91"/>
      <c r="F30" s="91"/>
      <c r="G30" s="35"/>
      <c r="H30" s="14"/>
      <c r="J30" s="52"/>
    </row>
    <row r="31" spans="1:12" ht="15.75">
      <c r="A31" s="14"/>
      <c r="B31" s="45"/>
      <c r="C31" s="34" t="s">
        <v>67</v>
      </c>
      <c r="D31" s="77">
        <f>(D27*F8*(1-D13))+(D28*F9*(1-D13))+(D29*F10)</f>
        <v>0.10053875000000001</v>
      </c>
      <c r="E31" s="91"/>
      <c r="F31" s="91"/>
      <c r="G31" s="35"/>
      <c r="H31" s="14"/>
      <c r="J31" s="52"/>
    </row>
    <row r="32" spans="1:12" ht="15.75">
      <c r="A32" s="14"/>
      <c r="B32" s="45"/>
      <c r="C32" s="34"/>
      <c r="D32" s="93"/>
      <c r="E32" s="91"/>
      <c r="F32" s="91"/>
      <c r="G32" s="35"/>
      <c r="H32" s="14"/>
      <c r="J32" s="52"/>
    </row>
    <row r="33" spans="1:12" ht="15.75">
      <c r="A33" s="14"/>
      <c r="B33" s="45" t="s">
        <v>64</v>
      </c>
      <c r="C33" s="34" t="s">
        <v>84</v>
      </c>
      <c r="D33" s="113">
        <f>D14/(1+D14)</f>
        <v>0.37499999999999994</v>
      </c>
      <c r="E33" s="91"/>
      <c r="F33" s="91"/>
      <c r="G33" s="35"/>
      <c r="H33" s="14"/>
      <c r="J33" s="52"/>
    </row>
    <row r="34" spans="1:12" ht="15.75">
      <c r="A34" s="14"/>
      <c r="B34" s="45"/>
      <c r="C34" s="34" t="s">
        <v>85</v>
      </c>
      <c r="D34" s="113">
        <f>1-D33</f>
        <v>0.625</v>
      </c>
      <c r="E34" s="91"/>
      <c r="F34" s="91"/>
      <c r="G34" s="35"/>
      <c r="H34" s="14"/>
      <c r="J34" s="52"/>
    </row>
    <row r="35" spans="1:12" ht="15.75">
      <c r="A35" s="14"/>
      <c r="B35" s="45"/>
      <c r="C35" s="34"/>
      <c r="D35" s="113"/>
      <c r="E35" s="91"/>
      <c r="F35" s="91"/>
      <c r="G35" s="35"/>
      <c r="H35" s="14"/>
      <c r="J35" s="52"/>
    </row>
    <row r="36" spans="1:12" ht="15.75">
      <c r="A36" s="14"/>
      <c r="B36" s="45"/>
      <c r="C36" s="34" t="s">
        <v>103</v>
      </c>
      <c r="D36" s="113">
        <f>D15/(1+D15)</f>
        <v>0.16666666666666669</v>
      </c>
      <c r="E36" s="91"/>
      <c r="F36" s="91"/>
      <c r="G36" s="35"/>
      <c r="H36" s="14"/>
      <c r="J36" s="52"/>
    </row>
    <row r="37" spans="1:12" ht="15.75">
      <c r="A37" s="14"/>
      <c r="B37" s="45"/>
      <c r="C37" s="34" t="s">
        <v>104</v>
      </c>
      <c r="D37" s="113">
        <f>1-D36</f>
        <v>0.83333333333333326</v>
      </c>
      <c r="E37" s="91"/>
      <c r="F37" s="91"/>
      <c r="G37" s="35"/>
      <c r="H37" s="14"/>
      <c r="J37" s="52"/>
    </row>
    <row r="38" spans="1:12" ht="15.75">
      <c r="A38" s="14"/>
      <c r="B38" s="45"/>
      <c r="C38" s="34"/>
      <c r="D38" s="113"/>
      <c r="E38" s="91"/>
      <c r="F38" s="91"/>
      <c r="G38" s="35"/>
      <c r="H38" s="14"/>
      <c r="J38" s="52"/>
    </row>
    <row r="39" spans="1:12" ht="15.75">
      <c r="A39" s="14"/>
      <c r="B39" s="45"/>
      <c r="C39" s="34" t="s">
        <v>105</v>
      </c>
      <c r="D39" s="113">
        <f>D36*D33</f>
        <v>6.25E-2</v>
      </c>
      <c r="E39" s="91"/>
      <c r="F39" s="91"/>
      <c r="G39" s="35"/>
      <c r="H39" s="14"/>
      <c r="J39" s="52"/>
    </row>
    <row r="40" spans="1:12" ht="15.75">
      <c r="A40" s="14"/>
      <c r="B40" s="45"/>
      <c r="C40" s="34" t="s">
        <v>106</v>
      </c>
      <c r="D40" s="113">
        <f>D37*D33</f>
        <v>0.31249999999999994</v>
      </c>
      <c r="E40" s="91"/>
      <c r="F40" s="91"/>
      <c r="G40" s="35"/>
      <c r="H40" s="14"/>
      <c r="J40" s="52"/>
    </row>
    <row r="41" spans="1:12" ht="15">
      <c r="A41" s="14"/>
      <c r="B41" s="45"/>
      <c r="C41" s="34"/>
      <c r="D41" s="69"/>
      <c r="E41" s="69"/>
      <c r="F41" s="69"/>
      <c r="G41" s="35"/>
      <c r="H41" s="14"/>
      <c r="J41" s="52"/>
    </row>
    <row r="42" spans="1:12" ht="15.75">
      <c r="A42" s="14"/>
      <c r="B42" s="45"/>
      <c r="C42" s="34" t="s">
        <v>67</v>
      </c>
      <c r="D42" s="77">
        <f>(D39*F8*(1-D13))+(D40*F9*(1-D13))+(D34*F10)</f>
        <v>0.102540625</v>
      </c>
      <c r="E42" s="78"/>
      <c r="F42" s="78"/>
      <c r="G42" s="35"/>
      <c r="H42" s="14"/>
      <c r="J42" s="53"/>
    </row>
    <row r="43" spans="1:12" ht="15.75" thickBot="1">
      <c r="A43" s="14"/>
      <c r="B43" s="37"/>
      <c r="C43" s="38"/>
      <c r="D43" s="39"/>
      <c r="E43" s="39"/>
      <c r="F43" s="39"/>
      <c r="G43" s="40"/>
      <c r="H43" s="14"/>
    </row>
    <row r="44" spans="1:12" ht="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1:12" ht="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1:12" ht="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1:12" ht="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</row>
    <row r="48" spans="1:12" ht="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</row>
    <row r="49" spans="1:12" ht="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1:12" ht="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12" ht="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1:12" ht="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1:12" ht="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12" ht="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2" ht="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1:12" ht="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</row>
    <row r="58" spans="1:12" ht="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</row>
    <row r="59" spans="1:12" ht="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</row>
    <row r="61" spans="1:12" ht="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</row>
    <row r="62" spans="1:12" ht="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12" ht="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1:12" ht="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</row>
    <row r="67" spans="1:12" ht="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</row>
    <row r="68" spans="1:12" ht="1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</row>
    <row r="70" spans="1:12" ht="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2" ht="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</row>
    <row r="72" spans="1:12" ht="1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</row>
    <row r="73" spans="1:12" ht="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</row>
    <row r="74" spans="1:12" ht="1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1:12" ht="1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</row>
    <row r="80" spans="1:12" ht="1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</row>
    <row r="81" spans="1:12" ht="1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  <row r="82" spans="1:12" ht="1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1:12" ht="1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1:12" ht="1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1:12" ht="1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1:12" ht="1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1:12" ht="1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 ht="1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1:12" ht="1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1:12" ht="1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1:12" ht="1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1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1:12" ht="1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12" ht="1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1:12" ht="1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1:12" ht="1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1:12" ht="1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1:12" ht="1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1:12" ht="1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1:12" ht="1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88"/>
  <sheetViews>
    <sheetView zoomScaleNormal="100" workbookViewId="0"/>
  </sheetViews>
  <sheetFormatPr defaultRowHeight="12.75"/>
  <cols>
    <col min="2" max="2" width="3.140625" customWidth="1"/>
    <col min="3" max="3" width="25.28515625" bestFit="1" customWidth="1"/>
    <col min="4" max="4" width="19.5703125" bestFit="1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108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27</v>
      </c>
      <c r="D7" s="42">
        <v>80000000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30</v>
      </c>
      <c r="D8" s="54">
        <v>5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31</v>
      </c>
      <c r="D9" s="23">
        <v>12100000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11</v>
      </c>
      <c r="D10" s="41">
        <v>20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12</v>
      </c>
      <c r="D11" s="25">
        <v>0.35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13</v>
      </c>
      <c r="D12" s="25">
        <v>0.13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16</v>
      </c>
      <c r="D13" s="51">
        <v>8.5000000000000006E-2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32</v>
      </c>
      <c r="D14" s="23">
        <v>25000000</v>
      </c>
      <c r="E14" s="24"/>
      <c r="F14" s="14"/>
      <c r="G14" s="14"/>
      <c r="H14" s="14"/>
      <c r="I14" s="14"/>
      <c r="J14" s="14"/>
    </row>
    <row r="15" spans="1:10" ht="15">
      <c r="B15" s="56"/>
      <c r="C15" s="55" t="s">
        <v>33</v>
      </c>
      <c r="D15" s="57">
        <v>15</v>
      </c>
      <c r="E15" s="58"/>
    </row>
    <row r="16" spans="1:10" ht="15">
      <c r="B16" s="56"/>
      <c r="C16" s="55" t="s">
        <v>34</v>
      </c>
      <c r="D16" s="59">
        <v>0.05</v>
      </c>
      <c r="E16" s="58"/>
    </row>
    <row r="17" spans="1:10" ht="15.75" thickBot="1">
      <c r="A17" s="14"/>
      <c r="B17" s="26"/>
      <c r="C17" s="27"/>
      <c r="D17" s="28"/>
      <c r="E17" s="29"/>
      <c r="F17" s="14"/>
      <c r="G17" s="14"/>
      <c r="H17" s="14"/>
      <c r="I17" s="14"/>
      <c r="J17" s="14"/>
    </row>
    <row r="18" spans="1:10" ht="1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5">
      <c r="A19" s="14"/>
      <c r="B19" s="14"/>
      <c r="C19" s="16" t="s">
        <v>7</v>
      </c>
      <c r="D19" s="14"/>
      <c r="E19" s="14"/>
      <c r="F19" s="14"/>
      <c r="G19" s="14"/>
      <c r="H19" s="14"/>
      <c r="I19" s="14"/>
      <c r="J19" s="14"/>
    </row>
    <row r="20" spans="1:10" ht="15.75" thickBot="1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15">
      <c r="A21" s="14"/>
      <c r="B21" s="30"/>
      <c r="C21" s="31"/>
      <c r="D21" s="31"/>
      <c r="E21" s="32"/>
      <c r="F21" s="14"/>
      <c r="H21" s="52"/>
    </row>
    <row r="22" spans="1:10" ht="15">
      <c r="A22" s="14"/>
      <c r="B22" s="33"/>
      <c r="C22" s="34" t="s">
        <v>35</v>
      </c>
      <c r="D22" s="60">
        <f>D7/D8</f>
        <v>16000000</v>
      </c>
      <c r="E22" s="35"/>
      <c r="F22" s="14"/>
      <c r="H22" s="52"/>
    </row>
    <row r="23" spans="1:10" ht="15">
      <c r="A23" s="14"/>
      <c r="B23" s="33"/>
      <c r="C23" s="34"/>
      <c r="D23" s="34"/>
      <c r="E23" s="35"/>
      <c r="F23" s="14"/>
      <c r="H23" s="52"/>
    </row>
    <row r="24" spans="1:10" ht="15">
      <c r="A24" s="14"/>
      <c r="B24" s="45"/>
      <c r="C24" s="34" t="s">
        <v>22</v>
      </c>
      <c r="D24" s="36">
        <f>-D7+PV(D12,D10,(1-D11)*-D9)+PV(D12,D8,-D11*D22)</f>
        <v>-5053833.7738874629</v>
      </c>
      <c r="E24" s="35"/>
      <c r="F24" s="14"/>
      <c r="H24" s="53"/>
    </row>
    <row r="25" spans="1:10" ht="15">
      <c r="A25" s="14"/>
      <c r="B25" s="45"/>
      <c r="C25" s="34"/>
      <c r="D25" s="43"/>
      <c r="E25" s="35"/>
      <c r="F25" s="14"/>
      <c r="H25" s="53"/>
    </row>
    <row r="26" spans="1:10" ht="15">
      <c r="A26" s="14"/>
      <c r="B26" s="45"/>
      <c r="C26" s="34" t="s">
        <v>23</v>
      </c>
      <c r="D26" s="36">
        <f>D14+PV(D13,D15,(1-D11)*D16*D14)+PV(D13,D15,,D14)</f>
        <v>10899310.505729569</v>
      </c>
      <c r="E26" s="35"/>
      <c r="F26" s="14"/>
      <c r="H26" s="53"/>
    </row>
    <row r="27" spans="1:10" ht="15.75">
      <c r="A27" s="14"/>
      <c r="B27" s="45"/>
      <c r="C27" s="34"/>
      <c r="D27" s="50"/>
      <c r="E27" s="35"/>
      <c r="F27" s="14"/>
      <c r="H27" s="52"/>
    </row>
    <row r="28" spans="1:10" ht="15.75">
      <c r="A28" s="14"/>
      <c r="B28" s="45"/>
      <c r="C28" s="34" t="s">
        <v>25</v>
      </c>
      <c r="D28" s="48">
        <f>D24+D26</f>
        <v>5845476.7318421062</v>
      </c>
      <c r="E28" s="35"/>
      <c r="F28" s="14"/>
      <c r="H28" s="52"/>
    </row>
    <row r="29" spans="1:10" ht="15.75" thickBot="1">
      <c r="A29" s="14"/>
      <c r="B29" s="37"/>
      <c r="C29" s="38"/>
      <c r="D29" s="39"/>
      <c r="E29" s="40"/>
      <c r="F29" s="14"/>
    </row>
    <row r="30" spans="1:10" ht="1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89"/>
  <sheetViews>
    <sheetView zoomScaleNormal="100" workbookViewId="0"/>
  </sheetViews>
  <sheetFormatPr defaultRowHeight="12.75"/>
  <cols>
    <col min="2" max="2" width="3.140625" customWidth="1"/>
    <col min="3" max="3" width="27.8554687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107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27</v>
      </c>
      <c r="D7" s="61">
        <f ca="1">'#10'!D7</f>
        <v>80000000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30</v>
      </c>
      <c r="D8" s="62">
        <f ca="1">'#10'!D8</f>
        <v>5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31</v>
      </c>
      <c r="D9" s="61">
        <f ca="1">'#10'!D9</f>
        <v>12100000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11</v>
      </c>
      <c r="D10" s="61">
        <f ca="1">'#10'!D10</f>
        <v>20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12</v>
      </c>
      <c r="D11" s="63">
        <f ca="1">'#10'!D11</f>
        <v>0.35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13</v>
      </c>
      <c r="D12" s="63">
        <f ca="1">'#10'!D12</f>
        <v>0.13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16</v>
      </c>
      <c r="D13" s="64">
        <f ca="1">'#10'!D13</f>
        <v>8.5000000000000006E-2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32</v>
      </c>
      <c r="D14" s="61">
        <f ca="1">'#10'!D14</f>
        <v>25000000</v>
      </c>
      <c r="E14" s="24"/>
      <c r="F14" s="14"/>
      <c r="G14" s="14"/>
      <c r="H14" s="14"/>
      <c r="I14" s="14"/>
      <c r="J14" s="14"/>
    </row>
    <row r="15" spans="1:10" ht="15">
      <c r="B15" s="56"/>
      <c r="C15" s="55" t="s">
        <v>33</v>
      </c>
      <c r="D15" s="62">
        <f ca="1">'#10'!D15</f>
        <v>15</v>
      </c>
      <c r="E15" s="58"/>
    </row>
    <row r="16" spans="1:10" ht="15.75" thickBot="1">
      <c r="A16" s="14"/>
      <c r="B16" s="26"/>
      <c r="C16" s="27"/>
      <c r="D16" s="28"/>
      <c r="E16" s="29"/>
      <c r="F16" s="14"/>
      <c r="G16" s="14"/>
      <c r="H16" s="14"/>
      <c r="I16" s="14"/>
      <c r="J16" s="14"/>
    </row>
    <row r="17" spans="1:10" ht="1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5">
      <c r="A18" s="14"/>
      <c r="B18" s="14"/>
      <c r="C18" s="16" t="s">
        <v>7</v>
      </c>
      <c r="D18" s="14"/>
      <c r="E18" s="14"/>
      <c r="F18" s="14"/>
      <c r="G18" s="14"/>
      <c r="H18" s="14"/>
      <c r="I18" s="14"/>
      <c r="J18" s="14"/>
    </row>
    <row r="19" spans="1:10" ht="15.75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15">
      <c r="A20" s="14"/>
      <c r="B20" s="30"/>
      <c r="C20" s="31"/>
      <c r="D20" s="31"/>
      <c r="E20" s="32"/>
      <c r="F20" s="14"/>
      <c r="H20" s="52"/>
    </row>
    <row r="21" spans="1:10" ht="15">
      <c r="A21" s="14"/>
      <c r="B21" s="33"/>
      <c r="C21" s="34" t="s">
        <v>35</v>
      </c>
      <c r="D21" s="60">
        <f>D7/D8</f>
        <v>16000000</v>
      </c>
      <c r="E21" s="35"/>
      <c r="F21" s="14"/>
      <c r="H21" s="52"/>
    </row>
    <row r="22" spans="1:10" ht="15">
      <c r="A22" s="14"/>
      <c r="B22" s="33"/>
      <c r="C22" s="34"/>
      <c r="D22" s="34"/>
      <c r="E22" s="35"/>
      <c r="F22" s="14"/>
      <c r="H22" s="52"/>
    </row>
    <row r="23" spans="1:10" ht="15">
      <c r="A23" s="14"/>
      <c r="B23" s="45"/>
      <c r="C23" s="34" t="s">
        <v>22</v>
      </c>
      <c r="D23" s="36">
        <f>-D7+PV(D12,D10,(1-D11)*-D9)+PV(D12,D8,-D11*D21)</f>
        <v>-5053833.7738874629</v>
      </c>
      <c r="E23" s="35"/>
      <c r="F23" s="14"/>
      <c r="H23" s="53"/>
    </row>
    <row r="24" spans="1:10" ht="15">
      <c r="A24" s="14"/>
      <c r="B24" s="45"/>
      <c r="C24" s="34"/>
      <c r="D24" s="43"/>
      <c r="E24" s="35"/>
      <c r="F24" s="14"/>
      <c r="H24" s="53"/>
    </row>
    <row r="25" spans="1:10" ht="15">
      <c r="A25" s="14"/>
      <c r="B25" s="45"/>
      <c r="C25" s="34" t="s">
        <v>23</v>
      </c>
      <c r="D25" s="36">
        <f>D14+PV(D13,D15,(1-D11)*D13*D14)+PV(D13,D15,,D14)</f>
        <v>6176275.9532467555</v>
      </c>
      <c r="E25" s="35"/>
      <c r="F25" s="14"/>
      <c r="H25" s="53"/>
    </row>
    <row r="26" spans="1:10" ht="15.75">
      <c r="A26" s="14"/>
      <c r="B26" s="45"/>
      <c r="C26" s="34"/>
      <c r="D26" s="50"/>
      <c r="E26" s="35"/>
      <c r="F26" s="14"/>
      <c r="H26" s="52"/>
    </row>
    <row r="27" spans="1:10" ht="15">
      <c r="A27" s="14"/>
      <c r="B27" s="45"/>
      <c r="C27" s="34" t="s">
        <v>25</v>
      </c>
      <c r="D27" s="36">
        <f>D23+D25</f>
        <v>1122442.1793592926</v>
      </c>
      <c r="E27" s="35"/>
      <c r="F27" s="14"/>
      <c r="H27" s="52"/>
    </row>
    <row r="28" spans="1:10" ht="15.75">
      <c r="A28" s="14"/>
      <c r="B28" s="45"/>
      <c r="C28" s="34"/>
      <c r="D28" s="50"/>
      <c r="E28" s="35"/>
      <c r="F28" s="14"/>
      <c r="H28" s="52"/>
    </row>
    <row r="29" spans="1:10" ht="15.75">
      <c r="A29" s="14"/>
      <c r="B29" s="45"/>
      <c r="C29" s="34" t="s">
        <v>37</v>
      </c>
      <c r="D29" s="48">
        <f ca="1">'#10'!D28-'#11'!D27</f>
        <v>4723034.5524828136</v>
      </c>
      <c r="E29" s="35"/>
      <c r="F29" s="14"/>
      <c r="H29" s="52"/>
    </row>
    <row r="30" spans="1:10" ht="15.75" thickBot="1">
      <c r="A30" s="14"/>
      <c r="B30" s="37"/>
      <c r="C30" s="38"/>
      <c r="D30" s="39"/>
      <c r="E30" s="40"/>
      <c r="F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107"/>
  <sheetViews>
    <sheetView zoomScaleNormal="100" workbookViewId="0"/>
  </sheetViews>
  <sheetFormatPr defaultRowHeight="12.75"/>
  <cols>
    <col min="2" max="2" width="3.140625" customWidth="1"/>
    <col min="3" max="3" width="31.4257812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110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39</v>
      </c>
      <c r="D7" s="65">
        <v>0.5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12</v>
      </c>
      <c r="D8" s="25">
        <v>0.4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143</v>
      </c>
      <c r="D9" s="67">
        <v>0.16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147</v>
      </c>
      <c r="D10" s="42">
        <v>-18000000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148</v>
      </c>
      <c r="D11" s="42">
        <v>5700000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149</v>
      </c>
      <c r="D12" s="42">
        <v>9500000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150</v>
      </c>
      <c r="D13" s="68">
        <v>8800000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151</v>
      </c>
      <c r="D14" s="42">
        <v>9300000</v>
      </c>
      <c r="E14" s="24"/>
      <c r="F14" s="14"/>
      <c r="G14" s="14"/>
      <c r="H14" s="14"/>
      <c r="I14" s="14"/>
      <c r="J14" s="14"/>
    </row>
    <row r="15" spans="1:10" ht="15">
      <c r="A15" s="14"/>
      <c r="B15" s="21"/>
      <c r="C15" s="22" t="s">
        <v>152</v>
      </c>
      <c r="D15" s="25">
        <v>0.09</v>
      </c>
      <c r="E15" s="24"/>
      <c r="F15" s="14"/>
      <c r="G15" s="14"/>
      <c r="H15" s="14"/>
      <c r="I15" s="14"/>
      <c r="J15" s="14"/>
    </row>
    <row r="16" spans="1:10" ht="15.75" thickBot="1">
      <c r="A16" s="14"/>
      <c r="B16" s="26"/>
      <c r="C16" s="27"/>
      <c r="D16" s="28"/>
      <c r="E16" s="29"/>
      <c r="F16" s="14"/>
      <c r="G16" s="14"/>
      <c r="H16" s="14"/>
      <c r="I16" s="14"/>
      <c r="J16" s="14"/>
    </row>
    <row r="17" spans="1:10" ht="1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5">
      <c r="A18" s="14"/>
      <c r="B18" s="14"/>
      <c r="C18" s="16" t="s">
        <v>7</v>
      </c>
      <c r="D18" s="14"/>
      <c r="E18" s="14"/>
      <c r="F18" s="14"/>
      <c r="G18" s="14"/>
      <c r="H18" s="14"/>
      <c r="I18" s="14"/>
      <c r="J18" s="14"/>
    </row>
    <row r="19" spans="1:10" ht="15.75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ht="15">
      <c r="A20" s="14"/>
      <c r="B20" s="30"/>
      <c r="C20" s="31"/>
      <c r="D20" s="31"/>
      <c r="E20" s="32"/>
      <c r="F20" s="14"/>
      <c r="H20" s="52"/>
    </row>
    <row r="21" spans="1:10" ht="15">
      <c r="A21" s="14"/>
      <c r="B21" s="45"/>
      <c r="C21" s="34" t="s">
        <v>143</v>
      </c>
      <c r="D21" s="76">
        <f>(D9+(D7*D15*(1-D8)))/(1+(D7*(1-D8)))</f>
        <v>0.14384615384615385</v>
      </c>
      <c r="E21" s="35"/>
      <c r="F21" s="14"/>
      <c r="H21" s="53"/>
    </row>
    <row r="22" spans="1:10" ht="15">
      <c r="A22" s="14"/>
      <c r="B22" s="45"/>
      <c r="C22" s="34"/>
      <c r="D22" s="60"/>
      <c r="E22" s="35"/>
      <c r="F22" s="14"/>
      <c r="H22" s="53"/>
    </row>
    <row r="23" spans="1:10" ht="15">
      <c r="A23" s="14"/>
      <c r="B23" s="45"/>
      <c r="C23" s="34" t="s">
        <v>153</v>
      </c>
      <c r="D23" s="107">
        <f>D10+NPV(D21,D11:D13)</f>
        <v>124086.61974111199</v>
      </c>
      <c r="E23" s="35"/>
      <c r="F23" s="14"/>
      <c r="H23" s="53"/>
    </row>
    <row r="24" spans="1:10" ht="15">
      <c r="A24" s="14"/>
      <c r="B24" s="45"/>
      <c r="C24" s="34"/>
      <c r="D24" s="96"/>
      <c r="E24" s="35"/>
      <c r="F24" s="14"/>
      <c r="H24" s="52"/>
    </row>
    <row r="25" spans="1:10" ht="15">
      <c r="A25" s="14"/>
      <c r="B25" s="45"/>
      <c r="C25" s="34" t="s">
        <v>154</v>
      </c>
      <c r="D25" s="102">
        <f>D14/3</f>
        <v>3100000</v>
      </c>
      <c r="E25" s="35"/>
      <c r="F25" s="14"/>
      <c r="H25" s="52"/>
    </row>
    <row r="26" spans="1:10" ht="15">
      <c r="A26" s="14"/>
      <c r="B26" s="45"/>
      <c r="C26" s="34"/>
      <c r="D26" s="102"/>
      <c r="E26" s="35"/>
      <c r="F26" s="14"/>
      <c r="H26" s="52"/>
    </row>
    <row r="27" spans="1:10" ht="15">
      <c r="A27" s="14"/>
      <c r="B27" s="45"/>
      <c r="C27" s="94" t="s">
        <v>155</v>
      </c>
      <c r="D27" s="102"/>
      <c r="E27" s="35"/>
      <c r="F27" s="14"/>
      <c r="H27" s="52"/>
    </row>
    <row r="28" spans="1:10" ht="15">
      <c r="A28" s="14"/>
      <c r="B28" s="45"/>
      <c r="C28" s="34" t="s">
        <v>8</v>
      </c>
      <c r="D28" s="102">
        <f>D14*D15</f>
        <v>837000</v>
      </c>
      <c r="E28" s="35"/>
      <c r="F28" s="14"/>
      <c r="H28" s="52"/>
    </row>
    <row r="29" spans="1:10" ht="15">
      <c r="A29" s="14"/>
      <c r="B29" s="45"/>
      <c r="C29" s="34" t="s">
        <v>156</v>
      </c>
      <c r="D29" s="102">
        <f>D28*(1-D8)</f>
        <v>502200</v>
      </c>
      <c r="E29" s="35"/>
      <c r="F29" s="14"/>
      <c r="H29" s="52"/>
    </row>
    <row r="30" spans="1:10" ht="15">
      <c r="A30" s="14"/>
      <c r="B30" s="45"/>
      <c r="C30" s="34" t="s">
        <v>157</v>
      </c>
      <c r="D30" s="102">
        <f>D25</f>
        <v>3100000</v>
      </c>
      <c r="E30" s="35"/>
      <c r="F30" s="14"/>
      <c r="H30" s="52"/>
    </row>
    <row r="31" spans="1:10" ht="15">
      <c r="A31" s="14"/>
      <c r="B31" s="45"/>
      <c r="C31" s="34" t="s">
        <v>158</v>
      </c>
      <c r="D31" s="102">
        <f>D29+D30</f>
        <v>3602200</v>
      </c>
      <c r="E31" s="35"/>
      <c r="F31" s="14"/>
      <c r="H31" s="52"/>
    </row>
    <row r="32" spans="1:10" ht="15">
      <c r="A32" s="14"/>
      <c r="B32" s="45"/>
      <c r="C32" s="34"/>
      <c r="D32" s="102"/>
      <c r="E32" s="35"/>
      <c r="F32" s="14"/>
      <c r="H32" s="52"/>
    </row>
    <row r="33" spans="1:8" ht="15">
      <c r="A33" s="14"/>
      <c r="B33" s="45"/>
      <c r="C33" s="94" t="s">
        <v>159</v>
      </c>
      <c r="D33" s="102"/>
      <c r="E33" s="35"/>
      <c r="F33" s="14"/>
      <c r="H33" s="52"/>
    </row>
    <row r="34" spans="1:8" ht="15">
      <c r="A34" s="14"/>
      <c r="B34" s="45"/>
      <c r="C34" s="34" t="s">
        <v>8</v>
      </c>
      <c r="D34" s="102">
        <f>(D14-D25)*D15</f>
        <v>558000</v>
      </c>
      <c r="E34" s="35"/>
      <c r="F34" s="14"/>
      <c r="H34" s="52"/>
    </row>
    <row r="35" spans="1:8" ht="15">
      <c r="A35" s="14"/>
      <c r="B35" s="45"/>
      <c r="C35" s="34" t="s">
        <v>156</v>
      </c>
      <c r="D35" s="102">
        <f>D34*(1-D8)</f>
        <v>334800</v>
      </c>
      <c r="E35" s="35"/>
      <c r="F35" s="14"/>
      <c r="H35" s="52"/>
    </row>
    <row r="36" spans="1:8" ht="15">
      <c r="A36" s="14"/>
      <c r="B36" s="45"/>
      <c r="C36" s="34" t="s">
        <v>157</v>
      </c>
      <c r="D36" s="102">
        <f>D25</f>
        <v>3100000</v>
      </c>
      <c r="E36" s="35"/>
      <c r="F36" s="14"/>
      <c r="H36" s="52"/>
    </row>
    <row r="37" spans="1:8" ht="15">
      <c r="A37" s="14"/>
      <c r="B37" s="45"/>
      <c r="C37" s="34" t="s">
        <v>158</v>
      </c>
      <c r="D37" s="102">
        <f>D35+D36</f>
        <v>3434800</v>
      </c>
      <c r="E37" s="35"/>
      <c r="F37" s="14"/>
      <c r="H37" s="52"/>
    </row>
    <row r="38" spans="1:8" ht="15">
      <c r="A38" s="14"/>
      <c r="B38" s="45"/>
      <c r="C38" s="34"/>
      <c r="D38" s="102"/>
      <c r="E38" s="35"/>
      <c r="F38" s="14"/>
      <c r="H38" s="52"/>
    </row>
    <row r="39" spans="1:8" ht="15">
      <c r="A39" s="14"/>
      <c r="B39" s="45"/>
      <c r="C39" s="94" t="s">
        <v>160</v>
      </c>
      <c r="D39" s="102"/>
      <c r="E39" s="35"/>
      <c r="F39" s="14"/>
      <c r="H39" s="52"/>
    </row>
    <row r="40" spans="1:8" ht="15">
      <c r="A40" s="14"/>
      <c r="B40" s="45"/>
      <c r="C40" s="34" t="s">
        <v>8</v>
      </c>
      <c r="D40" s="102">
        <f>(D14-D25-D25)*D15</f>
        <v>279000</v>
      </c>
      <c r="E40" s="35"/>
      <c r="F40" s="14"/>
      <c r="H40" s="52"/>
    </row>
    <row r="41" spans="1:8" ht="15">
      <c r="A41" s="14"/>
      <c r="B41" s="45"/>
      <c r="C41" s="34" t="s">
        <v>156</v>
      </c>
      <c r="D41" s="102">
        <f>D40*(1-D8)</f>
        <v>167400</v>
      </c>
      <c r="E41" s="35"/>
      <c r="F41" s="14"/>
      <c r="H41" s="52"/>
    </row>
    <row r="42" spans="1:8" ht="15">
      <c r="A42" s="14"/>
      <c r="B42" s="45"/>
      <c r="C42" s="34" t="s">
        <v>157</v>
      </c>
      <c r="D42" s="102">
        <f>D25</f>
        <v>3100000</v>
      </c>
      <c r="E42" s="35"/>
      <c r="F42" s="14"/>
      <c r="H42" s="52"/>
    </row>
    <row r="43" spans="1:8" ht="15">
      <c r="A43" s="14"/>
      <c r="B43" s="45"/>
      <c r="C43" s="34" t="s">
        <v>158</v>
      </c>
      <c r="D43" s="102">
        <f>D42+D41</f>
        <v>3267400</v>
      </c>
      <c r="E43" s="35"/>
      <c r="F43" s="14"/>
      <c r="H43" s="52"/>
    </row>
    <row r="44" spans="1:8" ht="15">
      <c r="A44" s="14"/>
      <c r="B44" s="45"/>
      <c r="C44" s="34"/>
      <c r="D44" s="36"/>
      <c r="E44" s="35"/>
      <c r="F44" s="14"/>
      <c r="H44" s="52"/>
    </row>
    <row r="45" spans="1:8" ht="15">
      <c r="A45" s="14"/>
      <c r="B45" s="45"/>
      <c r="C45" s="34" t="s">
        <v>109</v>
      </c>
      <c r="D45" s="104">
        <f>D14-NPV(D15,D31,D37,D43)</f>
        <v>581194.61417466588</v>
      </c>
      <c r="E45" s="35"/>
      <c r="F45" s="14"/>
      <c r="H45" s="52"/>
    </row>
    <row r="46" spans="1:8" ht="15">
      <c r="A46" s="14"/>
      <c r="B46" s="45"/>
      <c r="C46" s="34"/>
      <c r="D46" s="36"/>
      <c r="E46" s="35"/>
      <c r="F46" s="14"/>
      <c r="H46" s="52"/>
    </row>
    <row r="47" spans="1:8" ht="15.75">
      <c r="A47" s="14"/>
      <c r="B47" s="45"/>
      <c r="C47" s="34" t="s">
        <v>25</v>
      </c>
      <c r="D47" s="48">
        <f>D45+D23</f>
        <v>705281.23391577788</v>
      </c>
      <c r="E47" s="35"/>
      <c r="F47" s="14"/>
      <c r="H47" s="52"/>
    </row>
    <row r="48" spans="1:8" ht="15.75" thickBot="1">
      <c r="A48" s="14"/>
      <c r="B48" s="37"/>
      <c r="C48" s="38"/>
      <c r="D48" s="39"/>
      <c r="E48" s="40"/>
      <c r="F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ht="15">
      <c r="A97" s="14"/>
      <c r="B97" s="14"/>
      <c r="C97" s="14"/>
      <c r="D97" s="14"/>
      <c r="E97" s="14"/>
      <c r="F97" s="14"/>
      <c r="G97" s="14"/>
      <c r="H97" s="14"/>
      <c r="I97" s="14"/>
      <c r="J97" s="14"/>
    </row>
    <row r="98" spans="1:10" ht="15">
      <c r="A98" s="14"/>
      <c r="B98" s="14"/>
      <c r="C98" s="14"/>
      <c r="D98" s="14"/>
      <c r="E98" s="14"/>
      <c r="F98" s="14"/>
      <c r="G98" s="14"/>
      <c r="H98" s="14"/>
      <c r="I98" s="14"/>
      <c r="J98" s="14"/>
    </row>
    <row r="99" spans="1:10" ht="15">
      <c r="A99" s="14"/>
      <c r="B99" s="14"/>
      <c r="C99" s="14"/>
      <c r="D99" s="14"/>
      <c r="E99" s="14"/>
      <c r="F99" s="14"/>
      <c r="G99" s="14"/>
      <c r="H99" s="14"/>
      <c r="I99" s="14"/>
      <c r="J99" s="14"/>
    </row>
    <row r="100" spans="1:10" ht="15">
      <c r="A100" s="14"/>
      <c r="B100" s="14"/>
      <c r="C100" s="14"/>
      <c r="D100" s="14"/>
      <c r="E100" s="14"/>
      <c r="F100" s="14"/>
      <c r="G100" s="14"/>
      <c r="H100" s="14"/>
      <c r="I100" s="14"/>
      <c r="J100" s="14"/>
    </row>
    <row r="101" spans="1:10" ht="15">
      <c r="A101" s="14"/>
      <c r="B101" s="14"/>
      <c r="C101" s="14"/>
      <c r="D101" s="14"/>
      <c r="E101" s="14"/>
      <c r="F101" s="14"/>
      <c r="G101" s="14"/>
      <c r="H101" s="14"/>
      <c r="I101" s="14"/>
      <c r="J101" s="14"/>
    </row>
    <row r="102" spans="1:10" ht="15">
      <c r="A102" s="14"/>
      <c r="B102" s="14"/>
      <c r="C102" s="14"/>
      <c r="D102" s="14"/>
      <c r="E102" s="14"/>
      <c r="F102" s="14"/>
      <c r="G102" s="14"/>
      <c r="H102" s="14"/>
      <c r="I102" s="14"/>
      <c r="J102" s="14"/>
    </row>
    <row r="103" spans="1:10" ht="15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4" spans="1:10" ht="15">
      <c r="A104" s="14"/>
      <c r="B104" s="14"/>
      <c r="C104" s="14"/>
      <c r="D104" s="14"/>
      <c r="E104" s="14"/>
      <c r="F104" s="14"/>
      <c r="G104" s="14"/>
      <c r="H104" s="14"/>
      <c r="I104" s="14"/>
      <c r="J104" s="14"/>
    </row>
    <row r="105" spans="1:10" ht="1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ht="15">
      <c r="A106" s="14"/>
      <c r="B106" s="14"/>
      <c r="C106" s="14"/>
      <c r="D106" s="14"/>
      <c r="E106" s="14"/>
      <c r="F106" s="14"/>
      <c r="G106" s="14"/>
      <c r="H106" s="14"/>
      <c r="I106" s="14"/>
      <c r="J106" s="14"/>
    </row>
    <row r="107" spans="1:10" ht="15">
      <c r="A107" s="14"/>
      <c r="B107" s="14"/>
      <c r="C107" s="14"/>
      <c r="D107" s="14"/>
      <c r="E107" s="14"/>
      <c r="F107" s="14"/>
      <c r="G107" s="14"/>
      <c r="H107" s="14"/>
      <c r="I107" s="14"/>
      <c r="J107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96"/>
  <sheetViews>
    <sheetView zoomScaleNormal="100" workbookViewId="0"/>
  </sheetViews>
  <sheetFormatPr defaultRowHeight="12.75"/>
  <cols>
    <col min="2" max="2" width="3.140625" customWidth="1"/>
    <col min="3" max="3" width="31.4257812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125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111</v>
      </c>
      <c r="D7" s="65"/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112</v>
      </c>
      <c r="D8" s="95">
        <v>4.1500000000000002E-2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113</v>
      </c>
      <c r="D9" s="25">
        <v>0.2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114</v>
      </c>
      <c r="D10" s="51">
        <v>7.4999999999999997E-2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115</v>
      </c>
      <c r="D11" s="42">
        <v>55000000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116</v>
      </c>
      <c r="D12" s="119">
        <v>6.5000000000000002E-2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117</v>
      </c>
      <c r="D13" s="54">
        <v>4500000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118</v>
      </c>
      <c r="D14" s="68">
        <v>25</v>
      </c>
      <c r="E14" s="24"/>
      <c r="F14" s="14"/>
      <c r="G14" s="14"/>
      <c r="H14" s="14"/>
      <c r="I14" s="14"/>
      <c r="J14" s="14"/>
    </row>
    <row r="15" spans="1:10" ht="15">
      <c r="A15" s="14"/>
      <c r="B15" s="21"/>
      <c r="C15" s="22" t="s">
        <v>12</v>
      </c>
      <c r="D15" s="25">
        <v>0.35</v>
      </c>
      <c r="E15" s="24"/>
      <c r="F15" s="14"/>
      <c r="G15" s="14"/>
      <c r="H15" s="14"/>
      <c r="I15" s="14"/>
      <c r="J15" s="14"/>
    </row>
    <row r="16" spans="1:10" ht="15">
      <c r="A16" s="14"/>
      <c r="B16" s="21"/>
      <c r="C16" s="22" t="s">
        <v>119</v>
      </c>
      <c r="D16" s="119">
        <v>3.4000000000000002E-2</v>
      </c>
      <c r="E16" s="24"/>
      <c r="F16" s="14"/>
      <c r="G16" s="14"/>
      <c r="H16" s="14"/>
      <c r="I16" s="14"/>
      <c r="J16" s="14"/>
    </row>
    <row r="17" spans="1:10" ht="15">
      <c r="A17" s="14"/>
      <c r="B17" s="21"/>
      <c r="C17" s="22" t="s">
        <v>79</v>
      </c>
      <c r="D17" s="42">
        <v>42000000</v>
      </c>
      <c r="E17" s="24"/>
      <c r="F17" s="14"/>
      <c r="G17" s="14"/>
      <c r="H17" s="14"/>
      <c r="I17" s="14"/>
      <c r="J17" s="14"/>
    </row>
    <row r="18" spans="1:10" ht="15">
      <c r="A18" s="14"/>
      <c r="B18" s="21"/>
      <c r="C18" s="22" t="s">
        <v>82</v>
      </c>
      <c r="D18" s="42">
        <v>11800000</v>
      </c>
      <c r="E18" s="24"/>
      <c r="F18" s="14"/>
      <c r="G18" s="14"/>
      <c r="H18" s="14"/>
      <c r="I18" s="14"/>
      <c r="J18" s="14"/>
    </row>
    <row r="19" spans="1:10" ht="15">
      <c r="A19" s="14"/>
      <c r="B19" s="21"/>
      <c r="C19" s="22" t="s">
        <v>87</v>
      </c>
      <c r="D19" s="54">
        <v>5</v>
      </c>
      <c r="E19" s="24"/>
      <c r="F19" s="14"/>
      <c r="G19" s="14"/>
      <c r="H19" s="14"/>
      <c r="I19" s="14"/>
      <c r="J19" s="14"/>
    </row>
    <row r="20" spans="1:10" ht="15.75" thickBot="1">
      <c r="A20" s="14"/>
      <c r="B20" s="26"/>
      <c r="C20" s="27"/>
      <c r="D20" s="28"/>
      <c r="E20" s="29"/>
      <c r="F20" s="14"/>
      <c r="G20" s="14"/>
      <c r="H20" s="14"/>
      <c r="I20" s="14"/>
      <c r="J20" s="14"/>
    </row>
    <row r="21" spans="1:10" ht="15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spans="1:10" ht="15">
      <c r="A22" s="14"/>
      <c r="B22" s="14"/>
      <c r="C22" s="16" t="s">
        <v>7</v>
      </c>
      <c r="D22" s="14"/>
      <c r="E22" s="14"/>
      <c r="F22" s="14"/>
      <c r="G22" s="14"/>
      <c r="H22" s="14"/>
      <c r="I22" s="14"/>
      <c r="J22" s="14"/>
    </row>
    <row r="23" spans="1:10" ht="15.75" thickBot="1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5">
      <c r="A24" s="14"/>
      <c r="B24" s="30"/>
      <c r="C24" s="31"/>
      <c r="D24" s="31"/>
      <c r="E24" s="32"/>
      <c r="F24" s="14"/>
      <c r="H24" s="52"/>
    </row>
    <row r="25" spans="1:10" ht="15">
      <c r="A25" s="14"/>
      <c r="B25" s="45"/>
      <c r="C25" s="34" t="s">
        <v>120</v>
      </c>
      <c r="D25" s="89">
        <f>D14*D13</f>
        <v>112500000</v>
      </c>
      <c r="E25" s="35"/>
      <c r="F25" s="14"/>
      <c r="H25" s="53"/>
    </row>
    <row r="26" spans="1:10" ht="15">
      <c r="A26" s="14"/>
      <c r="B26" s="45"/>
      <c r="C26" s="34" t="s">
        <v>122</v>
      </c>
      <c r="D26" s="60">
        <f>D25+D11</f>
        <v>167500000</v>
      </c>
      <c r="E26" s="35"/>
      <c r="F26" s="14"/>
      <c r="H26" s="53"/>
    </row>
    <row r="27" spans="1:10" ht="15">
      <c r="A27" s="14"/>
      <c r="B27" s="45"/>
      <c r="C27" s="34" t="s">
        <v>121</v>
      </c>
      <c r="D27" s="96">
        <f>D11/D26</f>
        <v>0.32835820895522388</v>
      </c>
      <c r="E27" s="35"/>
      <c r="F27" s="14"/>
      <c r="H27" s="53"/>
    </row>
    <row r="28" spans="1:10" ht="15">
      <c r="A28" s="14"/>
      <c r="B28" s="45"/>
      <c r="C28" s="34" t="s">
        <v>100</v>
      </c>
      <c r="D28" s="96">
        <f>D25/D26</f>
        <v>0.67164179104477617</v>
      </c>
      <c r="E28" s="35"/>
      <c r="F28" s="14"/>
      <c r="H28" s="52"/>
    </row>
    <row r="29" spans="1:10" ht="15.75">
      <c r="A29" s="14"/>
      <c r="B29" s="45"/>
      <c r="C29" s="94"/>
      <c r="D29" s="50"/>
      <c r="E29" s="35"/>
      <c r="F29" s="14"/>
      <c r="H29" s="52"/>
    </row>
    <row r="30" spans="1:10" ht="15">
      <c r="A30" s="14"/>
      <c r="B30" s="45"/>
      <c r="C30" s="34" t="s">
        <v>123</v>
      </c>
      <c r="D30" s="79">
        <f>D8/(D9*D9)</f>
        <v>1.0374999999999999</v>
      </c>
      <c r="E30" s="35"/>
      <c r="F30" s="14"/>
      <c r="H30" s="52"/>
    </row>
    <row r="31" spans="1:10" ht="15">
      <c r="A31" s="14"/>
      <c r="B31" s="45"/>
      <c r="C31" s="34"/>
      <c r="D31" s="36"/>
      <c r="E31" s="35"/>
      <c r="F31" s="14"/>
      <c r="H31" s="52"/>
    </row>
    <row r="32" spans="1:10" ht="15">
      <c r="A32" s="14"/>
      <c r="B32" s="45"/>
      <c r="C32" s="34" t="s">
        <v>124</v>
      </c>
      <c r="D32" s="76">
        <f>D16+(D30*D10)</f>
        <v>0.1118125</v>
      </c>
      <c r="E32" s="35"/>
      <c r="F32" s="14"/>
      <c r="H32" s="52"/>
    </row>
    <row r="33" spans="1:10" ht="15">
      <c r="A33" s="14"/>
      <c r="B33" s="45"/>
      <c r="C33" s="34"/>
      <c r="D33" s="36"/>
      <c r="E33" s="35"/>
      <c r="F33" s="14"/>
      <c r="H33" s="52"/>
    </row>
    <row r="34" spans="1:10" ht="15">
      <c r="A34" s="14"/>
      <c r="B34" s="45"/>
      <c r="C34" s="34" t="s">
        <v>67</v>
      </c>
      <c r="D34" s="76">
        <f>(D27*D12*(1-D15))+(D28*D32)</f>
        <v>8.8971082089552248E-2</v>
      </c>
      <c r="E34" s="35"/>
      <c r="F34" s="14"/>
      <c r="H34" s="52"/>
    </row>
    <row r="35" spans="1:10" ht="15">
      <c r="A35" s="14"/>
      <c r="B35" s="45"/>
      <c r="C35" s="34"/>
      <c r="D35" s="36"/>
      <c r="E35" s="35"/>
      <c r="F35" s="14"/>
      <c r="H35" s="52"/>
    </row>
    <row r="36" spans="1:10" ht="15.75">
      <c r="A36" s="14"/>
      <c r="B36" s="45"/>
      <c r="C36" s="34" t="s">
        <v>78</v>
      </c>
      <c r="D36" s="117">
        <f>-D17+PV(D34,D19,-D18)</f>
        <v>4020681.2768200934</v>
      </c>
      <c r="E36" s="35"/>
      <c r="F36" s="14"/>
      <c r="H36" s="52"/>
    </row>
    <row r="37" spans="1:10" ht="15.75" thickBot="1">
      <c r="A37" s="14"/>
      <c r="B37" s="37"/>
      <c r="C37" s="38"/>
      <c r="D37" s="39"/>
      <c r="E37" s="40"/>
      <c r="F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93"/>
  <sheetViews>
    <sheetView zoomScaleNormal="100" workbookViewId="0"/>
  </sheetViews>
  <sheetFormatPr defaultRowHeight="12.75"/>
  <cols>
    <col min="2" max="2" width="3.140625" customWidth="1"/>
    <col min="3" max="3" width="31.4257812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176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189</v>
      </c>
      <c r="D7" s="42">
        <v>4500000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190</v>
      </c>
      <c r="D8" s="42">
        <v>675000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200</v>
      </c>
      <c r="D9" s="54">
        <v>20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191</v>
      </c>
      <c r="D10" s="65">
        <v>0.4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203</v>
      </c>
      <c r="D11" s="51">
        <v>6.8000000000000005E-2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115" t="s">
        <v>192</v>
      </c>
      <c r="D12" s="114"/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193</v>
      </c>
      <c r="D13" s="65">
        <v>1.1499999999999999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194</v>
      </c>
      <c r="D14" s="65">
        <v>1.08</v>
      </c>
      <c r="E14" s="24"/>
      <c r="F14" s="14"/>
      <c r="G14" s="14"/>
      <c r="H14" s="14"/>
      <c r="I14" s="14"/>
      <c r="J14" s="14"/>
    </row>
    <row r="15" spans="1:10" ht="15">
      <c r="A15" s="14"/>
      <c r="B15" s="21"/>
      <c r="C15" s="22" t="s">
        <v>195</v>
      </c>
      <c r="D15" s="65">
        <v>1.3</v>
      </c>
      <c r="E15" s="24"/>
      <c r="F15" s="14"/>
      <c r="G15" s="14"/>
      <c r="H15" s="14"/>
      <c r="I15" s="14"/>
      <c r="J15" s="14"/>
    </row>
    <row r="16" spans="1:10" ht="15">
      <c r="A16" s="14"/>
      <c r="B16" s="21"/>
      <c r="C16" s="22" t="s">
        <v>196</v>
      </c>
      <c r="D16" s="65">
        <v>1.25</v>
      </c>
      <c r="E16" s="24"/>
      <c r="F16" s="14"/>
      <c r="G16" s="14"/>
      <c r="H16" s="14"/>
      <c r="I16" s="14"/>
      <c r="J16" s="14"/>
    </row>
    <row r="17" spans="1:10" ht="15">
      <c r="A17" s="14"/>
      <c r="B17" s="21"/>
      <c r="C17" s="22" t="s">
        <v>57</v>
      </c>
      <c r="D17" s="51">
        <v>3.7999999999999999E-2</v>
      </c>
      <c r="E17" s="24"/>
      <c r="F17" s="14"/>
      <c r="G17" s="14"/>
      <c r="H17" s="14"/>
      <c r="I17" s="14"/>
      <c r="J17" s="14"/>
    </row>
    <row r="18" spans="1:10" ht="15">
      <c r="A18" s="14"/>
      <c r="B18" s="21"/>
      <c r="C18" s="22" t="s">
        <v>114</v>
      </c>
      <c r="D18" s="51">
        <v>7.0000000000000007E-2</v>
      </c>
      <c r="E18" s="24"/>
      <c r="F18" s="14"/>
      <c r="G18" s="14"/>
      <c r="H18" s="14"/>
      <c r="I18" s="14"/>
      <c r="J18" s="14"/>
    </row>
    <row r="19" spans="1:10" ht="15">
      <c r="A19" s="14"/>
      <c r="B19" s="21"/>
      <c r="C19" s="22" t="s">
        <v>12</v>
      </c>
      <c r="D19" s="25">
        <v>0.34</v>
      </c>
      <c r="E19" s="24"/>
      <c r="F19" s="14"/>
      <c r="G19" s="14"/>
      <c r="H19" s="14"/>
      <c r="I19" s="14"/>
      <c r="J19" s="14"/>
    </row>
    <row r="20" spans="1:10" ht="15.75" thickBot="1">
      <c r="A20" s="14"/>
      <c r="B20" s="26"/>
      <c r="C20" s="27"/>
      <c r="D20" s="28"/>
      <c r="E20" s="29"/>
      <c r="F20" s="14"/>
      <c r="G20" s="14"/>
      <c r="H20" s="14"/>
      <c r="I20" s="14"/>
      <c r="J20" s="14"/>
    </row>
    <row r="21" spans="1:10" ht="15">
      <c r="A21" s="14"/>
      <c r="B21" s="14"/>
      <c r="C21" s="14"/>
      <c r="D21" s="14"/>
      <c r="E21" s="14"/>
      <c r="F21" s="14"/>
      <c r="G21" s="14"/>
      <c r="H21" s="14"/>
      <c r="I21" s="14"/>
      <c r="J21" s="14"/>
    </row>
    <row r="22" spans="1:10" ht="15">
      <c r="A22" s="14"/>
      <c r="B22" s="14"/>
      <c r="C22" s="16" t="s">
        <v>7</v>
      </c>
      <c r="D22" s="14"/>
      <c r="E22" s="14"/>
      <c r="F22" s="14"/>
      <c r="G22" s="14"/>
      <c r="H22" s="14"/>
      <c r="I22" s="14"/>
      <c r="J22" s="14"/>
    </row>
    <row r="23" spans="1:10" ht="15.75" thickBot="1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5">
      <c r="A24" s="14"/>
      <c r="B24" s="30"/>
      <c r="C24" s="31"/>
      <c r="D24" s="31"/>
      <c r="E24" s="32"/>
      <c r="F24" s="14"/>
      <c r="H24" s="52"/>
    </row>
    <row r="25" spans="1:10" ht="15">
      <c r="A25" s="14"/>
      <c r="B25" s="45"/>
      <c r="C25" s="34" t="s">
        <v>197</v>
      </c>
      <c r="D25" s="93">
        <f>AVERAGE(D13:D16)</f>
        <v>1.1950000000000001</v>
      </c>
      <c r="E25" s="35"/>
      <c r="F25" s="14"/>
      <c r="H25" s="53"/>
    </row>
    <row r="26" spans="1:10" ht="15">
      <c r="A26" s="14"/>
      <c r="B26" s="45"/>
      <c r="C26" s="34" t="s">
        <v>199</v>
      </c>
      <c r="D26" s="93">
        <f>1-D10</f>
        <v>0.6</v>
      </c>
      <c r="E26" s="35"/>
      <c r="F26" s="14"/>
      <c r="H26" s="53"/>
    </row>
    <row r="27" spans="1:10" ht="15">
      <c r="A27" s="14"/>
      <c r="B27" s="45"/>
      <c r="C27" s="34" t="s">
        <v>39</v>
      </c>
      <c r="D27" s="79">
        <f>D10/D26</f>
        <v>0.66666666666666674</v>
      </c>
      <c r="E27" s="35"/>
      <c r="F27" s="14"/>
      <c r="H27" s="53"/>
    </row>
    <row r="28" spans="1:10" ht="15">
      <c r="A28" s="14"/>
      <c r="B28" s="45"/>
      <c r="C28" s="34" t="s">
        <v>202</v>
      </c>
      <c r="D28" s="93">
        <f>(1+((1-D19)*D27))*D25</f>
        <v>1.7208000000000001</v>
      </c>
      <c r="E28" s="35"/>
      <c r="F28" s="14"/>
      <c r="H28" s="53"/>
    </row>
    <row r="29" spans="1:10" ht="15">
      <c r="A29" s="14"/>
      <c r="B29" s="45"/>
      <c r="C29" s="34" t="s">
        <v>198</v>
      </c>
      <c r="D29" s="76">
        <f>D17+D28*D18</f>
        <v>0.15845600000000001</v>
      </c>
      <c r="E29" s="35"/>
      <c r="F29" s="14"/>
      <c r="H29" s="52"/>
    </row>
    <row r="30" spans="1:10" ht="15">
      <c r="A30" s="14"/>
      <c r="B30" s="45"/>
      <c r="C30" s="34" t="s">
        <v>67</v>
      </c>
      <c r="D30" s="76">
        <f>(D10*D11*(1-D19))+(D26*D29)</f>
        <v>0.1130256</v>
      </c>
      <c r="E30" s="35"/>
      <c r="F30" s="14"/>
      <c r="H30" s="52"/>
    </row>
    <row r="31" spans="1:10" ht="15">
      <c r="A31" s="14"/>
      <c r="B31" s="45"/>
      <c r="C31" s="34" t="s">
        <v>201</v>
      </c>
      <c r="D31" s="116">
        <f>PV(D30,D9,-D8)</f>
        <v>5270604.4805199737</v>
      </c>
      <c r="E31" s="35"/>
      <c r="F31" s="14"/>
      <c r="H31" s="52"/>
    </row>
    <row r="32" spans="1:10" ht="15">
      <c r="A32" s="14"/>
      <c r="B32" s="45"/>
      <c r="C32" s="34"/>
      <c r="D32" s="76"/>
      <c r="E32" s="35"/>
      <c r="F32" s="14"/>
      <c r="H32" s="52"/>
    </row>
    <row r="33" spans="1:10" ht="15.75">
      <c r="A33" s="14"/>
      <c r="B33" s="45"/>
      <c r="C33" s="34" t="s">
        <v>78</v>
      </c>
      <c r="D33" s="118">
        <f>-D7+D31</f>
        <v>770604.48051997367</v>
      </c>
      <c r="E33" s="35"/>
      <c r="F33" s="14"/>
      <c r="H33" s="52"/>
    </row>
    <row r="34" spans="1:10" ht="15.75" thickBot="1">
      <c r="A34" s="14"/>
      <c r="B34" s="37"/>
      <c r="C34" s="38"/>
      <c r="D34" s="39"/>
      <c r="E34" s="40"/>
      <c r="F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</sheetData>
  <phoneticPr fontId="27" type="noConversion"/>
  <pageMargins left="0.75" right="0.75" top="1" bottom="1" header="0.5" footer="0.5"/>
  <pageSetup scale="92" orientation="portrait" horizontalDpi="360" verticalDpi="360" r:id="rId1"/>
  <headerFooter alignWithMargins="0"/>
  <ignoredErrors>
    <ignoredError sqref="D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dimension ref="A1:J106"/>
  <sheetViews>
    <sheetView zoomScaleNormal="100" workbookViewId="0"/>
  </sheetViews>
  <sheetFormatPr defaultRowHeight="12.75"/>
  <cols>
    <col min="2" max="2" width="3.140625" customWidth="1"/>
    <col min="3" max="3" width="42" bestFit="1" customWidth="1"/>
    <col min="4" max="4" width="21.42578125" bestFit="1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177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126</v>
      </c>
      <c r="D7" s="42">
        <v>21000000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127</v>
      </c>
      <c r="D8" s="51">
        <v>0.16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117</v>
      </c>
      <c r="D9" s="54">
        <v>1300000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12</v>
      </c>
      <c r="D10" s="25">
        <v>0.35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128</v>
      </c>
      <c r="D11" s="42">
        <v>30000000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16</v>
      </c>
      <c r="D12" s="25">
        <v>0.09</v>
      </c>
      <c r="E12" s="24"/>
      <c r="F12" s="14"/>
      <c r="G12" s="14"/>
      <c r="H12" s="14"/>
      <c r="I12" s="14"/>
      <c r="J12" s="14"/>
    </row>
    <row r="13" spans="1:10" ht="15.75" thickBot="1">
      <c r="A13" s="14"/>
      <c r="B13" s="26"/>
      <c r="C13" s="27"/>
      <c r="D13" s="28"/>
      <c r="E13" s="29"/>
      <c r="F13" s="14"/>
      <c r="G13" s="14"/>
      <c r="H13" s="14"/>
      <c r="I13" s="14"/>
      <c r="J13" s="14"/>
    </row>
    <row r="14" spans="1:10" ht="1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5">
      <c r="A15" s="14"/>
      <c r="B15" s="14"/>
      <c r="C15" s="16" t="s">
        <v>7</v>
      </c>
      <c r="D15" s="14"/>
      <c r="E15" s="14"/>
      <c r="F15" s="14"/>
      <c r="G15" s="14"/>
      <c r="H15" s="14"/>
      <c r="I15" s="14"/>
      <c r="J15" s="14"/>
    </row>
    <row r="16" spans="1:10" ht="15.75" thickBot="1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8" ht="15">
      <c r="A17" s="14"/>
      <c r="B17" s="30"/>
      <c r="C17" s="31"/>
      <c r="D17" s="31"/>
      <c r="E17" s="32"/>
      <c r="F17" s="14"/>
      <c r="H17" s="52"/>
    </row>
    <row r="18" spans="1:8" ht="15">
      <c r="A18" s="14"/>
      <c r="B18" s="45" t="s">
        <v>17</v>
      </c>
      <c r="C18" s="34" t="s">
        <v>19</v>
      </c>
      <c r="D18" s="89">
        <f>D7*(1-D10)</f>
        <v>13650000</v>
      </c>
      <c r="E18" s="35"/>
      <c r="F18" s="14"/>
      <c r="H18" s="53"/>
    </row>
    <row r="19" spans="1:8" ht="15">
      <c r="A19" s="14"/>
      <c r="B19" s="45"/>
      <c r="C19" s="34"/>
      <c r="D19" s="60"/>
      <c r="E19" s="35"/>
      <c r="F19" s="14"/>
      <c r="H19" s="53"/>
    </row>
    <row r="20" spans="1:8" ht="15.75">
      <c r="A20" s="14"/>
      <c r="B20" s="45"/>
      <c r="C20" s="34" t="s">
        <v>53</v>
      </c>
      <c r="D20" s="97">
        <f>D18/D8</f>
        <v>85312500</v>
      </c>
      <c r="E20" s="35"/>
      <c r="F20" s="14"/>
      <c r="H20" s="53"/>
    </row>
    <row r="21" spans="1:8" ht="15.75">
      <c r="A21" s="14"/>
      <c r="B21" s="45"/>
      <c r="C21" s="34"/>
      <c r="D21" s="98"/>
      <c r="E21" s="35"/>
      <c r="F21" s="14"/>
      <c r="H21" s="53"/>
    </row>
    <row r="22" spans="1:8" ht="15.75">
      <c r="A22" s="14"/>
      <c r="B22" s="45"/>
      <c r="C22" s="34" t="s">
        <v>129</v>
      </c>
      <c r="D22" s="99">
        <f>D20/D9</f>
        <v>65.625</v>
      </c>
      <c r="E22" s="35"/>
      <c r="F22" s="14"/>
      <c r="H22" s="53"/>
    </row>
    <row r="23" spans="1:8" ht="15.75">
      <c r="A23" s="14"/>
      <c r="B23" s="45"/>
      <c r="C23" s="34"/>
      <c r="D23" s="98"/>
      <c r="E23" s="35"/>
      <c r="F23" s="14"/>
      <c r="H23" s="53"/>
    </row>
    <row r="24" spans="1:8" ht="15">
      <c r="A24" s="14"/>
      <c r="B24" s="45" t="s">
        <v>21</v>
      </c>
      <c r="C24" s="34" t="s">
        <v>109</v>
      </c>
      <c r="D24" s="89">
        <f>D11-(((1-D10)*D12*D11)/D12)</f>
        <v>10500000</v>
      </c>
      <c r="E24" s="35"/>
      <c r="F24" s="14"/>
      <c r="H24" s="53"/>
    </row>
    <row r="25" spans="1:8" ht="15.75">
      <c r="A25" s="14"/>
      <c r="B25" s="45"/>
      <c r="C25" s="34"/>
      <c r="D25" s="98"/>
      <c r="E25" s="35"/>
      <c r="F25" s="14"/>
      <c r="H25" s="53"/>
    </row>
    <row r="26" spans="1:8" ht="15.75">
      <c r="A26" s="14"/>
      <c r="B26" s="45"/>
      <c r="C26" s="34" t="s">
        <v>131</v>
      </c>
      <c r="D26" s="97">
        <f>D20+D24</f>
        <v>95812500</v>
      </c>
      <c r="E26" s="35"/>
      <c r="F26" s="14"/>
      <c r="H26" s="53"/>
    </row>
    <row r="27" spans="1:8" ht="15.75">
      <c r="A27" s="14"/>
      <c r="B27" s="45"/>
      <c r="C27" s="34"/>
      <c r="D27" s="98"/>
      <c r="E27" s="35"/>
      <c r="F27" s="14"/>
      <c r="H27" s="53"/>
    </row>
    <row r="28" spans="1:8" ht="15.75">
      <c r="A28" s="14"/>
      <c r="B28" s="45"/>
      <c r="C28" s="34" t="s">
        <v>130</v>
      </c>
      <c r="D28" s="99">
        <f>D26/D9</f>
        <v>73.70192307692308</v>
      </c>
      <c r="E28" s="35"/>
      <c r="F28" s="14"/>
      <c r="H28" s="53"/>
    </row>
    <row r="29" spans="1:8" ht="15.75">
      <c r="A29" s="14"/>
      <c r="B29" s="45"/>
      <c r="C29" s="34"/>
      <c r="D29" s="98"/>
      <c r="E29" s="35"/>
      <c r="F29" s="14"/>
      <c r="H29" s="53"/>
    </row>
    <row r="30" spans="1:8" ht="15.75">
      <c r="A30" s="14"/>
      <c r="B30" s="45" t="s">
        <v>64</v>
      </c>
      <c r="C30" s="34" t="s">
        <v>132</v>
      </c>
      <c r="D30" s="100">
        <f>D11/D28</f>
        <v>407045.0097847358</v>
      </c>
      <c r="E30" s="35"/>
      <c r="F30" s="14"/>
      <c r="H30" s="52"/>
    </row>
    <row r="31" spans="1:8" ht="15">
      <c r="A31" s="14"/>
      <c r="B31" s="45"/>
      <c r="C31" s="94"/>
      <c r="D31" s="60"/>
      <c r="E31" s="35"/>
      <c r="F31" s="14"/>
      <c r="H31" s="52"/>
    </row>
    <row r="32" spans="1:8" ht="15.75">
      <c r="A32" s="14"/>
      <c r="B32" s="45"/>
      <c r="C32" s="34" t="s">
        <v>134</v>
      </c>
      <c r="D32" s="101">
        <f>D26-D11</f>
        <v>65812500</v>
      </c>
      <c r="E32" s="35"/>
      <c r="F32" s="14"/>
      <c r="H32" s="52"/>
    </row>
    <row r="33" spans="1:10" ht="15">
      <c r="A33" s="14"/>
      <c r="B33" s="45"/>
      <c r="C33" s="34"/>
      <c r="D33" s="89"/>
      <c r="E33" s="35"/>
      <c r="F33" s="14"/>
      <c r="H33" s="52"/>
    </row>
    <row r="34" spans="1:10" ht="15">
      <c r="A34" s="14"/>
      <c r="B34" s="45"/>
      <c r="C34" s="34" t="s">
        <v>135</v>
      </c>
      <c r="D34" s="69">
        <f>D9-D30</f>
        <v>892954.99021526426</v>
      </c>
      <c r="E34" s="35"/>
      <c r="F34" s="14"/>
      <c r="H34" s="52"/>
    </row>
    <row r="35" spans="1:10" ht="15">
      <c r="A35" s="14"/>
      <c r="B35" s="45"/>
      <c r="C35" s="34"/>
      <c r="D35" s="69"/>
      <c r="E35" s="35"/>
      <c r="F35" s="14"/>
      <c r="H35" s="52"/>
    </row>
    <row r="36" spans="1:10" ht="15.75">
      <c r="A36" s="14"/>
      <c r="B36" s="45"/>
      <c r="C36" s="34" t="s">
        <v>133</v>
      </c>
      <c r="D36" s="48">
        <f>D32/D34</f>
        <v>73.701923076923066</v>
      </c>
      <c r="E36" s="35"/>
      <c r="F36" s="14"/>
      <c r="H36" s="52"/>
    </row>
    <row r="37" spans="1:10" ht="15.75">
      <c r="A37" s="14"/>
      <c r="B37" s="45"/>
      <c r="C37" s="34"/>
      <c r="D37" s="50"/>
      <c r="E37" s="35"/>
      <c r="F37" s="14"/>
      <c r="H37" s="52"/>
    </row>
    <row r="38" spans="1:10" ht="15">
      <c r="A38" s="14"/>
      <c r="B38" s="45" t="s">
        <v>136</v>
      </c>
      <c r="C38" s="34" t="s">
        <v>40</v>
      </c>
      <c r="D38" s="76">
        <f>D8+((D11/D32)*(D8-D12)*(1-D10))</f>
        <v>0.18074074074074076</v>
      </c>
      <c r="E38" s="35"/>
      <c r="F38" s="14"/>
      <c r="H38" s="52"/>
    </row>
    <row r="39" spans="1:10" ht="15.75">
      <c r="A39" s="14"/>
      <c r="B39" s="45"/>
      <c r="C39" s="34"/>
      <c r="D39" s="50"/>
      <c r="E39" s="35"/>
      <c r="F39" s="14"/>
      <c r="H39" s="52"/>
    </row>
    <row r="40" spans="1:10" ht="15">
      <c r="A40" s="14"/>
      <c r="B40" s="45"/>
      <c r="C40" s="34" t="s">
        <v>137</v>
      </c>
      <c r="D40" s="102">
        <f>D7</f>
        <v>21000000</v>
      </c>
      <c r="E40" s="35"/>
      <c r="F40" s="14"/>
      <c r="H40" s="52"/>
    </row>
    <row r="41" spans="1:10" ht="15">
      <c r="A41" s="14"/>
      <c r="B41" s="45"/>
      <c r="C41" s="34" t="s">
        <v>8</v>
      </c>
      <c r="D41" s="70">
        <f>D11*D12</f>
        <v>2700000</v>
      </c>
      <c r="E41" s="35"/>
      <c r="F41" s="14"/>
      <c r="H41" s="52"/>
    </row>
    <row r="42" spans="1:10" ht="15">
      <c r="A42" s="14"/>
      <c r="B42" s="45"/>
      <c r="C42" s="34" t="s">
        <v>49</v>
      </c>
      <c r="D42" s="102">
        <f>D40-D41</f>
        <v>18300000</v>
      </c>
      <c r="E42" s="35"/>
      <c r="F42" s="14"/>
      <c r="H42" s="52"/>
    </row>
    <row r="43" spans="1:10" ht="15">
      <c r="A43" s="14"/>
      <c r="B43" s="45"/>
      <c r="C43" s="34" t="s">
        <v>50</v>
      </c>
      <c r="D43" s="69">
        <f>D42*D10</f>
        <v>6405000</v>
      </c>
      <c r="E43" s="35"/>
      <c r="F43" s="14"/>
      <c r="H43" s="52"/>
    </row>
    <row r="44" spans="1:10" ht="15.75" thickBot="1">
      <c r="A44" s="14"/>
      <c r="B44" s="45"/>
      <c r="C44" s="34" t="s">
        <v>138</v>
      </c>
      <c r="D44" s="103">
        <f>D42-D43</f>
        <v>11895000</v>
      </c>
      <c r="E44" s="35"/>
      <c r="F44" s="14"/>
      <c r="H44" s="52"/>
    </row>
    <row r="45" spans="1:10" ht="16.5" thickTop="1">
      <c r="A45" s="14"/>
      <c r="B45" s="45"/>
      <c r="C45" s="34"/>
      <c r="D45" s="50"/>
      <c r="E45" s="35"/>
      <c r="F45" s="14"/>
      <c r="H45" s="52"/>
    </row>
    <row r="46" spans="1:10" ht="15.75">
      <c r="A46" s="14"/>
      <c r="B46" s="45"/>
      <c r="C46" s="34" t="s">
        <v>51</v>
      </c>
      <c r="D46" s="101">
        <f>D44/D38</f>
        <v>65812499.999999993</v>
      </c>
      <c r="E46" s="35"/>
      <c r="F46" s="14"/>
      <c r="H46" s="52"/>
    </row>
    <row r="47" spans="1:10" ht="15.75" thickBot="1">
      <c r="A47" s="14"/>
      <c r="B47" s="37"/>
      <c r="C47" s="38"/>
      <c r="D47" s="39"/>
      <c r="E47" s="40"/>
      <c r="F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ht="15">
      <c r="A97" s="14"/>
      <c r="B97" s="14"/>
      <c r="C97" s="14"/>
      <c r="D97" s="14"/>
      <c r="E97" s="14"/>
      <c r="F97" s="14"/>
      <c r="G97" s="14"/>
      <c r="H97" s="14"/>
      <c r="I97" s="14"/>
      <c r="J97" s="14"/>
    </row>
    <row r="98" spans="1:10" ht="15">
      <c r="A98" s="14"/>
      <c r="B98" s="14"/>
      <c r="C98" s="14"/>
      <c r="D98" s="14"/>
      <c r="E98" s="14"/>
      <c r="F98" s="14"/>
      <c r="G98" s="14"/>
      <c r="H98" s="14"/>
      <c r="I98" s="14"/>
      <c r="J98" s="14"/>
    </row>
    <row r="99" spans="1:10" ht="15">
      <c r="A99" s="14"/>
      <c r="B99" s="14"/>
      <c r="C99" s="14"/>
      <c r="D99" s="14"/>
      <c r="E99" s="14"/>
      <c r="F99" s="14"/>
      <c r="G99" s="14"/>
      <c r="H99" s="14"/>
      <c r="I99" s="14"/>
      <c r="J99" s="14"/>
    </row>
    <row r="100" spans="1:10" ht="15">
      <c r="A100" s="14"/>
      <c r="B100" s="14"/>
      <c r="C100" s="14"/>
      <c r="D100" s="14"/>
      <c r="E100" s="14"/>
      <c r="F100" s="14"/>
      <c r="G100" s="14"/>
      <c r="H100" s="14"/>
      <c r="I100" s="14"/>
      <c r="J100" s="14"/>
    </row>
    <row r="101" spans="1:10" ht="15">
      <c r="A101" s="14"/>
      <c r="B101" s="14"/>
      <c r="C101" s="14"/>
      <c r="D101" s="14"/>
      <c r="E101" s="14"/>
      <c r="F101" s="14"/>
      <c r="G101" s="14"/>
      <c r="H101" s="14"/>
      <c r="I101" s="14"/>
      <c r="J101" s="14"/>
    </row>
    <row r="102" spans="1:10" ht="15">
      <c r="A102" s="14"/>
      <c r="B102" s="14"/>
      <c r="C102" s="14"/>
      <c r="D102" s="14"/>
      <c r="E102" s="14"/>
      <c r="F102" s="14"/>
      <c r="G102" s="14"/>
      <c r="H102" s="14"/>
      <c r="I102" s="14"/>
      <c r="J102" s="14"/>
    </row>
    <row r="103" spans="1:10" ht="15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4" spans="1:10" ht="15">
      <c r="A104" s="14"/>
      <c r="B104" s="14"/>
      <c r="C104" s="14"/>
      <c r="D104" s="14"/>
      <c r="E104" s="14"/>
      <c r="F104" s="14"/>
      <c r="G104" s="14"/>
      <c r="H104" s="14"/>
      <c r="I104" s="14"/>
      <c r="J104" s="14"/>
    </row>
    <row r="105" spans="1:10" ht="1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ht="15">
      <c r="A106" s="14"/>
      <c r="B106" s="14"/>
      <c r="C106" s="14"/>
      <c r="D106" s="14"/>
      <c r="E106" s="14"/>
      <c r="F106" s="14"/>
      <c r="G106" s="14"/>
      <c r="H106" s="14"/>
      <c r="I106" s="14"/>
      <c r="J106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107"/>
  <sheetViews>
    <sheetView zoomScaleNormal="100" workbookViewId="0"/>
  </sheetViews>
  <sheetFormatPr defaultRowHeight="12.75"/>
  <cols>
    <col min="2" max="2" width="3.140625" customWidth="1"/>
    <col min="3" max="3" width="29.42578125" customWidth="1"/>
    <col min="4" max="4" width="19.425781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178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39</v>
      </c>
      <c r="D7" s="72">
        <v>0.35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139</v>
      </c>
      <c r="D8" s="25">
        <v>0.13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77</v>
      </c>
      <c r="D9" s="25">
        <v>7.0000000000000007E-2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46</v>
      </c>
      <c r="D10" s="42">
        <v>17500000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140</v>
      </c>
      <c r="D11" s="67">
        <v>0.6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12</v>
      </c>
      <c r="D12" s="25">
        <v>0.4</v>
      </c>
      <c r="E12" s="24"/>
      <c r="F12" s="14"/>
      <c r="G12" s="14"/>
      <c r="H12" s="14"/>
      <c r="I12" s="14"/>
      <c r="J12" s="14"/>
    </row>
    <row r="13" spans="1:10" ht="15.75" thickBot="1">
      <c r="A13" s="14"/>
      <c r="B13" s="26"/>
      <c r="C13" s="27"/>
      <c r="D13" s="28"/>
      <c r="E13" s="29"/>
      <c r="F13" s="14"/>
      <c r="G13" s="14"/>
      <c r="H13" s="14"/>
      <c r="I13" s="14"/>
      <c r="J13" s="14"/>
    </row>
    <row r="14" spans="1:10" ht="1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5">
      <c r="A15" s="14"/>
      <c r="B15" s="14"/>
      <c r="C15" s="16" t="s">
        <v>7</v>
      </c>
      <c r="D15" s="14"/>
      <c r="E15" s="14"/>
      <c r="F15" s="14"/>
      <c r="G15" s="14"/>
      <c r="H15" s="14"/>
      <c r="I15" s="14"/>
      <c r="J15" s="14"/>
    </row>
    <row r="16" spans="1:10" ht="15.75" thickBot="1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8" ht="15">
      <c r="A17" s="14"/>
      <c r="B17" s="30"/>
      <c r="C17" s="31"/>
      <c r="D17" s="31"/>
      <c r="E17" s="32"/>
      <c r="F17" s="14"/>
      <c r="H17" s="52"/>
    </row>
    <row r="18" spans="1:8" ht="15">
      <c r="A18" s="14"/>
      <c r="B18" s="45" t="s">
        <v>17</v>
      </c>
      <c r="C18" s="34" t="s">
        <v>46</v>
      </c>
      <c r="D18" s="89">
        <f>D10</f>
        <v>17500000</v>
      </c>
      <c r="E18" s="35"/>
      <c r="F18" s="14"/>
      <c r="H18" s="53"/>
    </row>
    <row r="19" spans="1:8" ht="15">
      <c r="A19" s="14"/>
      <c r="B19" s="45"/>
      <c r="C19" s="34" t="s">
        <v>140</v>
      </c>
      <c r="D19" s="70">
        <f>D18*D11</f>
        <v>10500000</v>
      </c>
      <c r="E19" s="35"/>
      <c r="F19" s="14"/>
      <c r="H19" s="53"/>
    </row>
    <row r="20" spans="1:8" ht="15">
      <c r="A20" s="14"/>
      <c r="B20" s="45"/>
      <c r="C20" s="34" t="s">
        <v>49</v>
      </c>
      <c r="D20" s="89">
        <f>D18-D19</f>
        <v>7000000</v>
      </c>
      <c r="E20" s="35"/>
      <c r="F20" s="14"/>
      <c r="H20" s="53"/>
    </row>
    <row r="21" spans="1:8" ht="15">
      <c r="A21" s="14"/>
      <c r="B21" s="45"/>
      <c r="C21" s="34" t="s">
        <v>141</v>
      </c>
      <c r="D21" s="105">
        <f>D20*D12</f>
        <v>2800000</v>
      </c>
      <c r="E21" s="35"/>
      <c r="F21" s="14"/>
      <c r="H21" s="53"/>
    </row>
    <row r="22" spans="1:8" ht="15.75" thickBot="1">
      <c r="A22" s="14"/>
      <c r="B22" s="45"/>
      <c r="C22" s="34" t="s">
        <v>138</v>
      </c>
      <c r="D22" s="106">
        <f>D20-D21</f>
        <v>4200000</v>
      </c>
      <c r="E22" s="35"/>
      <c r="F22" s="14"/>
      <c r="H22" s="53"/>
    </row>
    <row r="23" spans="1:8" ht="15.75" thickTop="1">
      <c r="A23" s="14"/>
      <c r="B23" s="45"/>
      <c r="C23" s="34"/>
      <c r="D23" s="89"/>
      <c r="E23" s="35"/>
      <c r="F23" s="14"/>
      <c r="H23" s="53"/>
    </row>
    <row r="24" spans="1:8" ht="15.75">
      <c r="A24" s="14"/>
      <c r="B24" s="45"/>
      <c r="C24" s="34" t="s">
        <v>142</v>
      </c>
      <c r="D24" s="99">
        <f>D22/D8</f>
        <v>32307692.307692308</v>
      </c>
      <c r="E24" s="35"/>
      <c r="F24" s="14"/>
      <c r="H24" s="53"/>
    </row>
    <row r="25" spans="1:8" ht="15">
      <c r="A25" s="14"/>
      <c r="B25" s="45"/>
      <c r="C25" s="34"/>
      <c r="D25" s="89"/>
      <c r="E25" s="35"/>
      <c r="F25" s="14"/>
      <c r="H25" s="53"/>
    </row>
    <row r="26" spans="1:8" ht="15.75">
      <c r="A26" s="14"/>
      <c r="B26" s="45" t="s">
        <v>21</v>
      </c>
      <c r="C26" s="34" t="s">
        <v>143</v>
      </c>
      <c r="D26" s="77">
        <f>D8+(D7*(D8-D9)*(1-D12))</f>
        <v>0.1426</v>
      </c>
      <c r="E26" s="35"/>
      <c r="F26" s="14"/>
      <c r="H26" s="53"/>
    </row>
    <row r="27" spans="1:8" ht="15">
      <c r="A27" s="14"/>
      <c r="B27" s="45"/>
      <c r="C27" s="34"/>
      <c r="D27" s="89"/>
      <c r="E27" s="35"/>
      <c r="F27" s="14"/>
      <c r="H27" s="53"/>
    </row>
    <row r="28" spans="1:8" ht="15">
      <c r="A28" s="14"/>
      <c r="B28" s="45" t="s">
        <v>64</v>
      </c>
      <c r="C28" s="34" t="s">
        <v>65</v>
      </c>
      <c r="D28" s="93">
        <f>D7/(1+D7)</f>
        <v>0.25925925925925924</v>
      </c>
      <c r="E28" s="35"/>
      <c r="F28" s="14"/>
      <c r="H28" s="53"/>
    </row>
    <row r="29" spans="1:8" ht="15">
      <c r="A29" s="14"/>
      <c r="B29" s="45"/>
      <c r="C29" s="34" t="s">
        <v>66</v>
      </c>
      <c r="D29" s="93">
        <f>1-D28</f>
        <v>0.7407407407407407</v>
      </c>
      <c r="E29" s="35"/>
      <c r="F29" s="14"/>
      <c r="H29" s="53"/>
    </row>
    <row r="30" spans="1:8" ht="15">
      <c r="A30" s="14"/>
      <c r="B30" s="45"/>
      <c r="C30" s="34"/>
      <c r="D30" s="89"/>
      <c r="E30" s="35"/>
      <c r="F30" s="14"/>
      <c r="H30" s="53"/>
    </row>
    <row r="31" spans="1:8" ht="15">
      <c r="A31" s="14"/>
      <c r="B31" s="45"/>
      <c r="C31" s="34" t="s">
        <v>67</v>
      </c>
      <c r="D31" s="76">
        <f>(D28*(1-D12)*(D9))+(D29*D26)</f>
        <v>0.11651851851851852</v>
      </c>
      <c r="E31" s="35"/>
      <c r="F31" s="14"/>
      <c r="H31" s="53"/>
    </row>
    <row r="32" spans="1:8" ht="15">
      <c r="A32" s="14"/>
      <c r="B32" s="45"/>
      <c r="C32" s="34"/>
      <c r="D32" s="89"/>
      <c r="E32" s="35"/>
      <c r="F32" s="14"/>
      <c r="H32" s="52"/>
    </row>
    <row r="33" spans="1:8" ht="15.75">
      <c r="A33" s="14"/>
      <c r="B33" s="45"/>
      <c r="C33" s="34" t="s">
        <v>144</v>
      </c>
      <c r="D33" s="109">
        <f>D22/D31</f>
        <v>36045772.409408771</v>
      </c>
      <c r="E33" s="35"/>
      <c r="F33" s="14"/>
      <c r="H33" s="52"/>
    </row>
    <row r="34" spans="1:8" ht="15.75">
      <c r="A34" s="14"/>
      <c r="B34" s="45"/>
      <c r="C34" s="34"/>
      <c r="D34" s="108"/>
      <c r="E34" s="35"/>
      <c r="F34" s="14"/>
      <c r="H34" s="52"/>
    </row>
    <row r="35" spans="1:8" ht="15.75">
      <c r="A35" s="14"/>
      <c r="B35" s="45"/>
      <c r="C35" s="34" t="s">
        <v>52</v>
      </c>
      <c r="D35" s="109">
        <f>D28*D33</f>
        <v>9345200.2542911619</v>
      </c>
      <c r="E35" s="35"/>
      <c r="F35" s="14"/>
      <c r="H35" s="52"/>
    </row>
    <row r="36" spans="1:8" ht="15.75">
      <c r="A36" s="14"/>
      <c r="B36" s="45"/>
      <c r="C36" s="34"/>
      <c r="D36" s="109">
        <f>D33*D29</f>
        <v>26700572.155117605</v>
      </c>
      <c r="E36" s="35"/>
      <c r="F36" s="14"/>
      <c r="H36" s="52"/>
    </row>
    <row r="37" spans="1:8" ht="15">
      <c r="A37" s="14"/>
      <c r="B37" s="45"/>
      <c r="C37" s="34" t="s">
        <v>51</v>
      </c>
      <c r="D37" s="60"/>
      <c r="E37" s="35"/>
      <c r="F37" s="14"/>
      <c r="H37" s="52"/>
    </row>
    <row r="38" spans="1:8" ht="15">
      <c r="A38" s="14"/>
      <c r="B38" s="45"/>
      <c r="C38" s="34"/>
      <c r="D38" s="60"/>
      <c r="E38" s="35"/>
      <c r="F38" s="14"/>
      <c r="H38" s="52"/>
    </row>
    <row r="39" spans="1:8" ht="15">
      <c r="A39" s="14"/>
      <c r="B39" s="45" t="s">
        <v>136</v>
      </c>
      <c r="C39" s="34" t="s">
        <v>46</v>
      </c>
      <c r="D39" s="89">
        <f>D18</f>
        <v>17500000</v>
      </c>
      <c r="E39" s="35"/>
      <c r="F39" s="14"/>
      <c r="H39" s="52"/>
    </row>
    <row r="40" spans="1:8" ht="15">
      <c r="A40" s="14"/>
      <c r="B40" s="45"/>
      <c r="C40" s="34" t="s">
        <v>140</v>
      </c>
      <c r="D40" s="70">
        <f>D19</f>
        <v>10500000</v>
      </c>
      <c r="E40" s="35"/>
      <c r="F40" s="14"/>
      <c r="H40" s="52"/>
    </row>
    <row r="41" spans="1:8" ht="15">
      <c r="A41" s="14"/>
      <c r="B41" s="45"/>
      <c r="C41" s="34" t="s">
        <v>137</v>
      </c>
      <c r="D41" s="60">
        <f>D39-D40</f>
        <v>7000000</v>
      </c>
      <c r="E41" s="35"/>
      <c r="F41" s="14"/>
      <c r="H41" s="52"/>
    </row>
    <row r="42" spans="1:8" ht="15">
      <c r="A42" s="14"/>
      <c r="B42" s="45"/>
      <c r="C42" s="34" t="s">
        <v>8</v>
      </c>
      <c r="D42" s="70">
        <f>D35*D9</f>
        <v>654164.01780038141</v>
      </c>
      <c r="E42" s="35"/>
      <c r="F42" s="14"/>
      <c r="H42" s="52"/>
    </row>
    <row r="43" spans="1:8" ht="15">
      <c r="A43" s="14"/>
      <c r="B43" s="45"/>
      <c r="C43" s="34" t="s">
        <v>49</v>
      </c>
      <c r="D43" s="60">
        <f>D41-D42</f>
        <v>6345835.9821996186</v>
      </c>
      <c r="E43" s="35"/>
      <c r="F43" s="14"/>
      <c r="H43" s="52"/>
    </row>
    <row r="44" spans="1:8" ht="15">
      <c r="A44" s="14"/>
      <c r="B44" s="45"/>
      <c r="C44" s="34" t="s">
        <v>141</v>
      </c>
      <c r="D44" s="69">
        <f>D43*D12</f>
        <v>2538334.3928798474</v>
      </c>
      <c r="E44" s="35"/>
      <c r="F44" s="14"/>
      <c r="H44" s="52"/>
    </row>
    <row r="45" spans="1:8" ht="15.75" thickBot="1">
      <c r="A45" s="14"/>
      <c r="B45" s="45"/>
      <c r="C45" s="34" t="s">
        <v>138</v>
      </c>
      <c r="D45" s="71">
        <f>D43-D44</f>
        <v>3807501.5893197712</v>
      </c>
      <c r="E45" s="35"/>
      <c r="F45" s="14"/>
      <c r="H45" s="52"/>
    </row>
    <row r="46" spans="1:8" ht="15.75" thickTop="1">
      <c r="A46" s="14"/>
      <c r="B46" s="45"/>
      <c r="C46" s="34"/>
      <c r="D46" s="60"/>
      <c r="E46" s="35"/>
      <c r="F46" s="14"/>
      <c r="H46" s="52"/>
    </row>
    <row r="47" spans="1:8" ht="15.75">
      <c r="A47" s="14"/>
      <c r="B47" s="45"/>
      <c r="C47" s="34" t="s">
        <v>145</v>
      </c>
      <c r="D47" s="109">
        <f>D45/D26</f>
        <v>26700572.155117609</v>
      </c>
      <c r="E47" s="35"/>
      <c r="F47" s="14"/>
      <c r="H47" s="52"/>
    </row>
    <row r="48" spans="1:8" ht="15.75" thickBot="1">
      <c r="A48" s="14"/>
      <c r="B48" s="37"/>
      <c r="C48" s="38"/>
      <c r="D48" s="39"/>
      <c r="E48" s="40"/>
      <c r="F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ht="15">
      <c r="A97" s="14"/>
      <c r="B97" s="14"/>
      <c r="C97" s="14"/>
      <c r="D97" s="14"/>
      <c r="E97" s="14"/>
      <c r="F97" s="14"/>
      <c r="G97" s="14"/>
      <c r="H97" s="14"/>
      <c r="I97" s="14"/>
      <c r="J97" s="14"/>
    </row>
    <row r="98" spans="1:10" ht="15">
      <c r="A98" s="14"/>
      <c r="B98" s="14"/>
      <c r="C98" s="14"/>
      <c r="D98" s="14"/>
      <c r="E98" s="14"/>
      <c r="F98" s="14"/>
      <c r="G98" s="14"/>
      <c r="H98" s="14"/>
      <c r="I98" s="14"/>
      <c r="J98" s="14"/>
    </row>
    <row r="99" spans="1:10" ht="15">
      <c r="A99" s="14"/>
      <c r="B99" s="14"/>
      <c r="C99" s="14"/>
      <c r="D99" s="14"/>
      <c r="E99" s="14"/>
      <c r="F99" s="14"/>
      <c r="G99" s="14"/>
      <c r="H99" s="14"/>
      <c r="I99" s="14"/>
      <c r="J99" s="14"/>
    </row>
    <row r="100" spans="1:10" ht="15">
      <c r="A100" s="14"/>
      <c r="B100" s="14"/>
      <c r="C100" s="14"/>
      <c r="D100" s="14"/>
      <c r="E100" s="14"/>
      <c r="F100" s="14"/>
      <c r="G100" s="14"/>
      <c r="H100" s="14"/>
      <c r="I100" s="14"/>
      <c r="J100" s="14"/>
    </row>
    <row r="101" spans="1:10" ht="15">
      <c r="A101" s="14"/>
      <c r="B101" s="14"/>
      <c r="C101" s="14"/>
      <c r="D101" s="14"/>
      <c r="E101" s="14"/>
      <c r="F101" s="14"/>
      <c r="G101" s="14"/>
      <c r="H101" s="14"/>
      <c r="I101" s="14"/>
      <c r="J101" s="14"/>
    </row>
    <row r="102" spans="1:10" ht="15">
      <c r="A102" s="14"/>
      <c r="B102" s="14"/>
      <c r="C102" s="14"/>
      <c r="D102" s="14"/>
      <c r="E102" s="14"/>
      <c r="F102" s="14"/>
      <c r="G102" s="14"/>
      <c r="H102" s="14"/>
      <c r="I102" s="14"/>
      <c r="J102" s="14"/>
    </row>
    <row r="103" spans="1:10" ht="15">
      <c r="A103" s="14"/>
      <c r="B103" s="14"/>
      <c r="C103" s="14"/>
      <c r="D103" s="14"/>
      <c r="E103" s="14"/>
      <c r="F103" s="14"/>
      <c r="G103" s="14"/>
      <c r="H103" s="14"/>
      <c r="I103" s="14"/>
      <c r="J103" s="14"/>
    </row>
    <row r="104" spans="1:10" ht="15">
      <c r="A104" s="14"/>
      <c r="B104" s="14"/>
      <c r="C104" s="14"/>
      <c r="D104" s="14"/>
      <c r="E104" s="14"/>
      <c r="F104" s="14"/>
      <c r="G104" s="14"/>
      <c r="H104" s="14"/>
      <c r="I104" s="14"/>
      <c r="J104" s="14"/>
    </row>
    <row r="105" spans="1:10" ht="15">
      <c r="A105" s="14"/>
      <c r="B105" s="14"/>
      <c r="C105" s="14"/>
      <c r="D105" s="14"/>
      <c r="E105" s="14"/>
      <c r="F105" s="14"/>
      <c r="G105" s="14"/>
      <c r="H105" s="14"/>
      <c r="I105" s="14"/>
      <c r="J105" s="14"/>
    </row>
    <row r="106" spans="1:10" ht="15">
      <c r="A106" s="14"/>
      <c r="B106" s="14"/>
      <c r="C106" s="14"/>
      <c r="D106" s="14"/>
      <c r="E106" s="14"/>
      <c r="F106" s="14"/>
      <c r="G106" s="14"/>
      <c r="H106" s="14"/>
      <c r="I106" s="14"/>
      <c r="J106" s="14"/>
    </row>
    <row r="107" spans="1:10" ht="15">
      <c r="A107" s="14"/>
      <c r="B107" s="14"/>
      <c r="C107" s="14"/>
      <c r="D107" s="14"/>
      <c r="E107" s="14"/>
      <c r="F107" s="14"/>
      <c r="G107" s="14"/>
      <c r="H107" s="14"/>
      <c r="I107" s="14"/>
      <c r="J107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97"/>
  <sheetViews>
    <sheetView zoomScaleNormal="100" workbookViewId="0"/>
  </sheetViews>
  <sheetFormatPr defaultRowHeight="12.75"/>
  <cols>
    <col min="2" max="2" width="3.140625" customWidth="1"/>
    <col min="3" max="3" width="28.140625" customWidth="1"/>
    <col min="4" max="4" width="20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179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128</v>
      </c>
      <c r="D7" s="42">
        <v>235000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16</v>
      </c>
      <c r="D8" s="25">
        <v>0.08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137</v>
      </c>
      <c r="D9" s="42">
        <v>118000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13</v>
      </c>
      <c r="D10" s="67">
        <v>0.14000000000000001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12</v>
      </c>
      <c r="D11" s="25">
        <v>0.4</v>
      </c>
      <c r="E11" s="24"/>
      <c r="F11" s="14"/>
      <c r="G11" s="14"/>
      <c r="H11" s="14"/>
      <c r="I11" s="14"/>
      <c r="J11" s="14"/>
    </row>
    <row r="12" spans="1:10" ht="15.75" thickBot="1">
      <c r="A12" s="14"/>
      <c r="B12" s="26"/>
      <c r="C12" s="27"/>
      <c r="D12" s="28"/>
      <c r="E12" s="29"/>
      <c r="F12" s="14"/>
      <c r="G12" s="14"/>
      <c r="H12" s="14"/>
      <c r="I12" s="14"/>
      <c r="J12" s="14"/>
    </row>
    <row r="13" spans="1:10" ht="1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5">
      <c r="A14" s="14"/>
      <c r="B14" s="14"/>
      <c r="C14" s="16" t="s">
        <v>7</v>
      </c>
      <c r="D14" s="14"/>
      <c r="E14" s="14"/>
      <c r="F14" s="14"/>
      <c r="G14" s="14"/>
      <c r="H14" s="14"/>
      <c r="I14" s="14"/>
      <c r="J14" s="14"/>
    </row>
    <row r="15" spans="1:10" ht="15.75" thickBot="1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5">
      <c r="A16" s="14"/>
      <c r="B16" s="30"/>
      <c r="C16" s="31"/>
      <c r="D16" s="31"/>
      <c r="E16" s="32"/>
      <c r="F16" s="14"/>
      <c r="H16" s="52"/>
    </row>
    <row r="17" spans="1:8" ht="15">
      <c r="A17" s="14"/>
      <c r="B17" s="45" t="s">
        <v>17</v>
      </c>
      <c r="C17" s="34" t="s">
        <v>137</v>
      </c>
      <c r="D17" s="89">
        <f>D9</f>
        <v>118000</v>
      </c>
      <c r="E17" s="35"/>
      <c r="F17" s="14"/>
      <c r="H17" s="53"/>
    </row>
    <row r="18" spans="1:8" ht="15">
      <c r="A18" s="14"/>
      <c r="B18" s="45"/>
      <c r="C18" s="34" t="s">
        <v>141</v>
      </c>
      <c r="D18" s="69">
        <f>D17*D11</f>
        <v>47200</v>
      </c>
      <c r="E18" s="35"/>
      <c r="F18" s="14"/>
      <c r="H18" s="53"/>
    </row>
    <row r="19" spans="1:8" ht="15.75" thickBot="1">
      <c r="A19" s="14"/>
      <c r="B19" s="45"/>
      <c r="C19" s="34" t="s">
        <v>138</v>
      </c>
      <c r="D19" s="106">
        <f>D17-D18</f>
        <v>70800</v>
      </c>
      <c r="E19" s="35"/>
      <c r="F19" s="14"/>
      <c r="H19" s="53"/>
    </row>
    <row r="20" spans="1:8" ht="15.75" thickTop="1">
      <c r="A20" s="14"/>
      <c r="B20" s="45"/>
      <c r="C20" s="34"/>
      <c r="D20" s="89"/>
      <c r="E20" s="35"/>
      <c r="F20" s="14"/>
      <c r="H20" s="53"/>
    </row>
    <row r="21" spans="1:8" ht="15.75">
      <c r="A21" s="14"/>
      <c r="B21" s="45"/>
      <c r="C21" s="34" t="s">
        <v>146</v>
      </c>
      <c r="D21" s="99">
        <f>D19/D10</f>
        <v>505714.28571428568</v>
      </c>
      <c r="E21" s="35"/>
      <c r="F21" s="14"/>
      <c r="H21" s="53"/>
    </row>
    <row r="22" spans="1:8" ht="15">
      <c r="A22" s="14"/>
      <c r="B22" s="45"/>
      <c r="C22" s="34"/>
      <c r="D22" s="89"/>
      <c r="E22" s="35"/>
      <c r="F22" s="14"/>
      <c r="H22" s="53"/>
    </row>
    <row r="23" spans="1:8" ht="15">
      <c r="A23" s="14"/>
      <c r="B23" s="45" t="s">
        <v>21</v>
      </c>
      <c r="C23" s="34" t="s">
        <v>109</v>
      </c>
      <c r="D23" s="104">
        <f>D7-(((1-D11)*D8*D7)/D8)</f>
        <v>94000</v>
      </c>
      <c r="E23" s="35"/>
      <c r="F23" s="14"/>
      <c r="H23" s="53"/>
    </row>
    <row r="24" spans="1:8" ht="15">
      <c r="A24" s="14"/>
      <c r="B24" s="45"/>
      <c r="C24" s="34"/>
      <c r="D24" s="89"/>
      <c r="E24" s="35"/>
      <c r="F24" s="14"/>
      <c r="H24" s="53"/>
    </row>
    <row r="25" spans="1:8" ht="15.75">
      <c r="A25" s="14"/>
      <c r="B25" s="45"/>
      <c r="C25" s="34" t="s">
        <v>53</v>
      </c>
      <c r="D25" s="99">
        <f>D23+D21</f>
        <v>599714.28571428568</v>
      </c>
      <c r="E25" s="35"/>
      <c r="F25" s="14"/>
      <c r="H25" s="53"/>
    </row>
    <row r="26" spans="1:8" ht="15">
      <c r="A26" s="14"/>
      <c r="B26" s="45"/>
      <c r="C26" s="34"/>
      <c r="D26" s="89"/>
      <c r="E26" s="35"/>
      <c r="F26" s="14"/>
      <c r="H26" s="53"/>
    </row>
    <row r="27" spans="1:8" ht="15.75">
      <c r="A27" s="14"/>
      <c r="B27" s="45"/>
      <c r="C27" s="34" t="s">
        <v>51</v>
      </c>
      <c r="D27" s="99">
        <f>D25-D7</f>
        <v>364714.28571428568</v>
      </c>
      <c r="E27" s="35"/>
      <c r="F27" s="14"/>
      <c r="H27" s="53"/>
    </row>
    <row r="28" spans="1:8" ht="15">
      <c r="A28" s="14"/>
      <c r="B28" s="45"/>
      <c r="C28" s="34"/>
      <c r="D28" s="89"/>
      <c r="E28" s="35"/>
      <c r="F28" s="14"/>
      <c r="H28" s="53"/>
    </row>
    <row r="29" spans="1:8" ht="15.75">
      <c r="A29" s="14"/>
      <c r="B29" s="45" t="s">
        <v>64</v>
      </c>
      <c r="C29" s="34" t="s">
        <v>143</v>
      </c>
      <c r="D29" s="77">
        <f>D10+((D7/D27)*(D10-D8)*(1-D11))</f>
        <v>0.16319623971797886</v>
      </c>
      <c r="E29" s="35"/>
      <c r="F29" s="14"/>
      <c r="H29" s="52"/>
    </row>
    <row r="30" spans="1:8" ht="15">
      <c r="A30" s="14"/>
      <c r="B30" s="45"/>
      <c r="C30" s="94"/>
      <c r="D30" s="60"/>
      <c r="E30" s="35"/>
      <c r="F30" s="14"/>
      <c r="H30" s="52"/>
    </row>
    <row r="31" spans="1:8" ht="15">
      <c r="A31" s="14"/>
      <c r="B31" s="45" t="s">
        <v>136</v>
      </c>
      <c r="C31" s="34" t="s">
        <v>137</v>
      </c>
      <c r="D31" s="102">
        <f>D9</f>
        <v>118000</v>
      </c>
      <c r="E31" s="35"/>
      <c r="F31" s="14"/>
      <c r="H31" s="52"/>
    </row>
    <row r="32" spans="1:8" ht="15">
      <c r="A32" s="14"/>
      <c r="B32" s="45"/>
      <c r="C32" s="34" t="s">
        <v>8</v>
      </c>
      <c r="D32" s="70">
        <f>D7*D8</f>
        <v>18800</v>
      </c>
      <c r="E32" s="35"/>
      <c r="F32" s="14"/>
      <c r="H32" s="52"/>
    </row>
    <row r="33" spans="1:10" ht="15">
      <c r="A33" s="14"/>
      <c r="B33" s="45"/>
      <c r="C33" s="34" t="s">
        <v>49</v>
      </c>
      <c r="D33" s="102">
        <f>D31-D32</f>
        <v>99200</v>
      </c>
      <c r="E33" s="35"/>
      <c r="F33" s="14"/>
      <c r="H33" s="52"/>
    </row>
    <row r="34" spans="1:10" ht="15">
      <c r="A34" s="14"/>
      <c r="B34" s="45"/>
      <c r="C34" s="34" t="s">
        <v>50</v>
      </c>
      <c r="D34" s="69">
        <f>D33*D11</f>
        <v>39680</v>
      </c>
      <c r="E34" s="35"/>
      <c r="F34" s="14"/>
      <c r="H34" s="52"/>
    </row>
    <row r="35" spans="1:10" ht="15.75" thickBot="1">
      <c r="A35" s="14"/>
      <c r="B35" s="45"/>
      <c r="C35" s="34" t="s">
        <v>138</v>
      </c>
      <c r="D35" s="103">
        <f>D33-D34</f>
        <v>59520</v>
      </c>
      <c r="E35" s="35"/>
      <c r="F35" s="14"/>
      <c r="H35" s="52"/>
    </row>
    <row r="36" spans="1:10" ht="15.75" thickTop="1">
      <c r="A36" s="14"/>
      <c r="B36" s="45"/>
      <c r="C36" s="34"/>
      <c r="D36" s="36"/>
      <c r="E36" s="35"/>
      <c r="F36" s="14"/>
      <c r="H36" s="52"/>
    </row>
    <row r="37" spans="1:10" ht="15.75">
      <c r="A37" s="14"/>
      <c r="B37" s="45"/>
      <c r="C37" s="34" t="s">
        <v>51</v>
      </c>
      <c r="D37" s="109">
        <f>D35/D29</f>
        <v>364714.28571428568</v>
      </c>
      <c r="E37" s="35"/>
      <c r="F37" s="14"/>
      <c r="H37" s="52"/>
    </row>
    <row r="38" spans="1:10" ht="15.75" thickBot="1">
      <c r="A38" s="14"/>
      <c r="B38" s="37"/>
      <c r="C38" s="38"/>
      <c r="D38" s="110"/>
      <c r="E38" s="40"/>
      <c r="F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ht="15">
      <c r="A97" s="14"/>
      <c r="B97" s="14"/>
      <c r="C97" s="14"/>
      <c r="D97" s="14"/>
      <c r="E97" s="14"/>
      <c r="F97" s="14"/>
      <c r="G97" s="14"/>
      <c r="H97" s="14"/>
      <c r="I97" s="14"/>
      <c r="J97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101"/>
  <sheetViews>
    <sheetView zoomScaleNormal="100" workbookViewId="0"/>
  </sheetViews>
  <sheetFormatPr defaultRowHeight="12.75"/>
  <cols>
    <col min="2" max="2" width="3.140625" customWidth="1"/>
    <col min="3" max="3" width="33.140625" bestFit="1" customWidth="1"/>
    <col min="4" max="4" width="21.42578125" bestFit="1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188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161</v>
      </c>
      <c r="D7" s="65">
        <v>0.4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162</v>
      </c>
      <c r="D8" s="65">
        <v>0.35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163</v>
      </c>
      <c r="D9" s="111">
        <v>1.2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114</v>
      </c>
      <c r="D10" s="25">
        <v>7.0000000000000007E-2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57</v>
      </c>
      <c r="D11" s="25">
        <v>0.05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12</v>
      </c>
      <c r="D12" s="25">
        <v>0.4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79</v>
      </c>
      <c r="D13" s="42">
        <v>675000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164</v>
      </c>
      <c r="D14" s="42">
        <v>95000</v>
      </c>
      <c r="E14" s="24"/>
      <c r="F14" s="14"/>
      <c r="G14" s="14"/>
      <c r="H14" s="14"/>
      <c r="I14" s="14"/>
      <c r="J14" s="14"/>
    </row>
    <row r="15" spans="1:10" ht="15">
      <c r="A15" s="14"/>
      <c r="B15" s="21"/>
      <c r="C15" s="22" t="s">
        <v>165</v>
      </c>
      <c r="D15" s="25"/>
      <c r="E15" s="24"/>
      <c r="F15" s="14"/>
      <c r="G15" s="14"/>
      <c r="H15" s="14"/>
      <c r="I15" s="14"/>
      <c r="J15" s="14"/>
    </row>
    <row r="16" spans="1:10" ht="15">
      <c r="A16" s="14"/>
      <c r="B16" s="21"/>
      <c r="C16" s="22" t="s">
        <v>166</v>
      </c>
      <c r="D16" s="25">
        <v>0.05</v>
      </c>
      <c r="E16" s="24"/>
      <c r="F16" s="14"/>
      <c r="G16" s="14"/>
      <c r="H16" s="14"/>
      <c r="I16" s="14"/>
      <c r="J16" s="14"/>
    </row>
    <row r="17" spans="1:10" ht="15.75" thickBot="1">
      <c r="A17" s="14"/>
      <c r="B17" s="26"/>
      <c r="C17" s="27"/>
      <c r="D17" s="28"/>
      <c r="E17" s="29"/>
      <c r="F17" s="14"/>
      <c r="G17" s="14"/>
      <c r="H17" s="14"/>
      <c r="I17" s="14"/>
      <c r="J17" s="14"/>
    </row>
    <row r="18" spans="1:10" ht="1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5">
      <c r="A19" s="14"/>
      <c r="B19" s="14"/>
      <c r="C19" s="16" t="s">
        <v>7</v>
      </c>
      <c r="D19" s="14"/>
      <c r="E19" s="14"/>
      <c r="F19" s="14"/>
      <c r="G19" s="14"/>
      <c r="H19" s="14"/>
      <c r="I19" s="14"/>
      <c r="J19" s="14"/>
    </row>
    <row r="20" spans="1:10" ht="15.75" thickBot="1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15">
      <c r="A21" s="14"/>
      <c r="B21" s="30"/>
      <c r="C21" s="31"/>
      <c r="D21" s="31"/>
      <c r="E21" s="32"/>
      <c r="F21" s="14"/>
      <c r="H21" s="52"/>
    </row>
    <row r="22" spans="1:10" ht="15">
      <c r="A22" s="14"/>
      <c r="B22" s="45"/>
      <c r="C22" s="34" t="s">
        <v>167</v>
      </c>
      <c r="D22" s="76">
        <f>D11+(D9*D10)</f>
        <v>0.13400000000000001</v>
      </c>
      <c r="E22" s="35"/>
      <c r="F22" s="14"/>
      <c r="H22" s="53"/>
    </row>
    <row r="23" spans="1:10" ht="15">
      <c r="A23" s="14"/>
      <c r="B23" s="45"/>
      <c r="C23" s="34"/>
      <c r="D23" s="60"/>
      <c r="E23" s="35"/>
      <c r="F23" s="14"/>
      <c r="H23" s="53"/>
    </row>
    <row r="24" spans="1:10" ht="15">
      <c r="A24" s="14"/>
      <c r="B24" s="45"/>
      <c r="C24" s="34" t="s">
        <v>168</v>
      </c>
      <c r="D24" s="76">
        <f>(D22+(D8*D11*(1-D12)))/(1+(D8*(1-D12)))</f>
        <v>0.1194214876033058</v>
      </c>
      <c r="E24" s="35"/>
      <c r="F24" s="14"/>
      <c r="H24" s="53"/>
    </row>
    <row r="25" spans="1:10" ht="15.75">
      <c r="A25" s="14"/>
      <c r="B25" s="45"/>
      <c r="C25" s="34"/>
      <c r="D25" s="98"/>
      <c r="E25" s="35"/>
      <c r="F25" s="14"/>
      <c r="H25" s="53"/>
    </row>
    <row r="26" spans="1:10" ht="15">
      <c r="A26" s="14"/>
      <c r="B26" s="45"/>
      <c r="C26" s="34" t="s">
        <v>169</v>
      </c>
      <c r="D26" s="76">
        <f>D24+(D7*(D24-D11)*(1-D12))</f>
        <v>0.13608264462809919</v>
      </c>
      <c r="E26" s="35"/>
      <c r="F26" s="14"/>
      <c r="H26" s="53"/>
    </row>
    <row r="27" spans="1:10" ht="15.75">
      <c r="A27" s="14"/>
      <c r="B27" s="45"/>
      <c r="C27" s="34"/>
      <c r="D27" s="98"/>
      <c r="E27" s="35"/>
      <c r="F27" s="14"/>
      <c r="H27" s="53"/>
    </row>
    <row r="28" spans="1:10" ht="15">
      <c r="A28" s="14"/>
      <c r="B28" s="45"/>
      <c r="C28" s="34" t="s">
        <v>170</v>
      </c>
      <c r="D28" s="93">
        <f>D7/(1+D7)</f>
        <v>0.28571428571428575</v>
      </c>
      <c r="E28" s="35"/>
      <c r="F28" s="14"/>
      <c r="H28" s="53"/>
    </row>
    <row r="29" spans="1:10" ht="15">
      <c r="A29" s="14"/>
      <c r="B29" s="45"/>
      <c r="C29" s="34"/>
      <c r="D29" s="93"/>
      <c r="E29" s="35"/>
      <c r="F29" s="14"/>
      <c r="H29" s="53"/>
    </row>
    <row r="30" spans="1:10" ht="15">
      <c r="A30" s="14"/>
      <c r="B30" s="45"/>
      <c r="C30" s="34" t="s">
        <v>171</v>
      </c>
      <c r="D30" s="93">
        <f>1-D28</f>
        <v>0.71428571428571419</v>
      </c>
      <c r="E30" s="35"/>
      <c r="F30" s="14"/>
      <c r="H30" s="53"/>
    </row>
    <row r="31" spans="1:10" ht="15.75">
      <c r="A31" s="14"/>
      <c r="B31" s="45"/>
      <c r="C31" s="34"/>
      <c r="D31" s="98"/>
      <c r="E31" s="35"/>
      <c r="F31" s="14"/>
      <c r="H31" s="53"/>
    </row>
    <row r="32" spans="1:10" ht="15">
      <c r="A32" s="14"/>
      <c r="B32" s="45"/>
      <c r="C32" s="34" t="s">
        <v>172</v>
      </c>
      <c r="D32" s="76">
        <f>(D28*D11*(1-D12))+(D30*D26)</f>
        <v>0.10577331759149941</v>
      </c>
      <c r="E32" s="35"/>
      <c r="F32" s="14"/>
      <c r="H32" s="52"/>
    </row>
    <row r="33" spans="1:10" ht="15">
      <c r="A33" s="14"/>
      <c r="B33" s="45"/>
      <c r="C33" s="94"/>
      <c r="D33" s="60"/>
      <c r="E33" s="35"/>
      <c r="F33" s="14"/>
      <c r="H33" s="52"/>
    </row>
    <row r="34" spans="1:10" ht="15">
      <c r="A34" s="14"/>
      <c r="B34" s="45"/>
      <c r="C34" s="34" t="s">
        <v>148</v>
      </c>
      <c r="D34" s="36">
        <f>D14</f>
        <v>95000</v>
      </c>
      <c r="E34" s="35"/>
      <c r="F34" s="14"/>
      <c r="H34" s="52"/>
    </row>
    <row r="35" spans="1:10" ht="15">
      <c r="A35" s="14"/>
      <c r="B35" s="45"/>
      <c r="C35" s="34" t="s">
        <v>149</v>
      </c>
      <c r="D35" s="107">
        <f>D34*(1+$D$16)</f>
        <v>99750</v>
      </c>
      <c r="E35" s="35"/>
      <c r="F35" s="14"/>
      <c r="H35" s="52"/>
    </row>
    <row r="36" spans="1:10" ht="15">
      <c r="A36" s="14"/>
      <c r="B36" s="45"/>
      <c r="C36" s="34" t="s">
        <v>150</v>
      </c>
      <c r="D36" s="107">
        <f>D35*(1+$D$16)</f>
        <v>104737.5</v>
      </c>
      <c r="E36" s="35"/>
      <c r="F36" s="14"/>
      <c r="H36" s="52"/>
    </row>
    <row r="37" spans="1:10" ht="15">
      <c r="A37" s="14"/>
      <c r="B37" s="45"/>
      <c r="C37" s="34" t="s">
        <v>173</v>
      </c>
      <c r="D37" s="107">
        <f>D36*(1+$D$16)</f>
        <v>109974.375</v>
      </c>
      <c r="E37" s="35"/>
      <c r="F37" s="14"/>
      <c r="H37" s="52"/>
    </row>
    <row r="38" spans="1:10" ht="15">
      <c r="A38" s="14"/>
      <c r="B38" s="45"/>
      <c r="C38" s="34" t="s">
        <v>174</v>
      </c>
      <c r="D38" s="107">
        <f>D37*(1+$D$16)</f>
        <v>115473.09375</v>
      </c>
      <c r="E38" s="35"/>
      <c r="F38" s="14"/>
      <c r="H38" s="52"/>
    </row>
    <row r="39" spans="1:10" ht="15">
      <c r="A39" s="14"/>
      <c r="B39" s="45"/>
      <c r="C39" s="34" t="s">
        <v>175</v>
      </c>
      <c r="D39" s="107">
        <f>D38</f>
        <v>115473.09375</v>
      </c>
      <c r="E39" s="35"/>
      <c r="F39" s="14"/>
      <c r="H39" s="52"/>
    </row>
    <row r="40" spans="1:10" ht="15.75">
      <c r="A40" s="14"/>
      <c r="B40" s="45"/>
      <c r="C40" s="34"/>
      <c r="D40" s="50"/>
      <c r="E40" s="35"/>
      <c r="F40" s="14"/>
      <c r="H40" s="52"/>
    </row>
    <row r="41" spans="1:10" ht="15.75">
      <c r="A41" s="14"/>
      <c r="B41" s="45"/>
      <c r="C41" s="34" t="s">
        <v>51</v>
      </c>
      <c r="D41" s="109">
        <f>-D13+NPV(D32,D34:D38)+((D39/D32)/((1+D32)^5))</f>
        <v>373711.73494563514</v>
      </c>
      <c r="E41" s="35"/>
      <c r="F41" s="14"/>
      <c r="H41" s="52"/>
    </row>
    <row r="42" spans="1:10" ht="15.75" thickBot="1">
      <c r="A42" s="14"/>
      <c r="B42" s="37"/>
      <c r="C42" s="38"/>
      <c r="D42" s="39"/>
      <c r="E42" s="40"/>
      <c r="F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  <row r="93" spans="1:10" ht="15">
      <c r="A93" s="14"/>
      <c r="B93" s="14"/>
      <c r="C93" s="14"/>
      <c r="D93" s="14"/>
      <c r="E93" s="14"/>
      <c r="F93" s="14"/>
      <c r="G93" s="14"/>
      <c r="H93" s="14"/>
      <c r="I93" s="14"/>
      <c r="J93" s="14"/>
    </row>
    <row r="94" spans="1:10" ht="15">
      <c r="A94" s="14"/>
      <c r="B94" s="14"/>
      <c r="C94" s="14"/>
      <c r="D94" s="14"/>
      <c r="E94" s="14"/>
      <c r="F94" s="14"/>
      <c r="G94" s="14"/>
      <c r="H94" s="14"/>
      <c r="I94" s="14"/>
      <c r="J94" s="14"/>
    </row>
    <row r="95" spans="1:10" ht="15">
      <c r="A95" s="14"/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15">
      <c r="A96" s="14"/>
      <c r="B96" s="14"/>
      <c r="C96" s="14"/>
      <c r="D96" s="14"/>
      <c r="E96" s="14"/>
      <c r="F96" s="14"/>
      <c r="G96" s="14"/>
      <c r="H96" s="14"/>
      <c r="I96" s="14"/>
      <c r="J96" s="14"/>
    </row>
    <row r="97" spans="1:10" ht="15">
      <c r="A97" s="14"/>
      <c r="B97" s="14"/>
      <c r="C97" s="14"/>
      <c r="D97" s="14"/>
      <c r="E97" s="14"/>
      <c r="F97" s="14"/>
      <c r="G97" s="14"/>
      <c r="H97" s="14"/>
      <c r="I97" s="14"/>
      <c r="J97" s="14"/>
    </row>
    <row r="98" spans="1:10" ht="15">
      <c r="A98" s="14"/>
      <c r="B98" s="14"/>
      <c r="C98" s="14"/>
      <c r="D98" s="14"/>
      <c r="E98" s="14"/>
      <c r="F98" s="14"/>
      <c r="G98" s="14"/>
      <c r="H98" s="14"/>
      <c r="I98" s="14"/>
      <c r="J98" s="14"/>
    </row>
    <row r="99" spans="1:10" ht="15">
      <c r="A99" s="14"/>
      <c r="B99" s="14"/>
      <c r="C99" s="14"/>
      <c r="D99" s="14"/>
      <c r="E99" s="14"/>
      <c r="F99" s="14"/>
      <c r="G99" s="14"/>
      <c r="H99" s="14"/>
      <c r="I99" s="14"/>
      <c r="J99" s="14"/>
    </row>
    <row r="100" spans="1:10" ht="15">
      <c r="A100" s="14"/>
      <c r="B100" s="14"/>
      <c r="C100" s="14"/>
      <c r="D100" s="14"/>
      <c r="E100" s="14"/>
      <c r="F100" s="14"/>
      <c r="G100" s="14"/>
      <c r="H100" s="14"/>
      <c r="I100" s="14"/>
      <c r="J100" s="14"/>
    </row>
    <row r="101" spans="1:10" ht="15">
      <c r="A101" s="14"/>
      <c r="B101" s="14"/>
      <c r="C101" s="14"/>
      <c r="D101" s="14"/>
      <c r="E101" s="14"/>
      <c r="F101" s="14"/>
      <c r="G101" s="14"/>
      <c r="H101" s="14"/>
      <c r="I101" s="14"/>
      <c r="J101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0"/>
  <sheetViews>
    <sheetView zoomScaleNormal="100" workbookViewId="0"/>
  </sheetViews>
  <sheetFormatPr defaultRowHeight="12.75"/>
  <cols>
    <col min="2" max="2" width="3.140625" customWidth="1"/>
    <col min="3" max="3" width="25.285156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5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10</v>
      </c>
      <c r="D7" s="23">
        <v>175000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11</v>
      </c>
      <c r="D8" s="41">
        <v>5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12</v>
      </c>
      <c r="D9" s="25">
        <v>0.35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13</v>
      </c>
      <c r="D10" s="25">
        <v>0.13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/>
      <c r="D11" s="25"/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14</v>
      </c>
      <c r="D12" s="42">
        <v>480000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15</v>
      </c>
      <c r="D13" s="42">
        <v>390000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16</v>
      </c>
      <c r="D14" s="25">
        <v>0.08</v>
      </c>
      <c r="E14" s="24"/>
      <c r="F14" s="14"/>
      <c r="G14" s="14"/>
      <c r="H14" s="14"/>
      <c r="I14" s="14"/>
      <c r="J14" s="14"/>
    </row>
    <row r="15" spans="1:10" ht="15.75" thickBot="1">
      <c r="A15" s="14"/>
      <c r="B15" s="26"/>
      <c r="C15" s="27"/>
      <c r="D15" s="28"/>
      <c r="E15" s="29"/>
      <c r="F15" s="14"/>
      <c r="G15" s="14"/>
      <c r="H15" s="14"/>
      <c r="I15" s="14"/>
      <c r="J15" s="14"/>
    </row>
    <row r="16" spans="1:10" ht="1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5">
      <c r="A17" s="14"/>
      <c r="B17" s="14"/>
      <c r="C17" s="16" t="s">
        <v>7</v>
      </c>
      <c r="D17" s="14"/>
      <c r="E17" s="14"/>
      <c r="F17" s="14"/>
      <c r="G17" s="14"/>
      <c r="H17" s="14"/>
      <c r="I17" s="14"/>
      <c r="J17" s="14"/>
    </row>
    <row r="18" spans="1:10" ht="15.75" thickBot="1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5">
      <c r="A19" s="14"/>
      <c r="B19" s="30"/>
      <c r="C19" s="31"/>
      <c r="D19" s="31"/>
      <c r="E19" s="32"/>
      <c r="F19" s="14"/>
    </row>
    <row r="20" spans="1:10" ht="15">
      <c r="A20" s="14"/>
      <c r="B20" s="45" t="s">
        <v>17</v>
      </c>
      <c r="C20" s="34" t="s">
        <v>19</v>
      </c>
      <c r="D20" s="36">
        <f>D7*(1-D9)</f>
        <v>113750</v>
      </c>
      <c r="E20" s="35"/>
      <c r="F20" s="14"/>
    </row>
    <row r="21" spans="1:10" ht="15">
      <c r="A21" s="14"/>
      <c r="B21" s="45"/>
      <c r="C21" s="34" t="s">
        <v>18</v>
      </c>
      <c r="D21" s="46">
        <f>PV(D10,D8,-D20)</f>
        <v>400085.05600048241</v>
      </c>
      <c r="E21" s="35"/>
      <c r="F21" s="14"/>
    </row>
    <row r="22" spans="1:10" ht="15">
      <c r="A22" s="14"/>
      <c r="B22" s="45"/>
      <c r="C22" s="34" t="s">
        <v>24</v>
      </c>
      <c r="D22" s="49">
        <f>(1-PV(D10,D8,-D9/D8))</f>
        <v>0.75379381169201087</v>
      </c>
      <c r="E22" s="35"/>
      <c r="F22" s="14"/>
    </row>
    <row r="23" spans="1:10" ht="15">
      <c r="A23" s="14"/>
      <c r="B23" s="45"/>
      <c r="C23" s="34"/>
      <c r="D23" s="44"/>
      <c r="E23" s="35"/>
      <c r="F23" s="14"/>
    </row>
    <row r="24" spans="1:10" ht="15.75">
      <c r="A24" s="14"/>
      <c r="B24" s="45"/>
      <c r="C24" s="34" t="s">
        <v>20</v>
      </c>
      <c r="D24" s="47">
        <f>D21/D22</f>
        <v>530761.92692856875</v>
      </c>
      <c r="E24" s="35"/>
      <c r="F24" s="14"/>
    </row>
    <row r="25" spans="1:10" ht="15">
      <c r="A25" s="14"/>
      <c r="B25" s="45"/>
      <c r="C25" s="34"/>
      <c r="D25" s="43"/>
      <c r="E25" s="35"/>
      <c r="F25" s="14"/>
    </row>
    <row r="26" spans="1:10" ht="15">
      <c r="A26" s="14"/>
      <c r="B26" s="45" t="s">
        <v>21</v>
      </c>
      <c r="C26" s="34" t="s">
        <v>22</v>
      </c>
      <c r="D26" s="36">
        <f>-D12+PV(D10,D8,(1-D9)*-D7)+PV(D10,D8,-D9*(D12/D8))</f>
        <v>38264.02638831723</v>
      </c>
      <c r="E26" s="35"/>
      <c r="F26" s="14"/>
    </row>
    <row r="27" spans="1:10" ht="15">
      <c r="A27" s="14"/>
      <c r="B27" s="45"/>
      <c r="C27" s="34"/>
      <c r="D27" s="43"/>
      <c r="E27" s="35"/>
      <c r="F27" s="14"/>
    </row>
    <row r="28" spans="1:10" ht="15">
      <c r="A28" s="14"/>
      <c r="B28" s="45"/>
      <c r="C28" s="34" t="s">
        <v>23</v>
      </c>
      <c r="D28" s="36">
        <f>D13+PV(D14,D8,(1-D9)*D14*D13)+PV(D14,D8,,D13)</f>
        <v>43600.393604892713</v>
      </c>
      <c r="E28" s="35"/>
      <c r="F28" s="14"/>
    </row>
    <row r="29" spans="1:10" ht="15.75">
      <c r="A29" s="14"/>
      <c r="B29" s="45"/>
      <c r="C29" s="34"/>
      <c r="D29" s="50"/>
      <c r="E29" s="35"/>
      <c r="F29" s="14"/>
    </row>
    <row r="30" spans="1:10" ht="15.75">
      <c r="A30" s="14"/>
      <c r="B30" s="45"/>
      <c r="C30" s="34" t="s">
        <v>25</v>
      </c>
      <c r="D30" s="48">
        <f>D26+D28</f>
        <v>81864.419993209944</v>
      </c>
      <c r="E30" s="35"/>
      <c r="F30" s="14"/>
    </row>
    <row r="31" spans="1:10" ht="15.75" thickBot="1">
      <c r="A31" s="14"/>
      <c r="B31" s="37"/>
      <c r="C31" s="38"/>
      <c r="D31" s="39"/>
      <c r="E31" s="40"/>
      <c r="F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3"/>
  <sheetViews>
    <sheetView zoomScaleNormal="100" workbookViewId="0"/>
  </sheetViews>
  <sheetFormatPr defaultRowHeight="12.75"/>
  <cols>
    <col min="2" max="2" width="3.140625" customWidth="1"/>
    <col min="3" max="3" width="25.285156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26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27</v>
      </c>
      <c r="D7" s="42">
        <v>1700000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11</v>
      </c>
      <c r="D8" s="41">
        <v>4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10</v>
      </c>
      <c r="D9" s="23">
        <v>595000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16</v>
      </c>
      <c r="D10" s="51">
        <v>9.5000000000000001E-2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28</v>
      </c>
      <c r="D11" s="23">
        <v>45000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13</v>
      </c>
      <c r="D12" s="25">
        <v>0.13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12</v>
      </c>
      <c r="D13" s="25">
        <v>0.3</v>
      </c>
      <c r="E13" s="24"/>
      <c r="F13" s="14"/>
      <c r="G13" s="14"/>
      <c r="H13" s="14"/>
      <c r="I13" s="14"/>
      <c r="J13" s="14"/>
    </row>
    <row r="14" spans="1:10" ht="15.75" thickBot="1">
      <c r="A14" s="14"/>
      <c r="B14" s="26"/>
      <c r="C14" s="27"/>
      <c r="D14" s="28"/>
      <c r="E14" s="29"/>
      <c r="F14" s="14"/>
      <c r="G14" s="14"/>
      <c r="H14" s="14"/>
      <c r="I14" s="14"/>
      <c r="J14" s="14"/>
    </row>
    <row r="15" spans="1:10" ht="1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5">
      <c r="A16" s="14"/>
      <c r="B16" s="14"/>
      <c r="C16" s="16" t="s">
        <v>7</v>
      </c>
      <c r="D16" s="14"/>
      <c r="E16" s="14"/>
      <c r="F16" s="14"/>
      <c r="G16" s="14"/>
      <c r="H16" s="14"/>
      <c r="I16" s="14"/>
      <c r="J16" s="14"/>
    </row>
    <row r="17" spans="1:10" ht="15.75" thickBot="1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ht="15">
      <c r="A18" s="14"/>
      <c r="B18" s="30"/>
      <c r="C18" s="31"/>
      <c r="D18" s="31"/>
      <c r="E18" s="32"/>
      <c r="F18" s="14"/>
      <c r="H18" s="52"/>
    </row>
    <row r="19" spans="1:10" ht="15">
      <c r="A19" s="14"/>
      <c r="B19" s="45"/>
      <c r="C19" s="34" t="s">
        <v>22</v>
      </c>
      <c r="D19" s="36">
        <f>-D7+PV(D12,D8,(1-D13)*-D9)+PV(D10,D8,-D13*(D7/D8))</f>
        <v>-52561.349955064477</v>
      </c>
      <c r="E19" s="35"/>
      <c r="F19" s="14"/>
      <c r="H19" s="53"/>
    </row>
    <row r="20" spans="1:10" ht="15">
      <c r="A20" s="14"/>
      <c r="B20" s="45"/>
      <c r="C20" s="34"/>
      <c r="D20" s="43"/>
      <c r="E20" s="35"/>
      <c r="F20" s="14"/>
      <c r="H20" s="53"/>
    </row>
    <row r="21" spans="1:10" ht="15">
      <c r="A21" s="14"/>
      <c r="B21" s="45"/>
      <c r="C21" s="34" t="s">
        <v>23</v>
      </c>
      <c r="D21" s="36">
        <f>(D7-D11)+PV(D10,D8,(1-D13)*D10*D7)+PV(D10,D8,,D7)+PV(D10,D8,-D11/D8*D13)</f>
        <v>121072.23410747849</v>
      </c>
      <c r="E21" s="35"/>
      <c r="F21" s="14"/>
      <c r="H21" s="52"/>
    </row>
    <row r="22" spans="1:10" ht="15.75">
      <c r="A22" s="14"/>
      <c r="B22" s="45"/>
      <c r="C22" s="34"/>
      <c r="D22" s="50"/>
      <c r="E22" s="35"/>
      <c r="F22" s="14"/>
      <c r="H22" s="52"/>
    </row>
    <row r="23" spans="1:10" ht="15.75">
      <c r="A23" s="14"/>
      <c r="B23" s="45"/>
      <c r="C23" s="34" t="s">
        <v>25</v>
      </c>
      <c r="D23" s="48">
        <f>D19+D21</f>
        <v>68510.884152414015</v>
      </c>
      <c r="E23" s="35"/>
      <c r="F23" s="14"/>
      <c r="H23" s="52"/>
    </row>
    <row r="24" spans="1:10" ht="15.75" thickBot="1">
      <c r="A24" s="14"/>
      <c r="B24" s="37"/>
      <c r="C24" s="38"/>
      <c r="D24" s="39"/>
      <c r="E24" s="40"/>
      <c r="F24" s="14"/>
    </row>
    <row r="25" spans="1:10" ht="1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1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1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92"/>
  <sheetViews>
    <sheetView zoomScaleNormal="100" workbookViewId="0"/>
  </sheetViews>
  <sheetFormatPr defaultRowHeight="12.75"/>
  <cols>
    <col min="2" max="2" width="3.140625" customWidth="1"/>
    <col min="3" max="3" width="25.285156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29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41</v>
      </c>
      <c r="D7" s="66">
        <v>3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39</v>
      </c>
      <c r="D8" s="65">
        <v>0.4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43</v>
      </c>
      <c r="D9" s="42">
        <v>41000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40</v>
      </c>
      <c r="D10" s="25">
        <v>0.19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42</v>
      </c>
      <c r="D11" s="68">
        <v>1300000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44</v>
      </c>
      <c r="D12" s="42">
        <v>670000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45</v>
      </c>
      <c r="D13" s="42">
        <v>405000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12</v>
      </c>
      <c r="D14" s="67">
        <v>0.4</v>
      </c>
      <c r="E14" s="24"/>
      <c r="F14" s="14"/>
      <c r="G14" s="14"/>
      <c r="H14" s="14"/>
      <c r="I14" s="14"/>
      <c r="J14" s="14"/>
    </row>
    <row r="15" spans="1:10" ht="15.75" thickBot="1">
      <c r="A15" s="14"/>
      <c r="B15" s="26"/>
      <c r="C15" s="27"/>
      <c r="D15" s="28"/>
      <c r="E15" s="29"/>
      <c r="F15" s="14"/>
      <c r="G15" s="14"/>
      <c r="H15" s="14"/>
      <c r="I15" s="14"/>
      <c r="J15" s="14"/>
    </row>
    <row r="16" spans="1:10" ht="1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5">
      <c r="A17" s="14"/>
      <c r="B17" s="14"/>
      <c r="C17" s="16" t="s">
        <v>7</v>
      </c>
      <c r="D17" s="14"/>
      <c r="E17" s="14"/>
      <c r="F17" s="14"/>
      <c r="G17" s="14"/>
      <c r="H17" s="14"/>
      <c r="I17" s="14"/>
      <c r="J17" s="14"/>
    </row>
    <row r="18" spans="1:10" ht="15.75" thickBot="1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5">
      <c r="A19" s="14"/>
      <c r="B19" s="30"/>
      <c r="C19" s="31"/>
      <c r="D19" s="31"/>
      <c r="E19" s="32"/>
      <c r="F19" s="14"/>
      <c r="H19" s="52"/>
    </row>
    <row r="20" spans="1:10" ht="15">
      <c r="A20" s="14"/>
      <c r="B20" s="45" t="s">
        <v>17</v>
      </c>
      <c r="C20" s="34" t="s">
        <v>46</v>
      </c>
      <c r="D20" s="60">
        <f>D7*D11</f>
        <v>3900000</v>
      </c>
      <c r="E20" s="35"/>
      <c r="F20" s="14"/>
      <c r="H20" s="52"/>
    </row>
    <row r="21" spans="1:10" ht="15">
      <c r="A21" s="14"/>
      <c r="B21" s="45"/>
      <c r="C21" s="34" t="s">
        <v>47</v>
      </c>
      <c r="D21" s="69">
        <f>D7*D12</f>
        <v>2010000</v>
      </c>
      <c r="E21" s="35"/>
      <c r="F21" s="14"/>
      <c r="H21" s="52"/>
    </row>
    <row r="22" spans="1:10" ht="15">
      <c r="A22" s="14"/>
      <c r="B22" s="45"/>
      <c r="C22" s="34" t="s">
        <v>48</v>
      </c>
      <c r="D22" s="69">
        <f>D13*D7</f>
        <v>1215000</v>
      </c>
      <c r="E22" s="35"/>
      <c r="F22" s="14"/>
      <c r="H22" s="53"/>
    </row>
    <row r="23" spans="1:10" ht="15">
      <c r="A23" s="14"/>
      <c r="B23" s="45"/>
      <c r="C23" s="34" t="s">
        <v>8</v>
      </c>
      <c r="D23" s="70">
        <f>D7*D9</f>
        <v>123000</v>
      </c>
      <c r="E23" s="35"/>
      <c r="F23" s="14"/>
      <c r="H23" s="53"/>
    </row>
    <row r="24" spans="1:10" ht="15">
      <c r="A24" s="14"/>
      <c r="B24" s="45"/>
      <c r="C24" s="34" t="s">
        <v>49</v>
      </c>
      <c r="D24" s="60">
        <f>D20-D21-D22-D23</f>
        <v>552000</v>
      </c>
      <c r="E24" s="35"/>
      <c r="F24" s="14"/>
      <c r="H24" s="53"/>
    </row>
    <row r="25" spans="1:10" ht="15">
      <c r="A25" s="14"/>
      <c r="B25" s="45"/>
      <c r="C25" s="34" t="s">
        <v>50</v>
      </c>
      <c r="D25" s="69">
        <f>D24*D14</f>
        <v>220800</v>
      </c>
      <c r="E25" s="35"/>
      <c r="F25" s="14"/>
      <c r="H25" s="53"/>
    </row>
    <row r="26" spans="1:10" ht="15.75" thickBot="1">
      <c r="A26" s="14"/>
      <c r="B26" s="45"/>
      <c r="C26" s="34" t="s">
        <v>9</v>
      </c>
      <c r="D26" s="71">
        <f>D24-D25</f>
        <v>331200</v>
      </c>
      <c r="E26" s="35"/>
      <c r="F26" s="14"/>
      <c r="H26" s="53"/>
    </row>
    <row r="27" spans="1:10" ht="15.75" thickTop="1">
      <c r="A27" s="14"/>
      <c r="B27" s="45"/>
      <c r="C27" s="34"/>
      <c r="D27" s="43"/>
      <c r="E27" s="35"/>
      <c r="F27" s="14"/>
      <c r="H27" s="53"/>
    </row>
    <row r="28" spans="1:10" ht="15.75">
      <c r="A28" s="14"/>
      <c r="B28" s="45"/>
      <c r="C28" s="34" t="s">
        <v>51</v>
      </c>
      <c r="D28" s="48">
        <f>D26/D10</f>
        <v>1743157.894736842</v>
      </c>
      <c r="E28" s="35"/>
      <c r="F28" s="14"/>
      <c r="H28" s="53"/>
    </row>
    <row r="29" spans="1:10" ht="15">
      <c r="A29" s="14"/>
      <c r="B29" s="45"/>
      <c r="C29" s="34"/>
      <c r="D29" s="43"/>
      <c r="E29" s="35"/>
      <c r="F29" s="14"/>
      <c r="H29" s="53"/>
    </row>
    <row r="30" spans="1:10" ht="15">
      <c r="A30" s="14"/>
      <c r="B30" s="45" t="s">
        <v>21</v>
      </c>
      <c r="C30" s="34" t="s">
        <v>52</v>
      </c>
      <c r="D30" s="36">
        <f>D28*D8</f>
        <v>697263.15789473685</v>
      </c>
      <c r="E30" s="35"/>
      <c r="F30" s="14"/>
      <c r="H30" s="53"/>
    </row>
    <row r="31" spans="1:10" ht="15">
      <c r="A31" s="14"/>
      <c r="B31" s="45"/>
      <c r="C31" s="34"/>
      <c r="D31" s="43"/>
      <c r="E31" s="35"/>
      <c r="F31" s="14"/>
      <c r="H31" s="53"/>
    </row>
    <row r="32" spans="1:10" ht="15.75">
      <c r="A32" s="14"/>
      <c r="B32" s="45"/>
      <c r="C32" s="34" t="s">
        <v>53</v>
      </c>
      <c r="D32" s="48">
        <f>D28+D30</f>
        <v>2440421.0526315789</v>
      </c>
      <c r="E32" s="35"/>
      <c r="F32" s="14"/>
      <c r="H32" s="53"/>
    </row>
    <row r="33" spans="1:10" ht="15.75" thickBot="1">
      <c r="A33" s="14"/>
      <c r="B33" s="37"/>
      <c r="C33" s="38"/>
      <c r="D33" s="39"/>
      <c r="E33" s="40"/>
      <c r="F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92"/>
  <sheetViews>
    <sheetView zoomScaleNormal="100" workbookViewId="0"/>
  </sheetViews>
  <sheetFormatPr defaultRowHeight="12.75"/>
  <cols>
    <col min="2" max="2" width="3.140625" customWidth="1"/>
    <col min="3" max="3" width="28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36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54</v>
      </c>
      <c r="D7" s="72">
        <v>0.85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55</v>
      </c>
      <c r="D8" s="65">
        <v>0.4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56</v>
      </c>
      <c r="D9" s="25">
        <v>0.11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57</v>
      </c>
      <c r="D10" s="25">
        <v>0.04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58</v>
      </c>
      <c r="D11" s="73">
        <v>36526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59</v>
      </c>
      <c r="D12" s="74">
        <v>43831</v>
      </c>
      <c r="E12" s="24"/>
      <c r="F12" s="14"/>
      <c r="G12" s="14"/>
      <c r="H12" s="14"/>
      <c r="I12" s="14"/>
      <c r="J12" s="14"/>
    </row>
    <row r="13" spans="1:10" ht="15">
      <c r="A13" s="14"/>
      <c r="B13" s="21"/>
      <c r="C13" s="22" t="s">
        <v>63</v>
      </c>
      <c r="D13" s="51">
        <v>7.0000000000000007E-2</v>
      </c>
      <c r="E13" s="24"/>
      <c r="F13" s="14"/>
      <c r="G13" s="14"/>
      <c r="H13" s="14"/>
      <c r="I13" s="14"/>
      <c r="J13" s="14"/>
    </row>
    <row r="14" spans="1:10" ht="15">
      <c r="A14" s="14"/>
      <c r="B14" s="21"/>
      <c r="C14" s="22" t="s">
        <v>60</v>
      </c>
      <c r="D14" s="75">
        <v>1080</v>
      </c>
      <c r="E14" s="24"/>
      <c r="F14" s="14"/>
      <c r="G14" s="14"/>
      <c r="H14" s="14"/>
      <c r="I14" s="14"/>
      <c r="J14" s="14"/>
    </row>
    <row r="15" spans="1:10" ht="15">
      <c r="A15" s="14"/>
      <c r="B15" s="21"/>
      <c r="C15" s="22" t="s">
        <v>61</v>
      </c>
      <c r="D15" s="54">
        <v>2</v>
      </c>
      <c r="E15" s="24"/>
      <c r="F15" s="14"/>
      <c r="G15" s="14"/>
      <c r="H15" s="14"/>
      <c r="I15" s="14"/>
      <c r="J15" s="14"/>
    </row>
    <row r="16" spans="1:10" ht="15">
      <c r="A16" s="14"/>
      <c r="B16" s="21"/>
      <c r="C16" s="22" t="s">
        <v>12</v>
      </c>
      <c r="D16" s="67">
        <v>0.34</v>
      </c>
      <c r="E16" s="24"/>
      <c r="F16" s="14"/>
      <c r="G16" s="14"/>
      <c r="H16" s="14"/>
      <c r="I16" s="14"/>
      <c r="J16" s="14"/>
    </row>
    <row r="17" spans="1:10" ht="15.75" thickBot="1">
      <c r="A17" s="14"/>
      <c r="B17" s="26"/>
      <c r="C17" s="27"/>
      <c r="D17" s="28"/>
      <c r="E17" s="29"/>
      <c r="F17" s="14"/>
      <c r="G17" s="14"/>
      <c r="H17" s="14"/>
      <c r="I17" s="14"/>
      <c r="J17" s="14"/>
    </row>
    <row r="18" spans="1:10" ht="15">
      <c r="A18" s="14"/>
      <c r="B18" s="14"/>
      <c r="C18" s="14"/>
      <c r="D18" s="14"/>
      <c r="E18" s="14"/>
      <c r="F18" s="14"/>
      <c r="G18" s="14"/>
      <c r="H18" s="14"/>
      <c r="I18" s="14"/>
      <c r="J18" s="14"/>
    </row>
    <row r="19" spans="1:10" ht="15">
      <c r="A19" s="14"/>
      <c r="B19" s="14"/>
      <c r="C19" s="16" t="s">
        <v>7</v>
      </c>
      <c r="D19" s="14"/>
      <c r="E19" s="14"/>
      <c r="F19" s="14"/>
      <c r="G19" s="14"/>
      <c r="H19" s="14"/>
      <c r="I19" s="14"/>
      <c r="J19" s="14"/>
    </row>
    <row r="20" spans="1:10" ht="15.75" thickBot="1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ht="15">
      <c r="A21" s="14"/>
      <c r="B21" s="30"/>
      <c r="C21" s="31"/>
      <c r="D21" s="31"/>
      <c r="E21" s="32"/>
      <c r="F21" s="14"/>
      <c r="H21" s="52"/>
    </row>
    <row r="22" spans="1:10" ht="15.75">
      <c r="A22" s="14"/>
      <c r="B22" s="45" t="s">
        <v>17</v>
      </c>
      <c r="C22" s="34" t="s">
        <v>62</v>
      </c>
      <c r="D22" s="77">
        <f>YIELD(D11,D12,D13,D14/10,100,+D15)</f>
        <v>6.2914047323405289E-2</v>
      </c>
      <c r="E22" s="35"/>
      <c r="F22" s="14"/>
      <c r="H22" s="52"/>
    </row>
    <row r="23" spans="1:10" ht="15">
      <c r="A23" s="14"/>
      <c r="B23" s="45"/>
      <c r="C23" s="34"/>
      <c r="D23" s="69"/>
      <c r="E23" s="35"/>
      <c r="F23" s="14"/>
      <c r="H23" s="52"/>
    </row>
    <row r="24" spans="1:10" ht="15">
      <c r="A24" s="14"/>
      <c r="B24" s="45" t="s">
        <v>21</v>
      </c>
      <c r="C24" s="34" t="s">
        <v>13</v>
      </c>
      <c r="D24" s="76">
        <f>D10+(D7*(D9-D10))</f>
        <v>9.9500000000000005E-2</v>
      </c>
      <c r="E24" s="35"/>
      <c r="F24" s="14"/>
      <c r="H24" s="53"/>
    </row>
    <row r="25" spans="1:10" ht="15">
      <c r="A25" s="14"/>
      <c r="B25" s="45"/>
      <c r="C25" s="34"/>
      <c r="D25" s="69"/>
      <c r="E25" s="35"/>
      <c r="F25" s="14"/>
      <c r="H25" s="53"/>
    </row>
    <row r="26" spans="1:10" ht="15.75">
      <c r="A26" s="14"/>
      <c r="B26" s="45"/>
      <c r="C26" s="34" t="s">
        <v>40</v>
      </c>
      <c r="D26" s="77">
        <f>D24+(D8*(D24-D22)*(1-D16))</f>
        <v>0.10915869150662101</v>
      </c>
      <c r="E26" s="35"/>
      <c r="F26" s="14"/>
      <c r="H26" s="53"/>
    </row>
    <row r="27" spans="1:10" ht="15">
      <c r="A27" s="14"/>
      <c r="B27" s="45"/>
      <c r="C27" s="34"/>
      <c r="D27" s="69"/>
      <c r="E27" s="35"/>
      <c r="F27" s="14"/>
      <c r="H27" s="53"/>
    </row>
    <row r="28" spans="1:10" ht="15">
      <c r="A28" s="14"/>
      <c r="B28" s="45" t="s">
        <v>64</v>
      </c>
      <c r="C28" s="34" t="s">
        <v>65</v>
      </c>
      <c r="D28" s="79">
        <f>D8/(1+D8)</f>
        <v>0.28571428571428575</v>
      </c>
      <c r="E28" s="35"/>
      <c r="F28" s="14"/>
      <c r="H28" s="53"/>
    </row>
    <row r="29" spans="1:10" ht="15">
      <c r="A29" s="14"/>
      <c r="B29" s="45"/>
      <c r="C29" s="34"/>
      <c r="D29" s="79"/>
      <c r="E29" s="35"/>
      <c r="F29" s="14"/>
      <c r="H29" s="53"/>
    </row>
    <row r="30" spans="1:10" ht="15">
      <c r="A30" s="14"/>
      <c r="B30" s="45"/>
      <c r="C30" s="34" t="s">
        <v>66</v>
      </c>
      <c r="D30" s="79">
        <f>1-D28</f>
        <v>0.71428571428571419</v>
      </c>
      <c r="E30" s="35"/>
      <c r="F30" s="14"/>
      <c r="H30" s="53"/>
    </row>
    <row r="31" spans="1:10" ht="15">
      <c r="A31" s="14"/>
      <c r="B31" s="45"/>
      <c r="C31" s="34"/>
      <c r="D31" s="36"/>
      <c r="E31" s="35"/>
      <c r="F31" s="14"/>
      <c r="H31" s="53"/>
    </row>
    <row r="32" spans="1:10" ht="15.75">
      <c r="A32" s="14"/>
      <c r="B32" s="45"/>
      <c r="C32" s="34" t="s">
        <v>67</v>
      </c>
      <c r="D32" s="77">
        <f>(D28*(1-D16)*D22)+(D30*D26)</f>
        <v>8.9834285714285714E-2</v>
      </c>
      <c r="E32" s="35"/>
      <c r="F32" s="14"/>
      <c r="H32" s="53"/>
    </row>
    <row r="33" spans="1:10" ht="15.75" thickBot="1">
      <c r="A33" s="14"/>
      <c r="B33" s="37"/>
      <c r="C33" s="38"/>
      <c r="D33" s="39"/>
      <c r="E33" s="40"/>
      <c r="F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  <row r="84" spans="1:10" ht="15">
      <c r="A84" s="14"/>
      <c r="B84" s="14"/>
      <c r="C84" s="14"/>
      <c r="D84" s="14"/>
      <c r="E84" s="14"/>
      <c r="F84" s="14"/>
      <c r="G84" s="14"/>
      <c r="H84" s="14"/>
      <c r="I84" s="14"/>
      <c r="J84" s="14"/>
    </row>
    <row r="85" spans="1:10" ht="15">
      <c r="A85" s="14"/>
      <c r="B85" s="14"/>
      <c r="C85" s="14"/>
      <c r="D85" s="14"/>
      <c r="E85" s="14"/>
      <c r="F85" s="14"/>
      <c r="G85" s="14"/>
      <c r="H85" s="14"/>
      <c r="I85" s="14"/>
      <c r="J85" s="14"/>
    </row>
    <row r="86" spans="1:10" ht="15">
      <c r="A86" s="14"/>
      <c r="B86" s="14"/>
      <c r="C86" s="14"/>
      <c r="D86" s="14"/>
      <c r="E86" s="14"/>
      <c r="F86" s="14"/>
      <c r="G86" s="14"/>
      <c r="H86" s="14"/>
      <c r="I86" s="14"/>
      <c r="J86" s="14"/>
    </row>
    <row r="87" spans="1:10" ht="15">
      <c r="A87" s="14"/>
      <c r="B87" s="14"/>
      <c r="C87" s="14"/>
      <c r="D87" s="14"/>
      <c r="E87" s="14"/>
      <c r="F87" s="14"/>
      <c r="G87" s="14"/>
      <c r="H87" s="14"/>
      <c r="I87" s="14"/>
      <c r="J87" s="14"/>
    </row>
    <row r="88" spans="1:10" ht="15">
      <c r="A88" s="14"/>
      <c r="B88" s="14"/>
      <c r="C88" s="14"/>
      <c r="D88" s="14"/>
      <c r="E88" s="14"/>
      <c r="F88" s="14"/>
      <c r="G88" s="14"/>
      <c r="H88" s="14"/>
      <c r="I88" s="14"/>
      <c r="J88" s="14"/>
    </row>
    <row r="89" spans="1:10" ht="15">
      <c r="A89" s="14"/>
      <c r="B89" s="14"/>
      <c r="C89" s="14"/>
      <c r="D89" s="14"/>
      <c r="E89" s="14"/>
      <c r="F89" s="14"/>
      <c r="G89" s="14"/>
      <c r="H89" s="14"/>
      <c r="I89" s="14"/>
      <c r="J89" s="14"/>
    </row>
    <row r="90" spans="1:10" ht="15">
      <c r="A90" s="14"/>
      <c r="B90" s="14"/>
      <c r="C90" s="14"/>
      <c r="D90" s="14"/>
      <c r="E90" s="14"/>
      <c r="F90" s="14"/>
      <c r="G90" s="14"/>
      <c r="H90" s="14"/>
      <c r="I90" s="14"/>
      <c r="J90" s="14"/>
    </row>
    <row r="91" spans="1:10" ht="15">
      <c r="A91" s="14"/>
      <c r="B91" s="14"/>
      <c r="C91" s="14"/>
      <c r="D91" s="14"/>
      <c r="E91" s="14"/>
      <c r="F91" s="14"/>
      <c r="G91" s="14"/>
      <c r="H91" s="14"/>
      <c r="I91" s="14"/>
      <c r="J91" s="14"/>
    </row>
    <row r="92" spans="1:10" ht="15">
      <c r="A92" s="14"/>
      <c r="B92" s="14"/>
      <c r="C92" s="14"/>
      <c r="D92" s="14"/>
      <c r="E92" s="14"/>
      <c r="F92" s="14"/>
      <c r="G92" s="14"/>
      <c r="H92" s="14"/>
      <c r="I92" s="14"/>
      <c r="J92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84"/>
  <sheetViews>
    <sheetView zoomScaleNormal="100" workbookViewId="0"/>
  </sheetViews>
  <sheetFormatPr defaultRowHeight="12.75"/>
  <cols>
    <col min="2" max="2" width="3.140625" customWidth="1"/>
    <col min="3" max="3" width="28" bestFit="1" customWidth="1"/>
    <col min="4" max="5" width="18.140625" customWidth="1"/>
    <col min="6" max="6" width="3" customWidth="1"/>
    <col min="7" max="7" width="18.140625" customWidth="1"/>
    <col min="8" max="8" width="3.140625" customWidth="1"/>
    <col min="9" max="9" width="18.140625" customWidth="1"/>
    <col min="10" max="10" width="3.140625" customWidth="1"/>
  </cols>
  <sheetData>
    <row r="1" spans="1:11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  <c r="K1" s="14"/>
    </row>
    <row r="2" spans="1:11" ht="15">
      <c r="A2" s="14"/>
      <c r="B2" s="14"/>
      <c r="C2" s="14" t="s">
        <v>38</v>
      </c>
      <c r="D2" s="14"/>
      <c r="E2" s="14"/>
      <c r="F2" s="14"/>
      <c r="G2" s="14"/>
      <c r="H2" s="14"/>
      <c r="I2" s="14"/>
      <c r="J2" s="14"/>
      <c r="K2" s="14"/>
    </row>
    <row r="3" spans="1:11" ht="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  <c r="K4" s="14"/>
    </row>
    <row r="5" spans="1:11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ht="15">
      <c r="A6" s="14"/>
      <c r="B6" s="17"/>
      <c r="C6" s="18"/>
      <c r="D6" s="19"/>
      <c r="E6" s="19"/>
      <c r="F6" s="20"/>
      <c r="G6" s="14"/>
      <c r="H6" s="14"/>
      <c r="I6" s="14"/>
      <c r="J6" s="14"/>
      <c r="K6" s="14"/>
    </row>
    <row r="7" spans="1:11" ht="15">
      <c r="A7" s="14"/>
      <c r="B7" s="21"/>
      <c r="C7" s="22" t="s">
        <v>68</v>
      </c>
      <c r="D7" s="72">
        <v>1.1000000000000001</v>
      </c>
      <c r="E7" s="72"/>
      <c r="F7" s="24"/>
      <c r="G7" s="14"/>
      <c r="H7" s="14"/>
      <c r="I7" s="14"/>
      <c r="J7" s="14"/>
      <c r="K7" s="14"/>
    </row>
    <row r="8" spans="1:11" ht="15">
      <c r="A8" s="14"/>
      <c r="B8" s="21"/>
      <c r="C8" s="22"/>
      <c r="D8" s="72"/>
      <c r="E8" s="72"/>
      <c r="F8" s="24"/>
      <c r="G8" s="14"/>
      <c r="H8" s="14"/>
      <c r="I8" s="14"/>
      <c r="J8" s="14"/>
      <c r="K8" s="14"/>
    </row>
    <row r="9" spans="1:11" ht="15">
      <c r="A9" s="14"/>
      <c r="B9" s="21"/>
      <c r="C9" s="22"/>
      <c r="D9" s="80" t="s">
        <v>71</v>
      </c>
      <c r="E9" s="80" t="s">
        <v>72</v>
      </c>
      <c r="F9" s="24"/>
      <c r="G9" s="14"/>
      <c r="H9" s="14"/>
      <c r="I9" s="14"/>
      <c r="J9" s="14"/>
      <c r="K9" s="14"/>
    </row>
    <row r="10" spans="1:11" ht="15">
      <c r="A10" s="14"/>
      <c r="B10" s="21"/>
      <c r="C10" s="22" t="s">
        <v>69</v>
      </c>
      <c r="D10" s="82">
        <v>2900000</v>
      </c>
      <c r="E10" s="82">
        <v>3800000</v>
      </c>
      <c r="F10" s="24"/>
      <c r="G10" s="14"/>
      <c r="H10" s="14"/>
      <c r="I10" s="14"/>
      <c r="J10" s="14"/>
      <c r="K10" s="14"/>
    </row>
    <row r="11" spans="1:11" ht="15">
      <c r="A11" s="14"/>
      <c r="B11" s="21"/>
      <c r="C11" s="22" t="s">
        <v>70</v>
      </c>
      <c r="D11" s="83">
        <v>3800000</v>
      </c>
      <c r="E11" s="83">
        <v>2900000</v>
      </c>
      <c r="F11" s="24"/>
      <c r="G11" s="14"/>
      <c r="H11" s="14"/>
      <c r="I11" s="14"/>
      <c r="J11" s="14"/>
      <c r="K11" s="14"/>
    </row>
    <row r="12" spans="1:11" ht="15">
      <c r="A12" s="14"/>
      <c r="B12" s="21"/>
      <c r="C12" s="22"/>
      <c r="D12" s="81"/>
      <c r="E12" s="81"/>
      <c r="F12" s="24"/>
      <c r="G12" s="14"/>
      <c r="H12" s="14"/>
      <c r="I12" s="14"/>
      <c r="J12" s="14"/>
      <c r="K12" s="14"/>
    </row>
    <row r="13" spans="1:11" ht="15">
      <c r="A13" s="14"/>
      <c r="B13" s="21"/>
      <c r="C13" s="22" t="s">
        <v>56</v>
      </c>
      <c r="D13" s="51">
        <v>0.109</v>
      </c>
      <c r="E13" s="25"/>
      <c r="F13" s="24"/>
      <c r="G13" s="14"/>
      <c r="H13" s="14"/>
      <c r="I13" s="14"/>
      <c r="J13" s="14"/>
      <c r="K13" s="14"/>
    </row>
    <row r="14" spans="1:11" ht="15">
      <c r="A14" s="14"/>
      <c r="B14" s="21"/>
      <c r="C14" s="22" t="s">
        <v>57</v>
      </c>
      <c r="D14" s="51">
        <v>3.2000000000000001E-2</v>
      </c>
      <c r="E14" s="25"/>
      <c r="F14" s="24"/>
      <c r="G14" s="14"/>
      <c r="H14" s="14"/>
      <c r="I14" s="14"/>
      <c r="J14" s="14"/>
      <c r="K14" s="14"/>
    </row>
    <row r="15" spans="1:11" ht="15">
      <c r="A15" s="14"/>
      <c r="B15" s="21"/>
      <c r="C15" s="22" t="s">
        <v>12</v>
      </c>
      <c r="D15" s="67">
        <v>0.35</v>
      </c>
      <c r="E15" s="67"/>
      <c r="F15" s="24"/>
      <c r="G15" s="14"/>
      <c r="H15" s="14"/>
      <c r="I15" s="14"/>
      <c r="J15" s="14"/>
      <c r="K15" s="14"/>
    </row>
    <row r="16" spans="1:11" ht="15.75" thickBot="1">
      <c r="A16" s="14"/>
      <c r="B16" s="26"/>
      <c r="C16" s="27"/>
      <c r="D16" s="28"/>
      <c r="E16" s="28"/>
      <c r="F16" s="29"/>
      <c r="G16" s="14"/>
      <c r="H16" s="14"/>
      <c r="I16" s="14"/>
      <c r="J16" s="14"/>
      <c r="K16" s="14"/>
    </row>
    <row r="17" spans="1:11" ht="1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11" ht="15">
      <c r="A18" s="14"/>
      <c r="B18" s="14"/>
      <c r="C18" s="16" t="s">
        <v>7</v>
      </c>
      <c r="D18" s="14"/>
      <c r="E18" s="14"/>
      <c r="F18" s="14"/>
      <c r="G18" s="14"/>
      <c r="H18" s="14"/>
      <c r="I18" s="14"/>
      <c r="J18" s="14"/>
      <c r="K18" s="14"/>
    </row>
    <row r="19" spans="1:11" ht="15.75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ht="15">
      <c r="A20" s="14"/>
      <c r="B20" s="30"/>
      <c r="C20" s="31"/>
      <c r="D20" s="31"/>
      <c r="E20" s="31"/>
      <c r="F20" s="32"/>
      <c r="G20" s="14"/>
      <c r="I20" s="52"/>
    </row>
    <row r="21" spans="1:11" ht="15">
      <c r="A21" s="14"/>
      <c r="B21" s="33"/>
      <c r="C21" s="34"/>
      <c r="D21" s="84" t="s">
        <v>71</v>
      </c>
      <c r="E21" s="84" t="s">
        <v>72</v>
      </c>
      <c r="F21" s="35"/>
      <c r="G21" s="14"/>
      <c r="I21" s="52"/>
    </row>
    <row r="22" spans="1:11" ht="15.75">
      <c r="A22" s="14"/>
      <c r="B22" s="45" t="s">
        <v>17</v>
      </c>
      <c r="C22" s="34" t="s">
        <v>73</v>
      </c>
      <c r="D22" s="85">
        <f>((1+(1-$D$15)*(D10/D11))*$D$7)</f>
        <v>1.6456578947368423</v>
      </c>
      <c r="E22" s="85">
        <f>((1+(1-$D$15)*(E10/E11))*$D$7)</f>
        <v>2.036896551724138</v>
      </c>
      <c r="F22" s="35"/>
      <c r="G22" s="14"/>
      <c r="I22" s="52"/>
    </row>
    <row r="23" spans="1:11" ht="15">
      <c r="A23" s="14"/>
      <c r="B23" s="45"/>
      <c r="C23" s="34"/>
      <c r="D23" s="69"/>
      <c r="E23" s="69"/>
      <c r="F23" s="35"/>
      <c r="G23" s="14"/>
      <c r="I23" s="52"/>
    </row>
    <row r="24" spans="1:11" ht="15.75">
      <c r="A24" s="14"/>
      <c r="B24" s="45" t="s">
        <v>21</v>
      </c>
      <c r="C24" s="34" t="s">
        <v>74</v>
      </c>
      <c r="D24" s="77">
        <f>D14+(D22*(D13-D14))</f>
        <v>0.15871565789473685</v>
      </c>
      <c r="E24" s="77">
        <f>D14+(E22*(D13-D14))</f>
        <v>0.18884103448275863</v>
      </c>
      <c r="F24" s="35"/>
      <c r="G24" s="14"/>
      <c r="I24" s="53"/>
    </row>
    <row r="25" spans="1:11" ht="15.75" thickBot="1">
      <c r="A25" s="14"/>
      <c r="B25" s="37"/>
      <c r="C25" s="38"/>
      <c r="D25" s="39"/>
      <c r="E25" s="39"/>
      <c r="F25" s="40"/>
      <c r="G25" s="14"/>
    </row>
    <row r="26" spans="1:11" ht="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ht="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ht="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ht="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ht="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ht="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</row>
    <row r="32" spans="1:11" ht="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</row>
    <row r="33" spans="1:11" ht="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</row>
    <row r="34" spans="1:11" ht="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</row>
    <row r="35" spans="1:11" ht="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</row>
    <row r="36" spans="1:11" ht="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ht="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1:11" ht="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ht="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1" ht="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1:11" ht="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</row>
    <row r="42" spans="1:11" ht="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</row>
    <row r="43" spans="1:11" ht="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</row>
    <row r="44" spans="1:11" ht="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</row>
    <row r="45" spans="1:11" ht="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1" ht="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ht="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</row>
    <row r="48" spans="1:11" ht="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</row>
    <row r="49" spans="1:11" ht="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1:11" ht="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</row>
    <row r="51" spans="1:11" ht="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</row>
    <row r="52" spans="1:11" ht="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spans="1:11" ht="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</row>
    <row r="54" spans="1:11" ht="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11" ht="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</row>
    <row r="56" spans="1:11" ht="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</row>
    <row r="57" spans="1:11" ht="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</row>
    <row r="58" spans="1:11" ht="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</row>
    <row r="59" spans="1:11" ht="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</row>
    <row r="60" spans="1:11" ht="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</row>
    <row r="61" spans="1:11" ht="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</row>
    <row r="62" spans="1:11" ht="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ht="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</row>
    <row r="64" spans="1:11" ht="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</row>
    <row r="65" spans="1:11" ht="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</row>
    <row r="66" spans="1:11" ht="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</row>
    <row r="67" spans="1:11" ht="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</row>
    <row r="68" spans="1:11" ht="1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</row>
    <row r="69" spans="1:11" ht="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1" ht="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1:11" ht="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</row>
    <row r="72" spans="1:11" ht="1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11" ht="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</row>
    <row r="74" spans="1:11" ht="1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11" ht="1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1:11" ht="1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</row>
    <row r="77" spans="1:11" ht="1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</row>
    <row r="78" spans="1:11" ht="1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</row>
    <row r="79" spans="1:11" ht="1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</row>
    <row r="80" spans="1:11" ht="1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</row>
    <row r="81" spans="1:11" ht="1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</row>
    <row r="82" spans="1:11" ht="1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1:11" ht="1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1:11" ht="1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83"/>
  <sheetViews>
    <sheetView zoomScaleNormal="100" workbookViewId="0"/>
  </sheetViews>
  <sheetFormatPr defaultRowHeight="12.75"/>
  <cols>
    <col min="2" max="2" width="3.140625" customWidth="1"/>
    <col min="3" max="3" width="25.285156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75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33</v>
      </c>
      <c r="D7" s="41">
        <v>10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77</v>
      </c>
      <c r="D8" s="25">
        <v>0.08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76</v>
      </c>
      <c r="D9" s="23">
        <v>5850000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28</v>
      </c>
      <c r="D10" s="51">
        <v>2.5000000000000001E-2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12</v>
      </c>
      <c r="D11" s="25">
        <v>0.4</v>
      </c>
      <c r="E11" s="24"/>
      <c r="F11" s="14"/>
      <c r="G11" s="14"/>
      <c r="H11" s="14"/>
      <c r="I11" s="14"/>
      <c r="J11" s="14"/>
    </row>
    <row r="12" spans="1:10" ht="15.75" thickBot="1">
      <c r="A12" s="14"/>
      <c r="B12" s="26"/>
      <c r="C12" s="27"/>
      <c r="D12" s="28"/>
      <c r="E12" s="29"/>
      <c r="F12" s="14"/>
      <c r="G12" s="14"/>
      <c r="H12" s="14"/>
      <c r="I12" s="14"/>
      <c r="J12" s="14"/>
    </row>
    <row r="13" spans="1:10" ht="1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5">
      <c r="A14" s="14"/>
      <c r="B14" s="14"/>
      <c r="C14" s="16" t="s">
        <v>7</v>
      </c>
      <c r="D14" s="14"/>
      <c r="E14" s="14"/>
      <c r="F14" s="14"/>
      <c r="G14" s="14"/>
      <c r="H14" s="14"/>
      <c r="I14" s="14"/>
      <c r="J14" s="14"/>
    </row>
    <row r="15" spans="1:10" ht="15.75" thickBot="1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5">
      <c r="A16" s="14"/>
      <c r="B16" s="30"/>
      <c r="C16" s="31"/>
      <c r="D16" s="31"/>
      <c r="E16" s="32"/>
      <c r="F16" s="14"/>
      <c r="H16" s="52"/>
    </row>
    <row r="17" spans="1:10" ht="15.75">
      <c r="A17" s="14"/>
      <c r="B17" s="45" t="s">
        <v>17</v>
      </c>
      <c r="C17" s="34" t="s">
        <v>78</v>
      </c>
      <c r="D17" s="48">
        <f>D9-PV(D8,D7,-D8*D9*(1-D11))-PV(D8,D7,,-D9)</f>
        <v>1256127.2378818388</v>
      </c>
      <c r="E17" s="35"/>
      <c r="F17" s="14"/>
      <c r="H17" s="53"/>
    </row>
    <row r="18" spans="1:10" ht="15.75">
      <c r="A18" s="14"/>
      <c r="B18" s="45"/>
      <c r="C18" s="34"/>
      <c r="D18" s="50"/>
      <c r="E18" s="35"/>
      <c r="F18" s="14"/>
      <c r="H18" s="53"/>
    </row>
    <row r="19" spans="1:10" ht="15">
      <c r="A19" s="14"/>
      <c r="B19" s="45" t="s">
        <v>21</v>
      </c>
      <c r="C19" s="34" t="s">
        <v>28</v>
      </c>
      <c r="D19" s="36">
        <f>D9*D10</f>
        <v>146250</v>
      </c>
      <c r="E19" s="35"/>
      <c r="F19" s="14"/>
      <c r="H19" s="53"/>
    </row>
    <row r="20" spans="1:10" ht="15.75">
      <c r="A20" s="14"/>
      <c r="B20" s="45"/>
      <c r="C20" s="34"/>
      <c r="D20" s="50"/>
      <c r="E20" s="35"/>
      <c r="F20" s="14"/>
      <c r="H20" s="53"/>
    </row>
    <row r="21" spans="1:10" ht="15">
      <c r="A21" s="14"/>
      <c r="B21" s="45"/>
      <c r="C21" s="34" t="s">
        <v>186</v>
      </c>
      <c r="D21" s="36">
        <f>(D10*D9)/D7</f>
        <v>14625</v>
      </c>
      <c r="E21" s="35"/>
      <c r="F21" s="14"/>
      <c r="H21" s="53"/>
    </row>
    <row r="22" spans="1:10" ht="15.75">
      <c r="A22" s="14"/>
      <c r="B22" s="45"/>
      <c r="C22" s="34"/>
      <c r="D22" s="50"/>
      <c r="E22" s="35"/>
      <c r="F22" s="14"/>
      <c r="H22" s="53"/>
    </row>
    <row r="23" spans="1:10" ht="15.75">
      <c r="A23" s="14"/>
      <c r="B23" s="45"/>
      <c r="C23" s="34" t="s">
        <v>78</v>
      </c>
      <c r="D23" s="48">
        <f>(D9*(1-D10))-PV(D8,D7,-D8*D9*(1-D11))-PV(D8,D7,,-D9)+PV(D8,D7,-D21*D11)</f>
        <v>1149131.2140656463</v>
      </c>
      <c r="E23" s="35"/>
      <c r="F23" s="14"/>
      <c r="H23" s="53"/>
    </row>
    <row r="24" spans="1:10" ht="15.75" thickBot="1">
      <c r="A24" s="14"/>
      <c r="B24" s="37"/>
      <c r="C24" s="38"/>
      <c r="D24" s="39"/>
      <c r="E24" s="40"/>
      <c r="F24" s="14"/>
    </row>
    <row r="25" spans="1:10" ht="1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1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1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3"/>
  <sheetViews>
    <sheetView zoomScaleNormal="100" workbookViewId="0"/>
  </sheetViews>
  <sheetFormatPr defaultRowHeight="12.75"/>
  <cols>
    <col min="2" max="2" width="3.140625" customWidth="1"/>
    <col min="3" max="3" width="28.28515625" bestFit="1" customWidth="1"/>
    <col min="4" max="4" width="19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81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13</v>
      </c>
      <c r="D7" s="51">
        <v>0.11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57</v>
      </c>
      <c r="D8" s="51">
        <v>3.5000000000000003E-2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79</v>
      </c>
      <c r="D9" s="42">
        <v>11400000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185</v>
      </c>
      <c r="D10" s="42">
        <v>3200000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87</v>
      </c>
      <c r="D11" s="41">
        <v>6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12</v>
      </c>
      <c r="D12" s="67">
        <v>0.4</v>
      </c>
      <c r="E12" s="24"/>
      <c r="F12" s="14"/>
      <c r="G12" s="14"/>
      <c r="H12" s="14"/>
      <c r="I12" s="14"/>
      <c r="J12" s="14"/>
    </row>
    <row r="13" spans="1:10" ht="15.75" thickBot="1">
      <c r="A13" s="14"/>
      <c r="B13" s="26"/>
      <c r="C13" s="27"/>
      <c r="D13" s="28"/>
      <c r="E13" s="29"/>
      <c r="F13" s="14"/>
      <c r="G13" s="14"/>
      <c r="H13" s="14"/>
      <c r="I13" s="14"/>
      <c r="J13" s="14"/>
    </row>
    <row r="14" spans="1:10" ht="1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5">
      <c r="A15" s="14"/>
      <c r="B15" s="14"/>
      <c r="C15" s="16" t="s">
        <v>7</v>
      </c>
      <c r="D15" s="14"/>
      <c r="E15" s="14"/>
      <c r="F15" s="14"/>
      <c r="G15" s="14"/>
      <c r="H15" s="14"/>
      <c r="I15" s="14"/>
      <c r="J15" s="14"/>
    </row>
    <row r="16" spans="1:10" ht="15.75" thickBot="1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5">
      <c r="A17" s="14"/>
      <c r="B17" s="30"/>
      <c r="C17" s="31"/>
      <c r="D17" s="31"/>
      <c r="E17" s="32"/>
      <c r="F17" s="14"/>
      <c r="H17" s="52"/>
    </row>
    <row r="18" spans="1:10" ht="15">
      <c r="A18" s="14"/>
      <c r="B18" s="45"/>
      <c r="C18" s="34" t="s">
        <v>88</v>
      </c>
      <c r="D18" s="87"/>
      <c r="E18" s="35"/>
      <c r="F18" s="14"/>
      <c r="H18" s="52"/>
    </row>
    <row r="19" spans="1:10" ht="15">
      <c r="A19" s="14"/>
      <c r="B19" s="45"/>
      <c r="C19" s="34" t="s">
        <v>89</v>
      </c>
      <c r="D19" s="88">
        <f>D10*(1-D12)</f>
        <v>1920000</v>
      </c>
      <c r="E19" s="35"/>
      <c r="F19" s="14"/>
      <c r="H19" s="52"/>
    </row>
    <row r="20" spans="1:10" ht="15">
      <c r="A20" s="14"/>
      <c r="B20" s="45"/>
      <c r="C20" s="34"/>
      <c r="D20" s="60"/>
      <c r="E20" s="35"/>
      <c r="F20" s="14"/>
      <c r="H20" s="52"/>
    </row>
    <row r="21" spans="1:10" ht="15">
      <c r="A21" s="14"/>
      <c r="B21" s="45"/>
      <c r="C21" s="34" t="s">
        <v>80</v>
      </c>
      <c r="D21" s="89">
        <f>(D9/D11)*D12</f>
        <v>760000</v>
      </c>
      <c r="E21" s="35"/>
      <c r="F21" s="14"/>
      <c r="H21" s="53"/>
    </row>
    <row r="22" spans="1:10" ht="15">
      <c r="A22" s="14"/>
      <c r="B22" s="45"/>
      <c r="C22" s="34"/>
      <c r="D22" s="60"/>
      <c r="E22" s="35"/>
      <c r="F22" s="14"/>
      <c r="H22" s="53"/>
    </row>
    <row r="23" spans="1:10" ht="15.75">
      <c r="A23" s="14"/>
      <c r="B23" s="45"/>
      <c r="C23" s="34" t="s">
        <v>78</v>
      </c>
      <c r="D23" s="48">
        <f>-D9+PV(D8,D11,-D21)+PV(D7,D11,-D19)</f>
        <v>772332.97420911118</v>
      </c>
      <c r="E23" s="35"/>
      <c r="F23" s="14"/>
      <c r="H23" s="53"/>
    </row>
    <row r="24" spans="1:10" ht="15.75" thickBot="1">
      <c r="A24" s="14"/>
      <c r="B24" s="37"/>
      <c r="C24" s="38"/>
      <c r="D24" s="39"/>
      <c r="E24" s="40"/>
      <c r="F24" s="14"/>
    </row>
    <row r="25" spans="1:10" ht="1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1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1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15">
      <c r="A83" s="14"/>
      <c r="B83" s="14"/>
      <c r="C83" s="14"/>
      <c r="D83" s="14"/>
      <c r="E83" s="14"/>
      <c r="F83" s="14"/>
      <c r="G83" s="14"/>
      <c r="H83" s="14"/>
      <c r="I83" s="14"/>
      <c r="J83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82"/>
  <sheetViews>
    <sheetView zoomScaleNormal="100" workbookViewId="0"/>
  </sheetViews>
  <sheetFormatPr defaultRowHeight="12.75"/>
  <cols>
    <col min="2" max="2" width="3.140625" customWidth="1"/>
    <col min="3" max="3" width="28.28515625" bestFit="1" customWidth="1"/>
    <col min="4" max="4" width="18.85546875" bestFit="1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4"/>
      <c r="B1" s="14"/>
      <c r="C1" s="15" t="s">
        <v>184</v>
      </c>
      <c r="D1" s="14"/>
      <c r="E1" s="14"/>
      <c r="F1" s="14"/>
      <c r="G1" s="14"/>
      <c r="H1" s="14"/>
      <c r="I1" s="14"/>
      <c r="J1" s="14"/>
    </row>
    <row r="2" spans="1:10" ht="15">
      <c r="A2" s="14"/>
      <c r="B2" s="14"/>
      <c r="C2" s="14" t="s">
        <v>86</v>
      </c>
      <c r="D2" s="14"/>
      <c r="E2" s="14"/>
      <c r="F2" s="14"/>
      <c r="G2" s="14"/>
      <c r="H2" s="14"/>
      <c r="I2" s="14"/>
      <c r="J2" s="14"/>
    </row>
    <row r="3" spans="1:10" ht="15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15">
      <c r="A4" s="14"/>
      <c r="B4" s="14"/>
      <c r="C4" s="16" t="s">
        <v>6</v>
      </c>
      <c r="D4" s="14"/>
      <c r="E4" s="14"/>
      <c r="F4" s="14"/>
      <c r="G4" s="14"/>
      <c r="H4" s="14"/>
      <c r="I4" s="14"/>
      <c r="J4" s="14"/>
    </row>
    <row r="5" spans="1:10" ht="15.75" thickBot="1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15">
      <c r="A6" s="14"/>
      <c r="B6" s="17"/>
      <c r="C6" s="18"/>
      <c r="D6" s="19"/>
      <c r="E6" s="20"/>
      <c r="F6" s="14"/>
      <c r="G6" s="14"/>
      <c r="H6" s="14"/>
      <c r="I6" s="14"/>
      <c r="J6" s="14"/>
    </row>
    <row r="7" spans="1:10" ht="15">
      <c r="A7" s="14"/>
      <c r="B7" s="21"/>
      <c r="C7" s="22" t="s">
        <v>79</v>
      </c>
      <c r="D7" s="42">
        <v>45000000</v>
      </c>
      <c r="E7" s="24"/>
      <c r="F7" s="14"/>
      <c r="G7" s="14"/>
      <c r="H7" s="14"/>
      <c r="I7" s="14"/>
      <c r="J7" s="14"/>
    </row>
    <row r="8" spans="1:10" ht="15">
      <c r="A8" s="14"/>
      <c r="B8" s="21"/>
      <c r="C8" s="22" t="s">
        <v>82</v>
      </c>
      <c r="D8" s="42">
        <v>3100000</v>
      </c>
      <c r="E8" s="24"/>
      <c r="F8" s="14"/>
      <c r="G8" s="14"/>
      <c r="H8" s="14"/>
      <c r="I8" s="14"/>
      <c r="J8" s="14"/>
    </row>
    <row r="9" spans="1:10" ht="15">
      <c r="A9" s="14"/>
      <c r="B9" s="21"/>
      <c r="C9" s="22" t="s">
        <v>77</v>
      </c>
      <c r="D9" s="51">
        <v>6.9000000000000006E-2</v>
      </c>
      <c r="E9" s="24"/>
      <c r="F9" s="14"/>
      <c r="G9" s="14"/>
      <c r="H9" s="14"/>
      <c r="I9" s="14"/>
      <c r="J9" s="14"/>
    </row>
    <row r="10" spans="1:10" ht="15">
      <c r="A10" s="14"/>
      <c r="B10" s="21"/>
      <c r="C10" s="22" t="s">
        <v>83</v>
      </c>
      <c r="D10" s="51">
        <v>0.108</v>
      </c>
      <c r="E10" s="24"/>
      <c r="F10" s="14"/>
      <c r="G10" s="14"/>
      <c r="H10" s="14"/>
      <c r="I10" s="14"/>
      <c r="J10" s="14"/>
    </row>
    <row r="11" spans="1:10" ht="15">
      <c r="A11" s="14"/>
      <c r="B11" s="21"/>
      <c r="C11" s="22" t="s">
        <v>84</v>
      </c>
      <c r="D11" s="86">
        <v>0.8</v>
      </c>
      <c r="E11" s="24"/>
      <c r="F11" s="14"/>
      <c r="G11" s="14"/>
      <c r="H11" s="14"/>
      <c r="I11" s="14"/>
      <c r="J11" s="14"/>
    </row>
    <row r="12" spans="1:10" ht="15">
      <c r="A12" s="14"/>
      <c r="B12" s="21"/>
      <c r="C12" s="22" t="s">
        <v>12</v>
      </c>
      <c r="D12" s="67">
        <v>0.34</v>
      </c>
      <c r="E12" s="24"/>
      <c r="F12" s="14"/>
      <c r="G12" s="14"/>
      <c r="H12" s="14"/>
      <c r="I12" s="14"/>
      <c r="J12" s="14"/>
    </row>
    <row r="13" spans="1:10" ht="15.75" thickBot="1">
      <c r="A13" s="14"/>
      <c r="B13" s="26"/>
      <c r="C13" s="27"/>
      <c r="D13" s="28"/>
      <c r="E13" s="29"/>
      <c r="F13" s="14"/>
      <c r="G13" s="14"/>
      <c r="H13" s="14"/>
      <c r="I13" s="14"/>
      <c r="J13" s="14"/>
    </row>
    <row r="14" spans="1:10" ht="1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15">
      <c r="A15" s="14"/>
      <c r="B15" s="14"/>
      <c r="C15" s="16" t="s">
        <v>7</v>
      </c>
      <c r="D15" s="14"/>
      <c r="E15" s="14"/>
      <c r="F15" s="14"/>
      <c r="G15" s="14"/>
      <c r="H15" s="14"/>
      <c r="I15" s="14"/>
      <c r="J15" s="14"/>
    </row>
    <row r="16" spans="1:10" ht="15.75" thickBot="1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15">
      <c r="A17" s="14"/>
      <c r="B17" s="30"/>
      <c r="C17" s="31"/>
      <c r="D17" s="31"/>
      <c r="E17" s="32"/>
      <c r="F17" s="14"/>
      <c r="H17" s="52"/>
    </row>
    <row r="18" spans="1:10" ht="15">
      <c r="A18" s="14"/>
      <c r="B18" s="45"/>
      <c r="C18" s="34" t="s">
        <v>85</v>
      </c>
      <c r="D18" s="87">
        <f>1-D11</f>
        <v>0.19999999999999996</v>
      </c>
      <c r="E18" s="35"/>
      <c r="F18" s="14"/>
      <c r="H18" s="52"/>
    </row>
    <row r="19" spans="1:10" ht="15">
      <c r="A19" s="14"/>
      <c r="B19" s="45"/>
      <c r="C19" s="34"/>
      <c r="D19" s="60"/>
      <c r="E19" s="35"/>
      <c r="F19" s="14"/>
      <c r="H19" s="52"/>
    </row>
    <row r="20" spans="1:10" ht="15">
      <c r="A20" s="14"/>
      <c r="B20" s="45"/>
      <c r="C20" s="34" t="s">
        <v>67</v>
      </c>
      <c r="D20" s="76">
        <f>(D9*(1-D12)*D11)+(D18*D10)</f>
        <v>5.8031999999999993E-2</v>
      </c>
      <c r="E20" s="35"/>
      <c r="F20" s="14"/>
      <c r="H20" s="53"/>
    </row>
    <row r="21" spans="1:10" ht="15">
      <c r="A21" s="14"/>
      <c r="B21" s="45"/>
      <c r="C21" s="34"/>
      <c r="D21" s="60"/>
      <c r="E21" s="35"/>
      <c r="F21" s="14"/>
      <c r="H21" s="53"/>
    </row>
    <row r="22" spans="1:10" ht="15.75">
      <c r="A22" s="14"/>
      <c r="B22" s="45"/>
      <c r="C22" s="34" t="s">
        <v>78</v>
      </c>
      <c r="D22" s="48">
        <f>-D7+D8/D20</f>
        <v>8418803.4188034236</v>
      </c>
      <c r="E22" s="35"/>
      <c r="F22" s="14"/>
      <c r="H22" s="53"/>
    </row>
    <row r="23" spans="1:10" ht="15.75" thickBot="1">
      <c r="A23" s="14"/>
      <c r="B23" s="37"/>
      <c r="C23" s="38"/>
      <c r="D23" s="39"/>
      <c r="E23" s="40"/>
      <c r="F23" s="14"/>
    </row>
    <row r="24" spans="1:10" ht="15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 ht="15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ht="1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ht="1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ht="1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ht="15">
      <c r="A31" s="14"/>
      <c r="B31" s="14"/>
      <c r="C31" s="14"/>
      <c r="D31" s="14"/>
      <c r="E31" s="14"/>
      <c r="F31" s="14"/>
      <c r="G31" s="14"/>
      <c r="H31" s="14"/>
      <c r="I31" s="14"/>
      <c r="J31" s="14"/>
    </row>
    <row r="32" spans="1:10" ht="15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">
      <c r="A33" s="14"/>
      <c r="B33" s="14"/>
      <c r="C33" s="14"/>
      <c r="D33" s="14"/>
      <c r="E33" s="14"/>
      <c r="F33" s="14"/>
      <c r="G33" s="14"/>
      <c r="H33" s="14"/>
      <c r="I33" s="14"/>
      <c r="J33" s="14"/>
    </row>
    <row r="34" spans="1:10" ht="1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ht="15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15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5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5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5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5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5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5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5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5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5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5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5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5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5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5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5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5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5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5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5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5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5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5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ht="15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ht="15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ht="15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ht="15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ht="15">
      <c r="A81" s="14"/>
      <c r="B81" s="14"/>
      <c r="C81" s="14"/>
      <c r="D81" s="14"/>
      <c r="E81" s="14"/>
      <c r="F81" s="14"/>
      <c r="G81" s="14"/>
      <c r="H81" s="14"/>
      <c r="I81" s="14"/>
      <c r="J81" s="14"/>
    </row>
    <row r="82" spans="1:10" ht="15">
      <c r="A82" s="14"/>
      <c r="B82" s="14"/>
      <c r="C82" s="14"/>
      <c r="D82" s="14"/>
      <c r="E82" s="14"/>
      <c r="F82" s="14"/>
      <c r="G82" s="14"/>
      <c r="H82" s="14"/>
      <c r="I82" s="14"/>
      <c r="J82" s="14"/>
    </row>
  </sheetData>
  <phoneticPr fontId="12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Chapter 18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Belmont University</dc:creator>
  <cp:lastModifiedBy>Faiyaz Ahmed</cp:lastModifiedBy>
  <dcterms:created xsi:type="dcterms:W3CDTF">2006-02-11T22:25:24Z</dcterms:created>
  <dcterms:modified xsi:type="dcterms:W3CDTF">2012-11-06T10:54:22Z</dcterms:modified>
</cp:coreProperties>
</file>