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60" windowWidth="11295" windowHeight="7260"/>
  </bookViews>
  <sheets>
    <sheet name="Chapter 29" sheetId="14" r:id="rId1"/>
    <sheet name="#1" sheetId="1" r:id="rId2"/>
    <sheet name="#2" sheetId="4" r:id="rId3"/>
    <sheet name="#3" sheetId="5" r:id="rId4"/>
    <sheet name="#4" sheetId="10" r:id="rId5"/>
    <sheet name="#5" sheetId="7" r:id="rId6"/>
    <sheet name="#6" sheetId="11" r:id="rId7"/>
    <sheet name="#7" sheetId="13" r:id="rId8"/>
    <sheet name="#8" sheetId="15" r:id="rId9"/>
    <sheet name="#10,11" sheetId="23" r:id="rId10"/>
    <sheet name="#12" sheetId="24" r:id="rId11"/>
    <sheet name="#13" sheetId="19" r:id="rId12"/>
    <sheet name="#14" sheetId="26" r:id="rId13"/>
    <sheet name="#15" sheetId="27" r:id="rId14"/>
    <sheet name="#16" sheetId="29" r:id="rId15"/>
    <sheet name="#17" sheetId="25" r:id="rId16"/>
    <sheet name="#18" sheetId="28" r:id="rId17"/>
  </sheets>
  <definedNames>
    <definedName name="_xlnm.Print_Area" localSheetId="15">'#17'!$A$1:$G$50</definedName>
    <definedName name="solver_adj" localSheetId="8" hidden="1">'#8'!$F$8</definedName>
    <definedName name="solver_cvg" localSheetId="8" hidden="1">0.0001</definedName>
    <definedName name="solver_drv" localSheetId="8" hidden="1">1</definedName>
    <definedName name="solver_est" localSheetId="8" hidden="1">1</definedName>
    <definedName name="solver_itr" localSheetId="8" hidden="1">100</definedName>
    <definedName name="solver_lin" localSheetId="8" hidden="1">2</definedName>
    <definedName name="solver_neg" localSheetId="8" hidden="1">2</definedName>
    <definedName name="solver_num" localSheetId="8" hidden="1">0</definedName>
    <definedName name="solver_nwt" localSheetId="8" hidden="1">1</definedName>
    <definedName name="solver_opt" localSheetId="8" hidden="1">'#8'!$D$26</definedName>
    <definedName name="solver_pre" localSheetId="8" hidden="1">0.000001</definedName>
    <definedName name="solver_scl" localSheetId="8" hidden="1">2</definedName>
    <definedName name="solver_sho" localSheetId="8" hidden="1">2</definedName>
    <definedName name="solver_tim" localSheetId="8" hidden="1">100</definedName>
    <definedName name="solver_tol" localSheetId="8" hidden="1">0.05</definedName>
    <definedName name="solver_typ" localSheetId="8" hidden="1">3</definedName>
    <definedName name="solver_val" localSheetId="8" hidden="1">0</definedName>
  </definedNames>
  <calcPr calcId="114210"/>
</workbook>
</file>

<file path=xl/calcChain.xml><?xml version="1.0" encoding="utf-8"?>
<calcChain xmlns="http://schemas.openxmlformats.org/spreadsheetml/2006/main">
  <c r="F26" i="7"/>
  <c r="D32"/>
  <c r="D33"/>
  <c r="F31"/>
  <c r="F30"/>
  <c r="F29"/>
  <c r="D31"/>
  <c r="D30"/>
  <c r="D29"/>
  <c r="D33" i="5"/>
  <c r="D31"/>
  <c r="D9" i="10"/>
  <c r="D30"/>
  <c r="F32" i="5"/>
  <c r="F10" i="10"/>
  <c r="F31"/>
  <c r="F31" i="5"/>
  <c r="F30"/>
  <c r="D32"/>
  <c r="D30"/>
  <c r="F26"/>
  <c r="D25" i="27"/>
  <c r="D15"/>
  <c r="D34" i="23"/>
  <c r="D18" i="13"/>
  <c r="D18" i="24"/>
  <c r="D25" i="15"/>
  <c r="E25" i="4"/>
  <c r="E26"/>
  <c r="E27"/>
  <c r="F23" i="29"/>
  <c r="F22"/>
  <c r="D22"/>
  <c r="D23"/>
  <c r="E23"/>
  <c r="E22"/>
  <c r="D18"/>
  <c r="D28"/>
  <c r="D17"/>
  <c r="E37"/>
  <c r="F37"/>
  <c r="H37"/>
  <c r="D36"/>
  <c r="E36"/>
  <c r="F36"/>
  <c r="H36"/>
  <c r="D37"/>
  <c r="D19" i="28"/>
  <c r="D31"/>
  <c r="D40"/>
  <c r="F48"/>
  <c r="D20"/>
  <c r="D28"/>
  <c r="D22"/>
  <c r="D41"/>
  <c r="F49"/>
  <c r="H49"/>
  <c r="I49"/>
  <c r="D21"/>
  <c r="D33"/>
  <c r="D50"/>
  <c r="D25"/>
  <c r="D42"/>
  <c r="F50"/>
  <c r="D23"/>
  <c r="D34"/>
  <c r="D51"/>
  <c r="D43"/>
  <c r="F51"/>
  <c r="H51"/>
  <c r="I51"/>
  <c r="D24"/>
  <c r="D26"/>
  <c r="D35"/>
  <c r="D52"/>
  <c r="D44"/>
  <c r="F52"/>
  <c r="H52"/>
  <c r="D27"/>
  <c r="D36"/>
  <c r="D53"/>
  <c r="D45"/>
  <c r="F53"/>
  <c r="D58"/>
  <c r="F58"/>
  <c r="D59"/>
  <c r="F59"/>
  <c r="D60"/>
  <c r="F60"/>
  <c r="D62"/>
  <c r="F64"/>
  <c r="D27" i="27"/>
  <c r="D29"/>
  <c r="D21"/>
  <c r="D23"/>
  <c r="D18" i="26"/>
  <c r="D20"/>
  <c r="D23"/>
  <c r="D26"/>
  <c r="D22"/>
  <c r="D25" i="25"/>
  <c r="D23"/>
  <c r="D24"/>
  <c r="D36"/>
  <c r="D19" i="24"/>
  <c r="D8" i="10"/>
  <c r="D14"/>
  <c r="F26"/>
  <c r="D23" i="24"/>
  <c r="D19" i="23"/>
  <c r="D21"/>
  <c r="D39"/>
  <c r="D33"/>
  <c r="C36"/>
  <c r="D25"/>
  <c r="D26"/>
  <c r="D23"/>
  <c r="D21" i="15"/>
  <c r="D24"/>
  <c r="D18"/>
  <c r="D20" i="13"/>
  <c r="D23"/>
  <c r="F15" i="11"/>
  <c r="F14"/>
  <c r="D16"/>
  <c r="D15"/>
  <c r="D14"/>
  <c r="F9"/>
  <c r="F30"/>
  <c r="F8"/>
  <c r="F29"/>
  <c r="D10"/>
  <c r="D9"/>
  <c r="D8"/>
  <c r="F8" i="10"/>
  <c r="F29"/>
  <c r="F15"/>
  <c r="F14"/>
  <c r="D15"/>
  <c r="F9"/>
  <c r="F30"/>
  <c r="E24" i="4"/>
  <c r="D14" i="1"/>
  <c r="E23" i="4"/>
  <c r="E20"/>
  <c r="D17" i="5"/>
  <c r="F17"/>
  <c r="D11"/>
  <c r="F11"/>
  <c r="F10"/>
  <c r="D31" i="10"/>
  <c r="D17"/>
  <c r="D17" i="7"/>
  <c r="F17"/>
  <c r="F16"/>
  <c r="F16" i="11"/>
  <c r="D11" i="7"/>
  <c r="F11"/>
  <c r="F10"/>
  <c r="F10" i="11"/>
  <c r="F31"/>
  <c r="D31"/>
  <c r="D19" i="13"/>
  <c r="F26" i="11"/>
  <c r="D32"/>
  <c r="D29"/>
  <c r="D30"/>
  <c r="D32" i="28"/>
  <c r="D49"/>
  <c r="E39" i="29"/>
  <c r="E30"/>
  <c r="D25"/>
  <c r="D22" i="15"/>
  <c r="D26"/>
  <c r="D29" i="10"/>
  <c r="D32"/>
  <c r="D27" i="23"/>
  <c r="D29"/>
  <c r="I52" i="28"/>
  <c r="H48"/>
  <c r="I48"/>
  <c r="H50"/>
  <c r="I50"/>
  <c r="D26" i="25"/>
  <c r="D42"/>
  <c r="D43"/>
  <c r="D46"/>
  <c r="D26" i="29"/>
  <c r="E32"/>
  <c r="E40"/>
  <c r="E31"/>
  <c r="D25" i="26"/>
  <c r="C28"/>
  <c r="D17" i="11"/>
  <c r="F17"/>
  <c r="F33"/>
  <c r="F11"/>
  <c r="F33" i="7"/>
  <c r="D11" i="10"/>
  <c r="F11"/>
  <c r="F32"/>
  <c r="D11" i="11"/>
  <c r="D48" i="28"/>
  <c r="D28" i="24"/>
  <c r="D21"/>
  <c r="H53" i="28"/>
  <c r="I53"/>
  <c r="D22" i="13"/>
  <c r="C25"/>
  <c r="E41" i="29"/>
  <c r="D33" i="11"/>
  <c r="D37" i="28"/>
  <c r="D45" i="25"/>
  <c r="D44"/>
  <c r="D47"/>
  <c r="C49"/>
  <c r="E43" i="29"/>
  <c r="D27" i="25"/>
  <c r="D28"/>
  <c r="E44" i="29"/>
  <c r="D26" i="24"/>
  <c r="D24"/>
  <c r="F66" i="28"/>
  <c r="C31" i="24"/>
  <c r="D29"/>
  <c r="F16" i="5"/>
  <c r="F33"/>
  <c r="C48" i="25"/>
  <c r="D32"/>
  <c r="D34"/>
  <c r="D30"/>
  <c r="D37"/>
  <c r="D38"/>
  <c r="F16" i="10"/>
  <c r="F17"/>
  <c r="C40" i="25"/>
  <c r="C39"/>
</calcChain>
</file>

<file path=xl/sharedStrings.xml><?xml version="1.0" encoding="utf-8"?>
<sst xmlns="http://schemas.openxmlformats.org/spreadsheetml/2006/main" count="460" uniqueCount="224">
  <si>
    <t>Question 1</t>
  </si>
  <si>
    <t>Input Area:</t>
  </si>
  <si>
    <t>Output Area:</t>
  </si>
  <si>
    <t>Cash (millions)</t>
  </si>
  <si>
    <t>Value of company</t>
  </si>
  <si>
    <t>Minimum estimated value</t>
  </si>
  <si>
    <t>Question 2</t>
  </si>
  <si>
    <t>Merger premium</t>
  </si>
  <si>
    <t>Firm X</t>
  </si>
  <si>
    <t>Firm Y</t>
  </si>
  <si>
    <t>Total earnings</t>
  </si>
  <si>
    <t>Shares outstanding</t>
  </si>
  <si>
    <t>Per-share values</t>
  </si>
  <si>
    <t xml:space="preserve">      Market</t>
  </si>
  <si>
    <t xml:space="preserve">      Book</t>
  </si>
  <si>
    <t>Pooling of interest:</t>
  </si>
  <si>
    <t>Equity = Assets</t>
  </si>
  <si>
    <t>Purchase method:</t>
  </si>
  <si>
    <t>Goodwill</t>
  </si>
  <si>
    <t>Question 3</t>
  </si>
  <si>
    <t>Current assets</t>
  </si>
  <si>
    <t>Net fixed assets</t>
  </si>
  <si>
    <t xml:space="preserve">    Total</t>
  </si>
  <si>
    <t>Current liabilities</t>
  </si>
  <si>
    <t>Long-term debt</t>
  </si>
  <si>
    <t>Equity</t>
  </si>
  <si>
    <t>Question 4</t>
  </si>
  <si>
    <t>Question 5</t>
  </si>
  <si>
    <t>Question 6</t>
  </si>
  <si>
    <t>Paid</t>
  </si>
  <si>
    <t>Other assets</t>
  </si>
  <si>
    <t>New long-term debt</t>
  </si>
  <si>
    <t>Question 7</t>
  </si>
  <si>
    <t>After-tax annual cash flow</t>
  </si>
  <si>
    <t>Discount rate</t>
  </si>
  <si>
    <t>Stock offer</t>
  </si>
  <si>
    <t>Cash offer</t>
  </si>
  <si>
    <t>Cash cost</t>
  </si>
  <si>
    <t>Equity cost</t>
  </si>
  <si>
    <t>NPV cash</t>
  </si>
  <si>
    <t>NPV stock</t>
  </si>
  <si>
    <t>Input boxes in tan</t>
  </si>
  <si>
    <t>Output boxes in yellow</t>
  </si>
  <si>
    <t>Given data in blue</t>
  </si>
  <si>
    <t>Calculations in red</t>
  </si>
  <si>
    <t>Answers in green</t>
  </si>
  <si>
    <t>Asset from X (book value)</t>
  </si>
  <si>
    <t>Asset from Y (market value)</t>
  </si>
  <si>
    <t>Purchase price of Y</t>
  </si>
  <si>
    <t>Total assets XY = Total equity XY</t>
  </si>
  <si>
    <t>Fair market value</t>
  </si>
  <si>
    <t xml:space="preserve">    Silver Enterprises - Post Merger</t>
  </si>
  <si>
    <t xml:space="preserve">             Silver Enterprises</t>
  </si>
  <si>
    <t xml:space="preserve">           All Gold Mining</t>
  </si>
  <si>
    <t>Market value of fixed assets</t>
  </si>
  <si>
    <t>a.</t>
  </si>
  <si>
    <t>b.</t>
  </si>
  <si>
    <t>c.</t>
  </si>
  <si>
    <r>
      <t>V*</t>
    </r>
    <r>
      <rPr>
        <vertAlign val="subscript"/>
        <sz val="12"/>
        <rFont val="Arial"/>
        <family val="2"/>
      </rPr>
      <t>k</t>
    </r>
  </si>
  <si>
    <t>Question 12</t>
  </si>
  <si>
    <t>=</t>
  </si>
  <si>
    <r>
      <t>V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>* - cost</t>
    </r>
  </si>
  <si>
    <t>NPV</t>
  </si>
  <si>
    <r>
      <t>D</t>
    </r>
    <r>
      <rPr>
        <sz val="12"/>
        <rFont val="Arial"/>
        <family val="2"/>
      </rPr>
      <t>V + V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 xml:space="preserve"> - cost</t>
    </r>
  </si>
  <si>
    <r>
      <t>D</t>
    </r>
    <r>
      <rPr>
        <sz val="12"/>
        <rFont val="Arial"/>
        <family val="2"/>
      </rPr>
      <t>V - (cost - V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>)</t>
    </r>
  </si>
  <si>
    <r>
      <t>D</t>
    </r>
    <r>
      <rPr>
        <sz val="12"/>
        <rFont val="Arial"/>
        <family val="2"/>
      </rPr>
      <t>V - merger premium</t>
    </r>
  </si>
  <si>
    <t>Question 8</t>
  </si>
  <si>
    <t>Price-earnings ratio</t>
  </si>
  <si>
    <t>Earnings</t>
  </si>
  <si>
    <t xml:space="preserve">Shareholders receive </t>
  </si>
  <si>
    <t>for</t>
  </si>
  <si>
    <t>EPS</t>
  </si>
  <si>
    <t>The market price will remain unchanged since</t>
  </si>
  <si>
    <t>it is a zero NPV acquisition.</t>
  </si>
  <si>
    <t>Price</t>
  </si>
  <si>
    <t>Current share price</t>
  </si>
  <si>
    <t>New P/E</t>
  </si>
  <si>
    <r>
      <t>D</t>
    </r>
    <r>
      <rPr>
        <sz val="12"/>
        <rFont val="Arial"/>
        <family val="2"/>
      </rPr>
      <t>V</t>
    </r>
  </si>
  <si>
    <t>Although there is no economic value to the</t>
  </si>
  <si>
    <t>than financial reasons.</t>
  </si>
  <si>
    <t>Firm B</t>
  </si>
  <si>
    <t>Firm T</t>
  </si>
  <si>
    <t>d.</t>
  </si>
  <si>
    <t>Synergy benefits</t>
  </si>
  <si>
    <t>Acquisition price</t>
  </si>
  <si>
    <t>New share price</t>
  </si>
  <si>
    <t>New shares of B</t>
  </si>
  <si>
    <r>
      <t>V</t>
    </r>
    <r>
      <rPr>
        <vertAlign val="subscript"/>
        <sz val="12"/>
        <rFont val="Arial"/>
        <family val="2"/>
      </rPr>
      <t>BT</t>
    </r>
  </si>
  <si>
    <t>Share price</t>
  </si>
  <si>
    <t>e.</t>
  </si>
  <si>
    <t>Value of cash offer</t>
  </si>
  <si>
    <t>Value of share offer</t>
  </si>
  <si>
    <t xml:space="preserve">The shareholders are better off with the </t>
  </si>
  <si>
    <t>because they</t>
  </si>
  <si>
    <t>receive a higher value for their shares.</t>
  </si>
  <si>
    <t>Indifferent exchange ratio</t>
  </si>
  <si>
    <t>Price per share</t>
  </si>
  <si>
    <t>Firm A</t>
  </si>
  <si>
    <t xml:space="preserve">Cost </t>
  </si>
  <si>
    <t>Shares given up by A</t>
  </si>
  <si>
    <t>Old P/E</t>
  </si>
  <si>
    <t>New price</t>
  </si>
  <si>
    <t>P/E</t>
  </si>
  <si>
    <t xml:space="preserve">At the current acquisition price, this is a </t>
  </si>
  <si>
    <t>acquisition.</t>
  </si>
  <si>
    <t>Question 13</t>
  </si>
  <si>
    <t>Analyst growth rate</t>
  </si>
  <si>
    <t>Management growth rate</t>
  </si>
  <si>
    <t>Shares offered</t>
  </si>
  <si>
    <t>g.</t>
  </si>
  <si>
    <t>Consultant growth rate</t>
  </si>
  <si>
    <t>Equity required return</t>
  </si>
  <si>
    <t>P with new growth rate</t>
  </si>
  <si>
    <t>Gain</t>
  </si>
  <si>
    <t>Highest bid price</t>
  </si>
  <si>
    <t>Teller market value</t>
  </si>
  <si>
    <t>Penn market value</t>
  </si>
  <si>
    <t>Dividends</t>
  </si>
  <si>
    <r>
      <t>V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>*</t>
    </r>
  </si>
  <si>
    <r>
      <t>P</t>
    </r>
    <r>
      <rPr>
        <vertAlign val="subscript"/>
        <sz val="12"/>
        <rFont val="Arial"/>
        <family val="2"/>
      </rPr>
      <t>C</t>
    </r>
  </si>
  <si>
    <r>
      <t>V</t>
    </r>
    <r>
      <rPr>
        <vertAlign val="subscript"/>
        <sz val="12"/>
        <rFont val="Arial"/>
        <family val="2"/>
      </rPr>
      <t>P</t>
    </r>
    <r>
      <rPr>
        <sz val="12"/>
        <rFont val="Arial"/>
        <family val="2"/>
      </rPr>
      <t>*</t>
    </r>
  </si>
  <si>
    <r>
      <t>P</t>
    </r>
    <r>
      <rPr>
        <vertAlign val="subscript"/>
        <sz val="12"/>
        <rFont val="Arial"/>
        <family val="2"/>
      </rPr>
      <t>Combined</t>
    </r>
  </si>
  <si>
    <t>Problems 1-18</t>
  </si>
  <si>
    <t>Question 17</t>
  </si>
  <si>
    <t>Plant</t>
  </si>
  <si>
    <t>Market value of Plant</t>
  </si>
  <si>
    <t>Palmer</t>
  </si>
  <si>
    <t>Palmer EPS</t>
  </si>
  <si>
    <t>Palmer stock price</t>
  </si>
  <si>
    <t>Palmer DPS</t>
  </si>
  <si>
    <t>Questions 10,11</t>
  </si>
  <si>
    <t>Question 14</t>
  </si>
  <si>
    <t>Incremental aftertax cash flows</t>
  </si>
  <si>
    <t>Flash-in-the-Pan market value</t>
  </si>
  <si>
    <t>Fly-by-Night market value</t>
  </si>
  <si>
    <t>Synergy value</t>
  </si>
  <si>
    <t>Value to acquirer</t>
  </si>
  <si>
    <t>Cost of cash acquisition</t>
  </si>
  <si>
    <t>Cost of stock acquisition</t>
  </si>
  <si>
    <t>NPV of cash acquisition</t>
  </si>
  <si>
    <t>NPV of stock acquisition</t>
  </si>
  <si>
    <t>Question 15</t>
  </si>
  <si>
    <t>Harrod's market value</t>
  </si>
  <si>
    <t>Harrod's shares outstanding</t>
  </si>
  <si>
    <t>Selfridge market value</t>
  </si>
  <si>
    <t>Selfridge shares outstanding</t>
  </si>
  <si>
    <t>Combined firm value</t>
  </si>
  <si>
    <t>New shares outstanding</t>
  </si>
  <si>
    <t>New stock price</t>
  </si>
  <si>
    <t>New shares issued</t>
  </si>
  <si>
    <t>Exchange ratio</t>
  </si>
  <si>
    <t>Fractional ownership of target shareholders</t>
  </si>
  <si>
    <t>to 1.</t>
  </si>
  <si>
    <t>Question 18</t>
  </si>
  <si>
    <t>Probability</t>
  </si>
  <si>
    <t>Firm value</t>
  </si>
  <si>
    <t>Rainy</t>
  </si>
  <si>
    <t>Warm</t>
  </si>
  <si>
    <t>Hot</t>
  </si>
  <si>
    <t>Outstanding debt value</t>
  </si>
  <si>
    <t>Possible states</t>
  </si>
  <si>
    <t>Joint probability</t>
  </si>
  <si>
    <t>Rain-Rain</t>
  </si>
  <si>
    <t>Rain-Warm</t>
  </si>
  <si>
    <t>Rain-Hot</t>
  </si>
  <si>
    <t>Warm-Rain</t>
  </si>
  <si>
    <t>Warm-Warm</t>
  </si>
  <si>
    <t>Warm-Hot</t>
  </si>
  <si>
    <t>Hot-Rain</t>
  </si>
  <si>
    <t>Hot-Warm</t>
  </si>
  <si>
    <t>Hot-Hot</t>
  </si>
  <si>
    <t>Joint probablility</t>
  </si>
  <si>
    <t xml:space="preserve">  Total</t>
  </si>
  <si>
    <t>Joint value</t>
  </si>
  <si>
    <t>Debt value</t>
  </si>
  <si>
    <t>Stock value</t>
  </si>
  <si>
    <t>Value of debt before merger for either company</t>
  </si>
  <si>
    <t>Expected value of debt</t>
  </si>
  <si>
    <t>Expected combined value of debt, pre-merger</t>
  </si>
  <si>
    <t>Expected value of debt in post-merger firm</t>
  </si>
  <si>
    <t>Question 16</t>
  </si>
  <si>
    <t>Bentley</t>
  </si>
  <si>
    <t>Rolls</t>
  </si>
  <si>
    <t>Boom</t>
  </si>
  <si>
    <t>Recession</t>
  </si>
  <si>
    <t>Bentley outstanding debt</t>
  </si>
  <si>
    <t>Value of Bentley</t>
  </si>
  <si>
    <t>Value of Rolls</t>
  </si>
  <si>
    <t>Value of Bentley:</t>
  </si>
  <si>
    <t xml:space="preserve">Boom </t>
  </si>
  <si>
    <t>Probablility</t>
  </si>
  <si>
    <t>Equity value</t>
  </si>
  <si>
    <t>Value of Bentley equity</t>
  </si>
  <si>
    <t>Value of Bentley debt</t>
  </si>
  <si>
    <t>Value of Rolls equity</t>
  </si>
  <si>
    <t>Merged value</t>
  </si>
  <si>
    <t>Value of debt in merged company</t>
  </si>
  <si>
    <t>Value of equity in combined company</t>
  </si>
  <si>
    <t>Value of combined company</t>
  </si>
  <si>
    <t>Total value of individual companies</t>
  </si>
  <si>
    <t>Total value of equity as individual companies</t>
  </si>
  <si>
    <t>Total value of debt as individual companies</t>
  </si>
  <si>
    <t>effect. Since there is no possibility of default before the merger, bondholders do not gain after the merger.</t>
  </si>
  <si>
    <t xml:space="preserve">If the value of Bentley's debt before the merger is less than the lowest firm value, there is no coinsurance </t>
  </si>
  <si>
    <t>Gain to stockholders</t>
  </si>
  <si>
    <t>Gain to bondholders</t>
  </si>
  <si>
    <t>f.</t>
  </si>
  <si>
    <t>Chapter 29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</si>
  <si>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</si>
  <si>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</si>
  <si>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</si>
  <si>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</si>
  <si>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 xml:space="preserve">          Jurion Co.</t>
  </si>
  <si>
    <t xml:space="preserve">        James, Inc.</t>
  </si>
  <si>
    <t xml:space="preserve"> Jurion Co. - Post merger</t>
  </si>
  <si>
    <t>Flannery</t>
  </si>
  <si>
    <t>Stultz</t>
  </si>
  <si>
    <t xml:space="preserve">takeover, it is possible that Stultz is </t>
  </si>
  <si>
    <t xml:space="preserve">motivated to purchase Flannery for other </t>
  </si>
  <si>
    <t>V*</t>
  </si>
  <si>
    <t>Cost</t>
  </si>
  <si>
    <t>Jurion Co.</t>
  </si>
  <si>
    <t>James, Inc.</t>
  </si>
  <si>
    <t xml:space="preserve">   Jurion Co. - Post Merger</t>
  </si>
</sst>
</file>

<file path=xl/styles.xml><?xml version="1.0" encoding="utf-8"?>
<styleSheet xmlns="http://schemas.openxmlformats.org/spreadsheetml/2006/main">
  <numFmts count="1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(&quot;$&quot;* #,##0.000_);_(&quot;$&quot;* \(#,##0.000\);_(&quot;$&quot;* &quot;-&quot;??_);_(@_)"/>
    <numFmt numFmtId="168" formatCode="_(* #,##0.00_);_(* \(#,##0.00\);_(* &quot;-&quot;_);_(@_)"/>
    <numFmt numFmtId="169" formatCode="_-[$£-809]* #,##0_-;\-[$£-809]* #,##0_-;_-[$£-809]* &quot;-&quot;_-;_-@_-"/>
    <numFmt numFmtId="170" formatCode="_(&quot;$&quot;* #,##0.00_);_(&quot;$&quot;* \(#,##0.00\);_(&quot;$&quot;* &quot;-&quot;_);_(@_)"/>
    <numFmt numFmtId="171" formatCode="_(* #,##0.0000_);_(* \(#,##0.0000\);_(* &quot;-&quot;_);_(@_)"/>
    <numFmt numFmtId="172" formatCode="_-[$£-809]* #,##0.00_-;\-[$£-809]* #,##0.00_-;_-[$£-809]* &quot;-&quot;??_-;_-@_-"/>
    <numFmt numFmtId="173" formatCode="_-[$£-809]* #,##0.00_-;\-[$£-809]* #,##0.00_-;_-[$£-809]* &quot;-&quot;_-;_-@_-"/>
  </numFmts>
  <fonts count="24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i/>
      <sz val="12"/>
      <color indexed="8"/>
      <name val="Arial"/>
      <family val="2"/>
    </font>
    <font>
      <b/>
      <sz val="12"/>
      <color indexed="57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12"/>
      <color indexed="10"/>
      <name val="Arial"/>
      <family val="2"/>
    </font>
    <font>
      <vertAlign val="subscript"/>
      <sz val="12"/>
      <name val="Arial"/>
      <family val="2"/>
    </font>
    <font>
      <sz val="12"/>
      <name val="Symbol"/>
      <family val="1"/>
      <charset val="2"/>
    </font>
    <font>
      <i/>
      <u/>
      <sz val="12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4" fillId="2" borderId="2" xfId="0" applyFont="1" applyFill="1" applyBorder="1"/>
    <xf numFmtId="0" fontId="4" fillId="2" borderId="7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5" fillId="3" borderId="2" xfId="0" applyFont="1" applyFill="1" applyBorder="1"/>
    <xf numFmtId="0" fontId="5" fillId="3" borderId="0" xfId="0" applyFont="1" applyFill="1" applyBorder="1"/>
    <xf numFmtId="0" fontId="5" fillId="3" borderId="7" xfId="0" applyFont="1" applyFill="1" applyBorder="1"/>
    <xf numFmtId="164" fontId="4" fillId="2" borderId="0" xfId="1" applyNumberFormat="1" applyFont="1" applyFill="1" applyBorder="1"/>
    <xf numFmtId="164" fontId="5" fillId="3" borderId="0" xfId="0" applyNumberFormat="1" applyFont="1" applyFill="1" applyBorder="1"/>
    <xf numFmtId="164" fontId="4" fillId="2" borderId="0" xfId="1" applyNumberFormat="1" applyFont="1" applyFill="1" applyBorder="1" applyAlignment="1">
      <alignment horizontal="center"/>
    </xf>
    <xf numFmtId="164" fontId="6" fillId="2" borderId="0" xfId="1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3" fillId="3" borderId="0" xfId="0" applyFont="1" applyFill="1" applyBorder="1"/>
    <xf numFmtId="164" fontId="5" fillId="3" borderId="0" xfId="1" applyNumberFormat="1" applyFont="1" applyFill="1" applyBorder="1"/>
    <xf numFmtId="164" fontId="7" fillId="3" borderId="9" xfId="1" applyNumberFormat="1" applyFont="1" applyFill="1" applyBorder="1"/>
    <xf numFmtId="0" fontId="8" fillId="2" borderId="0" xfId="0" applyFont="1" applyFill="1" applyBorder="1" applyAlignment="1">
      <alignment horizontal="left"/>
    </xf>
    <xf numFmtId="164" fontId="8" fillId="2" borderId="0" xfId="1" applyNumberFormat="1" applyFont="1" applyFill="1" applyBorder="1"/>
    <xf numFmtId="164" fontId="6" fillId="3" borderId="0" xfId="1" applyNumberFormat="1" applyFont="1" applyFill="1" applyBorder="1"/>
    <xf numFmtId="0" fontId="8" fillId="3" borderId="0" xfId="0" applyFont="1" applyFill="1" applyBorder="1" applyAlignment="1">
      <alignment horizontal="left"/>
    </xf>
    <xf numFmtId="164" fontId="4" fillId="3" borderId="0" xfId="1" applyNumberFormat="1" applyFont="1" applyFill="1" applyBorder="1"/>
    <xf numFmtId="164" fontId="8" fillId="3" borderId="0" xfId="1" applyNumberFormat="1" applyFont="1" applyFill="1" applyBorder="1"/>
    <xf numFmtId="9" fontId="4" fillId="2" borderId="0" xfId="2" applyFont="1" applyFill="1" applyBorder="1"/>
    <xf numFmtId="164" fontId="7" fillId="3" borderId="9" xfId="0" applyNumberFormat="1" applyFont="1" applyFill="1" applyBorder="1"/>
    <xf numFmtId="0" fontId="7" fillId="3" borderId="0" xfId="0" applyFont="1" applyFill="1" applyBorder="1"/>
    <xf numFmtId="0" fontId="9" fillId="4" borderId="0" xfId="0" applyFont="1" applyFill="1" applyBorder="1"/>
    <xf numFmtId="0" fontId="0" fillId="4" borderId="0" xfId="0" applyFill="1"/>
    <xf numFmtId="2" fontId="10" fillId="4" borderId="0" xfId="0" applyNumberFormat="1" applyFont="1" applyFill="1" applyBorder="1" applyAlignment="1"/>
    <xf numFmtId="0" fontId="11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8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7" fillId="4" borderId="0" xfId="0" applyFont="1" applyFill="1" applyBorder="1"/>
    <xf numFmtId="0" fontId="17" fillId="0" borderId="0" xfId="0" applyFont="1"/>
    <xf numFmtId="164" fontId="18" fillId="3" borderId="0" xfId="1" applyNumberFormat="1" applyFont="1" applyFill="1" applyBorder="1"/>
    <xf numFmtId="164" fontId="18" fillId="2" borderId="0" xfId="1" applyNumberFormat="1" applyFont="1" applyFill="1" applyBorder="1"/>
    <xf numFmtId="164" fontId="7" fillId="3" borderId="0" xfId="1" applyNumberFormat="1" applyFont="1" applyFill="1" applyBorder="1" applyAlignment="1">
      <alignment horizontal="center"/>
    </xf>
    <xf numFmtId="164" fontId="7" fillId="3" borderId="0" xfId="1" applyNumberFormat="1" applyFont="1" applyFill="1" applyBorder="1"/>
    <xf numFmtId="164" fontId="7" fillId="3" borderId="10" xfId="1" applyNumberFormat="1" applyFont="1" applyFill="1" applyBorder="1"/>
    <xf numFmtId="164" fontId="18" fillId="2" borderId="0" xfId="1" applyNumberFormat="1" applyFont="1" applyFill="1" applyBorder="1" applyAlignment="1">
      <alignment horizontal="center"/>
    </xf>
    <xf numFmtId="164" fontId="18" fillId="2" borderId="10" xfId="1" applyNumberFormat="1" applyFont="1" applyFill="1" applyBorder="1"/>
    <xf numFmtId="164" fontId="18" fillId="3" borderId="0" xfId="0" applyNumberFormat="1" applyFont="1" applyFill="1" applyBorder="1"/>
    <xf numFmtId="0" fontId="3" fillId="3" borderId="4" xfId="0" applyFont="1" applyFill="1" applyBorder="1"/>
    <xf numFmtId="0" fontId="2" fillId="3" borderId="0" xfId="0" quotePrefix="1" applyFont="1" applyFill="1" applyBorder="1"/>
    <xf numFmtId="0" fontId="20" fillId="3" borderId="0" xfId="0" applyFont="1" applyFill="1" applyBorder="1"/>
    <xf numFmtId="0" fontId="21" fillId="2" borderId="0" xfId="0" applyFont="1" applyFill="1" applyBorder="1" applyAlignment="1">
      <alignment horizontal="center"/>
    </xf>
    <xf numFmtId="164" fontId="21" fillId="2" borderId="0" xfId="1" applyNumberFormat="1" applyFont="1" applyFill="1" applyBorder="1" applyAlignment="1">
      <alignment horizontal="center"/>
    </xf>
    <xf numFmtId="43" fontId="4" fillId="2" borderId="0" xfId="1" applyNumberFormat="1" applyFont="1" applyFill="1" applyBorder="1"/>
    <xf numFmtId="42" fontId="2" fillId="2" borderId="0" xfId="0" applyNumberFormat="1" applyFont="1" applyFill="1" applyBorder="1"/>
    <xf numFmtId="42" fontId="4" fillId="2" borderId="0" xfId="2" applyNumberFormat="1" applyFont="1" applyFill="1" applyBorder="1"/>
    <xf numFmtId="43" fontId="4" fillId="2" borderId="0" xfId="0" applyNumberFormat="1" applyFont="1" applyFill="1" applyBorder="1"/>
    <xf numFmtId="41" fontId="4" fillId="2" borderId="0" xfId="0" applyNumberFormat="1" applyFont="1" applyFill="1" applyBorder="1"/>
    <xf numFmtId="41" fontId="4" fillId="2" borderId="0" xfId="1" applyNumberFormat="1" applyFont="1" applyFill="1" applyBorder="1"/>
    <xf numFmtId="42" fontId="4" fillId="2" borderId="0" xfId="0" applyNumberFormat="1" applyFont="1" applyFill="1" applyBorder="1"/>
    <xf numFmtId="41" fontId="4" fillId="2" borderId="0" xfId="2" applyNumberFormat="1" applyFont="1" applyFill="1" applyBorder="1"/>
    <xf numFmtId="44" fontId="2" fillId="3" borderId="0" xfId="1" applyFont="1" applyFill="1" applyBorder="1"/>
    <xf numFmtId="167" fontId="7" fillId="3" borderId="0" xfId="1" applyNumberFormat="1" applyFont="1" applyFill="1" applyBorder="1"/>
    <xf numFmtId="167" fontId="7" fillId="3" borderId="9" xfId="1" applyNumberFormat="1" applyFont="1" applyFill="1" applyBorder="1"/>
    <xf numFmtId="44" fontId="18" fillId="3" borderId="0" xfId="1" applyFont="1" applyFill="1" applyBorder="1"/>
    <xf numFmtId="43" fontId="7" fillId="3" borderId="9" xfId="0" applyNumberFormat="1" applyFont="1" applyFill="1" applyBorder="1"/>
    <xf numFmtId="165" fontId="4" fillId="2" borderId="0" xfId="0" applyNumberFormat="1" applyFont="1" applyFill="1" applyBorder="1"/>
    <xf numFmtId="165" fontId="4" fillId="2" borderId="0" xfId="1" applyNumberFormat="1" applyFont="1" applyFill="1" applyBorder="1"/>
    <xf numFmtId="44" fontId="4" fillId="2" borderId="0" xfId="1" applyFont="1" applyFill="1" applyBorder="1"/>
    <xf numFmtId="0" fontId="3" fillId="2" borderId="4" xfId="0" applyFont="1" applyFill="1" applyBorder="1"/>
    <xf numFmtId="44" fontId="7" fillId="3" borderId="9" xfId="1" applyNumberFormat="1" applyFont="1" applyFill="1" applyBorder="1"/>
    <xf numFmtId="44" fontId="7" fillId="3" borderId="9" xfId="1" applyFont="1" applyFill="1" applyBorder="1"/>
    <xf numFmtId="41" fontId="18" fillId="3" borderId="0" xfId="1" applyNumberFormat="1" applyFont="1" applyFill="1" applyBorder="1"/>
    <xf numFmtId="166" fontId="7" fillId="3" borderId="9" xfId="0" applyNumberFormat="1" applyFont="1" applyFill="1" applyBorder="1"/>
    <xf numFmtId="0" fontId="18" fillId="3" borderId="0" xfId="0" applyFont="1" applyFill="1" applyBorder="1"/>
    <xf numFmtId="44" fontId="18" fillId="3" borderId="0" xfId="0" applyNumberFormat="1" applyFont="1" applyFill="1" applyBorder="1"/>
    <xf numFmtId="170" fontId="18" fillId="3" borderId="0" xfId="0" applyNumberFormat="1" applyFont="1" applyFill="1" applyBorder="1"/>
    <xf numFmtId="41" fontId="18" fillId="3" borderId="0" xfId="0" applyNumberFormat="1" applyFont="1" applyFill="1" applyBorder="1"/>
    <xf numFmtId="168" fontId="18" fillId="3" borderId="0" xfId="1" applyNumberFormat="1" applyFont="1" applyFill="1" applyBorder="1"/>
    <xf numFmtId="43" fontId="7" fillId="3" borderId="9" xfId="1" applyNumberFormat="1" applyFont="1" applyFill="1" applyBorder="1"/>
    <xf numFmtId="44" fontId="18" fillId="3" borderId="0" xfId="1" applyNumberFormat="1" applyFont="1" applyFill="1" applyBorder="1"/>
    <xf numFmtId="10" fontId="18" fillId="3" borderId="0" xfId="2" applyNumberFormat="1" applyFont="1" applyFill="1" applyBorder="1"/>
    <xf numFmtId="44" fontId="7" fillId="3" borderId="0" xfId="1" applyFont="1" applyFill="1" applyBorder="1"/>
    <xf numFmtId="44" fontId="18" fillId="3" borderId="11" xfId="1" applyFont="1" applyFill="1" applyBorder="1"/>
    <xf numFmtId="164" fontId="7" fillId="3" borderId="0" xfId="0" applyNumberFormat="1" applyFont="1" applyFill="1" applyBorder="1"/>
    <xf numFmtId="169" fontId="4" fillId="2" borderId="0" xfId="2" applyNumberFormat="1" applyFont="1" applyFill="1" applyBorder="1"/>
    <xf numFmtId="169" fontId="4" fillId="2" borderId="0" xfId="1" applyNumberFormat="1" applyFont="1" applyFill="1" applyBorder="1"/>
    <xf numFmtId="41" fontId="7" fillId="3" borderId="0" xfId="0" applyNumberFormat="1" applyFont="1" applyFill="1" applyBorder="1"/>
    <xf numFmtId="44" fontId="7" fillId="3" borderId="0" xfId="1" applyNumberFormat="1" applyFont="1" applyFill="1" applyBorder="1"/>
    <xf numFmtId="171" fontId="7" fillId="3" borderId="12" xfId="0" applyNumberFormat="1" applyFont="1" applyFill="1" applyBorder="1"/>
    <xf numFmtId="171" fontId="7" fillId="3" borderId="13" xfId="0" applyNumberFormat="1" applyFont="1" applyFill="1" applyBorder="1"/>
    <xf numFmtId="43" fontId="18" fillId="3" borderId="0" xfId="1" applyNumberFormat="1" applyFont="1" applyFill="1" applyBorder="1"/>
    <xf numFmtId="164" fontId="2" fillId="3" borderId="0" xfId="1" applyNumberFormat="1" applyFont="1" applyFill="1" applyBorder="1"/>
    <xf numFmtId="0" fontId="2" fillId="3" borderId="14" xfId="0" applyFont="1" applyFill="1" applyBorder="1"/>
    <xf numFmtId="43" fontId="18" fillId="3" borderId="0" xfId="0" applyNumberFormat="1" applyFont="1" applyFill="1" applyBorder="1"/>
    <xf numFmtId="43" fontId="18" fillId="3" borderId="14" xfId="1" applyNumberFormat="1" applyFont="1" applyFill="1" applyBorder="1"/>
    <xf numFmtId="43" fontId="2" fillId="3" borderId="14" xfId="1" applyNumberFormat="1" applyFont="1" applyFill="1" applyBorder="1" applyAlignment="1">
      <alignment horizontal="center"/>
    </xf>
    <xf numFmtId="164" fontId="2" fillId="3" borderId="14" xfId="1" applyNumberFormat="1" applyFont="1" applyFill="1" applyBorder="1" applyAlignment="1">
      <alignment horizontal="center"/>
    </xf>
    <xf numFmtId="164" fontId="2" fillId="3" borderId="14" xfId="1" applyNumberFormat="1" applyFont="1" applyFill="1" applyBorder="1" applyAlignment="1">
      <alignment horizontal="right"/>
    </xf>
    <xf numFmtId="43" fontId="2" fillId="3" borderId="14" xfId="1" applyNumberFormat="1" applyFont="1" applyFill="1" applyBorder="1" applyAlignment="1">
      <alignment horizontal="right"/>
    </xf>
    <xf numFmtId="42" fontId="18" fillId="3" borderId="0" xfId="1" applyNumberFormat="1" applyFont="1" applyFill="1" applyBorder="1"/>
    <xf numFmtId="0" fontId="2" fillId="3" borderId="14" xfId="0" applyFont="1" applyFill="1" applyBorder="1" applyAlignment="1">
      <alignment horizontal="center"/>
    </xf>
    <xf numFmtId="42" fontId="18" fillId="3" borderId="0" xfId="0" applyNumberFormat="1" applyFont="1" applyFill="1" applyBorder="1"/>
    <xf numFmtId="42" fontId="7" fillId="3" borderId="9" xfId="1" applyNumberFormat="1" applyFont="1" applyFill="1" applyBorder="1"/>
    <xf numFmtId="42" fontId="4" fillId="2" borderId="0" xfId="1" applyNumberFormat="1" applyFont="1" applyFill="1" applyBorder="1"/>
    <xf numFmtId="43" fontId="4" fillId="2" borderId="0" xfId="1" applyNumberFormat="1" applyFont="1" applyFill="1" applyBorder="1" applyAlignment="1">
      <alignment horizontal="center"/>
    </xf>
    <xf numFmtId="43" fontId="4" fillId="2" borderId="0" xfId="0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right"/>
    </xf>
    <xf numFmtId="164" fontId="2" fillId="2" borderId="14" xfId="1" applyNumberFormat="1" applyFont="1" applyFill="1" applyBorder="1" applyAlignment="1">
      <alignment horizontal="right"/>
    </xf>
    <xf numFmtId="164" fontId="2" fillId="3" borderId="0" xfId="1" applyNumberFormat="1" applyFont="1" applyFill="1" applyBorder="1" applyAlignment="1">
      <alignment horizontal="right"/>
    </xf>
    <xf numFmtId="42" fontId="7" fillId="3" borderId="9" xfId="0" applyNumberFormat="1" applyFont="1" applyFill="1" applyBorder="1"/>
    <xf numFmtId="43" fontId="2" fillId="3" borderId="0" xfId="1" applyNumberFormat="1" applyFont="1" applyFill="1" applyBorder="1" applyAlignment="1">
      <alignment horizontal="right"/>
    </xf>
    <xf numFmtId="0" fontId="2" fillId="3" borderId="14" xfId="0" applyFont="1" applyFill="1" applyBorder="1" applyAlignment="1">
      <alignment horizontal="right"/>
    </xf>
    <xf numFmtId="43" fontId="8" fillId="3" borderId="14" xfId="1" applyNumberFormat="1" applyFont="1" applyFill="1" applyBorder="1" applyAlignment="1">
      <alignment horizontal="right"/>
    </xf>
    <xf numFmtId="42" fontId="7" fillId="3" borderId="0" xfId="0" applyNumberFormat="1" applyFont="1" applyFill="1" applyBorder="1"/>
    <xf numFmtId="172" fontId="7" fillId="3" borderId="9" xfId="1" applyNumberFormat="1" applyFont="1" applyFill="1" applyBorder="1"/>
    <xf numFmtId="0" fontId="22" fillId="4" borderId="0" xfId="0" applyFont="1" applyFill="1" applyBorder="1"/>
    <xf numFmtId="164" fontId="23" fillId="2" borderId="10" xfId="1" applyNumberFormat="1" applyFont="1" applyFill="1" applyBorder="1"/>
    <xf numFmtId="41" fontId="23" fillId="2" borderId="0" xfId="1" applyNumberFormat="1" applyFont="1" applyFill="1" applyBorder="1"/>
    <xf numFmtId="41" fontId="7" fillId="3" borderId="0" xfId="1" applyNumberFormat="1" applyFont="1" applyFill="1" applyBorder="1"/>
    <xf numFmtId="41" fontId="18" fillId="2" borderId="0" xfId="1" applyNumberFormat="1" applyFont="1" applyFill="1" applyBorder="1" applyAlignment="1">
      <alignment horizontal="center"/>
    </xf>
    <xf numFmtId="42" fontId="23" fillId="3" borderId="0" xfId="0" applyNumberFormat="1" applyFont="1" applyFill="1" applyBorder="1"/>
    <xf numFmtId="42" fontId="23" fillId="3" borderId="0" xfId="1" applyNumberFormat="1" applyFont="1" applyFill="1" applyBorder="1"/>
    <xf numFmtId="169" fontId="23" fillId="2" borderId="0" xfId="1" applyNumberFormat="1" applyFont="1" applyFill="1" applyBorder="1"/>
    <xf numFmtId="173" fontId="2" fillId="0" borderId="0" xfId="0" applyNumberFormat="1" applyFont="1"/>
    <xf numFmtId="164" fontId="23" fillId="2" borderId="0" xfId="1" applyNumberFormat="1" applyFont="1" applyFill="1" applyBorder="1"/>
    <xf numFmtId="164" fontId="23" fillId="3" borderId="0" xfId="0" applyNumberFormat="1" applyFont="1" applyFill="1" applyBorder="1"/>
    <xf numFmtId="0" fontId="5" fillId="3" borderId="0" xfId="0" applyFont="1" applyFill="1" applyBorder="1"/>
    <xf numFmtId="0" fontId="0" fillId="3" borderId="0" xfId="0" applyFill="1"/>
    <xf numFmtId="0" fontId="2" fillId="3" borderId="0" xfId="0" applyFont="1" applyFill="1"/>
    <xf numFmtId="164" fontId="6" fillId="3" borderId="0" xfId="1" applyNumberFormat="1" applyFont="1" applyFill="1" applyBorder="1" applyAlignment="1">
      <alignment horizontal="center"/>
    </xf>
    <xf numFmtId="164" fontId="6" fillId="2" borderId="0" xfId="1" applyNumberFormat="1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27"/>
  <sheetViews>
    <sheetView tabSelected="1" workbookViewId="0"/>
  </sheetViews>
  <sheetFormatPr defaultRowHeight="12.75"/>
  <cols>
    <col min="1" max="3" width="9.140625" style="44"/>
    <col min="4" max="4" width="42.5703125" style="44" customWidth="1"/>
    <col min="5" max="16384" width="9.140625" style="44"/>
  </cols>
  <sheetData>
    <row r="1" spans="1:6">
      <c r="A1" s="43"/>
      <c r="B1" s="43"/>
      <c r="C1" s="43"/>
      <c r="D1" s="43"/>
      <c r="E1" s="43"/>
      <c r="F1" s="43"/>
    </row>
    <row r="2" spans="1:6">
      <c r="A2" s="43"/>
      <c r="B2" s="43"/>
      <c r="C2" s="43"/>
      <c r="D2" s="43"/>
      <c r="E2" s="43"/>
      <c r="F2" s="43"/>
    </row>
    <row r="3" spans="1:6">
      <c r="A3" s="43"/>
      <c r="B3" s="43"/>
      <c r="C3" s="43"/>
      <c r="D3" s="43"/>
      <c r="E3" s="43"/>
      <c r="F3" s="43"/>
    </row>
    <row r="4" spans="1:6">
      <c r="A4" s="43"/>
      <c r="B4" s="43"/>
      <c r="C4" s="43"/>
      <c r="D4" s="43"/>
      <c r="E4" s="43"/>
      <c r="F4" s="43"/>
    </row>
    <row r="5" spans="1:6">
      <c r="A5" s="43"/>
      <c r="B5" s="43"/>
      <c r="C5" s="43"/>
      <c r="D5" s="43"/>
      <c r="E5" s="43"/>
      <c r="F5" s="43"/>
    </row>
    <row r="6" spans="1:6">
      <c r="A6" s="43"/>
      <c r="B6" s="43"/>
      <c r="C6" s="43"/>
      <c r="D6" s="43"/>
      <c r="E6" s="43"/>
      <c r="F6" s="43"/>
    </row>
    <row r="7" spans="1:6">
      <c r="A7" s="43"/>
      <c r="B7" s="43"/>
      <c r="C7" s="43"/>
      <c r="D7" s="43"/>
      <c r="E7" s="43"/>
      <c r="F7" s="43"/>
    </row>
    <row r="8" spans="1:6">
      <c r="A8" s="43"/>
      <c r="B8" s="43"/>
      <c r="C8" s="43"/>
      <c r="D8" s="43"/>
      <c r="E8" s="43"/>
      <c r="F8" s="43"/>
    </row>
    <row r="9" spans="1:6">
      <c r="A9" s="43"/>
      <c r="B9" s="43"/>
      <c r="C9" s="43"/>
      <c r="D9" s="43"/>
      <c r="E9" s="43"/>
      <c r="F9" s="43"/>
    </row>
    <row r="10" spans="1:6">
      <c r="A10" s="43"/>
      <c r="B10" s="43"/>
      <c r="C10" s="43"/>
      <c r="D10" s="43"/>
      <c r="E10" s="43"/>
      <c r="F10" s="43"/>
    </row>
    <row r="11" spans="1:6">
      <c r="A11" s="43"/>
      <c r="B11" s="43"/>
      <c r="C11" s="43"/>
      <c r="D11" s="43"/>
      <c r="E11" s="43"/>
      <c r="F11" s="43"/>
    </row>
    <row r="12" spans="1:6" ht="59.25">
      <c r="A12" s="43"/>
      <c r="B12" s="43"/>
      <c r="C12" s="43"/>
      <c r="D12" s="45" t="s">
        <v>207</v>
      </c>
      <c r="E12" s="43"/>
      <c r="F12" s="46"/>
    </row>
    <row r="13" spans="1:6">
      <c r="A13" s="43"/>
      <c r="B13" s="43"/>
      <c r="C13" s="43"/>
      <c r="D13" s="43"/>
      <c r="E13" s="43"/>
      <c r="F13" s="43"/>
    </row>
    <row r="14" spans="1:6" ht="23.25">
      <c r="A14" s="43"/>
      <c r="B14" s="43"/>
      <c r="C14" s="43"/>
      <c r="D14" s="47" t="s">
        <v>122</v>
      </c>
      <c r="E14" s="43"/>
      <c r="F14" s="43"/>
    </row>
    <row r="15" spans="1:6">
      <c r="A15" s="43"/>
      <c r="B15" s="43"/>
      <c r="C15" s="43"/>
      <c r="D15" s="43"/>
      <c r="E15" s="43"/>
      <c r="F15" s="43"/>
    </row>
    <row r="16" spans="1:6">
      <c r="A16" s="43"/>
      <c r="B16" s="43"/>
      <c r="C16" s="43"/>
      <c r="D16" s="43"/>
      <c r="E16" s="43"/>
      <c r="F16" s="43"/>
    </row>
    <row r="17" spans="1:6" ht="15">
      <c r="A17" s="43"/>
      <c r="B17" s="43"/>
      <c r="C17" s="43"/>
      <c r="D17" s="48"/>
      <c r="E17" s="43"/>
      <c r="F17" s="43"/>
    </row>
    <row r="18" spans="1:6" ht="15.75">
      <c r="A18" s="43"/>
      <c r="B18" s="43"/>
      <c r="C18" s="43"/>
      <c r="D18" s="49" t="s">
        <v>41</v>
      </c>
      <c r="E18" s="43"/>
      <c r="F18" s="43"/>
    </row>
    <row r="19" spans="1:6" ht="15.75">
      <c r="A19" s="43"/>
      <c r="B19" s="43"/>
      <c r="C19" s="43"/>
      <c r="D19" s="50" t="s">
        <v>42</v>
      </c>
      <c r="E19" s="43"/>
      <c r="F19" s="43"/>
    </row>
    <row r="20" spans="1:6" ht="15.75">
      <c r="A20" s="43"/>
      <c r="B20" s="43"/>
      <c r="C20" s="43"/>
      <c r="D20" s="51" t="s">
        <v>43</v>
      </c>
      <c r="E20" s="43"/>
      <c r="F20" s="43"/>
    </row>
    <row r="21" spans="1:6" ht="15.75">
      <c r="A21" s="43"/>
      <c r="B21" s="43"/>
      <c r="C21" s="43"/>
      <c r="D21" s="52" t="s">
        <v>44</v>
      </c>
      <c r="E21" s="43"/>
      <c r="F21" s="43"/>
    </row>
    <row r="22" spans="1:6" ht="15.75">
      <c r="A22" s="43"/>
      <c r="B22" s="43"/>
      <c r="C22" s="43"/>
      <c r="D22" s="53" t="s">
        <v>45</v>
      </c>
      <c r="E22" s="43"/>
      <c r="F22" s="43"/>
    </row>
    <row r="23" spans="1:6" ht="15">
      <c r="A23" s="43"/>
      <c r="B23" s="43"/>
      <c r="C23" s="43"/>
      <c r="D23" s="48"/>
      <c r="E23" s="43"/>
      <c r="F23" s="43"/>
    </row>
    <row r="24" spans="1:6">
      <c r="A24" s="43"/>
      <c r="B24" s="43"/>
      <c r="C24" s="43"/>
      <c r="D24" s="131" t="s">
        <v>208</v>
      </c>
      <c r="E24" s="43"/>
      <c r="F24" s="43"/>
    </row>
    <row r="25" spans="1:6">
      <c r="A25" s="43"/>
      <c r="B25" s="43"/>
      <c r="C25" s="43"/>
      <c r="D25" s="131" t="s">
        <v>209</v>
      </c>
      <c r="E25" s="43"/>
      <c r="F25" s="43"/>
    </row>
    <row r="26" spans="1:6">
      <c r="D26" s="131" t="s">
        <v>210</v>
      </c>
    </row>
    <row r="27" spans="1:6">
      <c r="D27" s="131" t="s">
        <v>211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M85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6.7109375" customWidth="1"/>
    <col min="5" max="5" width="4.5703125" customWidth="1"/>
    <col min="6" max="6" width="16.7109375" customWidth="1"/>
    <col min="7" max="7" width="3.140625" customWidth="1"/>
  </cols>
  <sheetData>
    <row r="1" spans="1:13" ht="18">
      <c r="A1" s="1"/>
      <c r="B1" s="1"/>
      <c r="C1" s="54" t="s">
        <v>207</v>
      </c>
      <c r="D1" s="54"/>
      <c r="E1" s="54"/>
      <c r="F1" s="1"/>
      <c r="G1" s="1"/>
      <c r="H1" s="1"/>
      <c r="I1" s="1"/>
      <c r="J1" s="1"/>
      <c r="K1" s="1"/>
      <c r="L1" s="1"/>
      <c r="M1" s="1"/>
    </row>
    <row r="2" spans="1:13" ht="15">
      <c r="A2" s="1"/>
      <c r="B2" s="1"/>
      <c r="C2" s="1" t="s">
        <v>130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>
      <c r="A4" s="1"/>
      <c r="B4" s="1"/>
      <c r="C4" s="2" t="s">
        <v>1</v>
      </c>
      <c r="D4" s="2"/>
      <c r="E4" s="2"/>
      <c r="F4" s="1"/>
      <c r="G4" s="1"/>
      <c r="H4" s="1"/>
      <c r="I4" s="1"/>
      <c r="J4" s="1"/>
      <c r="K4" s="1"/>
      <c r="L4" s="1"/>
      <c r="M4" s="1"/>
    </row>
    <row r="5" spans="1:13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5">
      <c r="A6" s="1"/>
      <c r="B6" s="3"/>
      <c r="C6" s="4"/>
      <c r="D6" s="4"/>
      <c r="E6" s="4"/>
      <c r="F6" s="12"/>
      <c r="G6" s="5"/>
      <c r="H6" s="1"/>
      <c r="I6" s="1"/>
      <c r="J6" s="1"/>
      <c r="K6" s="1"/>
      <c r="L6" s="1"/>
      <c r="M6" s="1"/>
    </row>
    <row r="7" spans="1:13" ht="15">
      <c r="A7" s="1"/>
      <c r="B7" s="6"/>
      <c r="C7" s="7"/>
      <c r="D7" s="66" t="s">
        <v>80</v>
      </c>
      <c r="E7" s="66"/>
      <c r="F7" s="67" t="s">
        <v>81</v>
      </c>
      <c r="G7" s="8"/>
      <c r="H7" s="1"/>
      <c r="I7" s="1"/>
      <c r="J7" s="1"/>
      <c r="K7" s="1"/>
      <c r="L7" s="1"/>
      <c r="M7" s="1"/>
    </row>
    <row r="8" spans="1:13" ht="15">
      <c r="A8" s="1"/>
      <c r="B8" s="6"/>
      <c r="C8" s="7" t="s">
        <v>11</v>
      </c>
      <c r="D8" s="81">
        <v>4800</v>
      </c>
      <c r="E8" s="81"/>
      <c r="F8" s="82">
        <v>1200</v>
      </c>
      <c r="G8" s="8"/>
      <c r="H8" s="1"/>
      <c r="I8" s="1"/>
      <c r="J8" s="1"/>
      <c r="K8" s="1"/>
      <c r="L8" s="1"/>
      <c r="M8" s="1"/>
    </row>
    <row r="9" spans="1:13" ht="15">
      <c r="A9" s="1"/>
      <c r="B9" s="6"/>
      <c r="C9" s="7" t="s">
        <v>88</v>
      </c>
      <c r="D9" s="83">
        <v>36</v>
      </c>
      <c r="E9" s="83"/>
      <c r="F9" s="83">
        <v>24</v>
      </c>
      <c r="G9" s="8"/>
      <c r="H9" s="1"/>
      <c r="I9" s="1"/>
      <c r="J9" s="1"/>
      <c r="K9" s="1"/>
      <c r="L9" s="1"/>
      <c r="M9" s="1"/>
    </row>
    <row r="10" spans="1:13" ht="15">
      <c r="A10" s="1"/>
      <c r="B10" s="6"/>
      <c r="C10" s="7"/>
      <c r="D10" s="83"/>
      <c r="E10" s="83"/>
      <c r="F10" s="83"/>
      <c r="G10" s="8"/>
      <c r="H10" s="1"/>
      <c r="I10" s="1"/>
      <c r="J10" s="1"/>
      <c r="K10" s="1"/>
      <c r="L10" s="1"/>
      <c r="M10" s="1"/>
    </row>
    <row r="11" spans="1:13" ht="15">
      <c r="A11" s="1"/>
      <c r="B11" s="6"/>
      <c r="C11" s="7" t="s">
        <v>83</v>
      </c>
      <c r="D11" s="26">
        <v>9500</v>
      </c>
      <c r="E11" s="83"/>
      <c r="F11" s="83"/>
      <c r="G11" s="8"/>
      <c r="H11" s="1"/>
      <c r="I11" s="1"/>
      <c r="J11" s="1"/>
      <c r="K11" s="1"/>
      <c r="L11" s="1"/>
      <c r="M11" s="1"/>
    </row>
    <row r="12" spans="1:13" ht="15">
      <c r="A12" s="1"/>
      <c r="B12" s="6"/>
      <c r="C12" s="7" t="s">
        <v>84</v>
      </c>
      <c r="D12" s="74">
        <v>30</v>
      </c>
      <c r="E12" s="74"/>
      <c r="F12" s="70"/>
      <c r="G12" s="8"/>
      <c r="H12" s="1"/>
      <c r="I12" s="1"/>
      <c r="J12" s="1"/>
      <c r="K12" s="1"/>
      <c r="L12" s="1"/>
      <c r="M12" s="1"/>
    </row>
    <row r="13" spans="1:13" ht="15">
      <c r="A13" s="1"/>
      <c r="B13" s="84" t="s">
        <v>82</v>
      </c>
      <c r="C13" s="7" t="s">
        <v>69</v>
      </c>
      <c r="D13" s="72">
        <v>4</v>
      </c>
      <c r="E13" s="69" t="s">
        <v>70</v>
      </c>
      <c r="F13" s="75">
        <v>5</v>
      </c>
      <c r="G13" s="8"/>
      <c r="H13" s="1"/>
      <c r="I13" s="1"/>
      <c r="J13" s="1"/>
      <c r="K13" s="1"/>
      <c r="L13" s="1"/>
      <c r="M13" s="1"/>
    </row>
    <row r="14" spans="1:13" ht="15.75" thickBot="1">
      <c r="A14" s="1"/>
      <c r="B14" s="9"/>
      <c r="C14" s="10"/>
      <c r="D14" s="10"/>
      <c r="E14" s="10"/>
      <c r="F14" s="13"/>
      <c r="G14" s="11"/>
      <c r="H14" s="1"/>
      <c r="I14" s="1"/>
      <c r="J14" s="1"/>
      <c r="K14" s="1"/>
      <c r="L14" s="1"/>
      <c r="M14" s="1"/>
    </row>
    <row r="15" spans="1:13" ht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5">
      <c r="A16" s="1"/>
      <c r="B16" s="1"/>
      <c r="C16" s="2" t="s">
        <v>2</v>
      </c>
      <c r="D16" s="2"/>
      <c r="E16" s="2"/>
      <c r="F16" s="1"/>
      <c r="G16" s="1"/>
      <c r="H16" s="1"/>
      <c r="I16" s="1"/>
      <c r="J16" s="1"/>
      <c r="K16" s="1"/>
      <c r="L16" s="1"/>
      <c r="M16" s="1"/>
    </row>
    <row r="17" spans="1:13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>
      <c r="A18" s="1"/>
      <c r="B18" s="14"/>
      <c r="C18" s="15"/>
      <c r="D18" s="15"/>
      <c r="E18" s="16"/>
      <c r="F18" s="1"/>
      <c r="G18" s="1"/>
      <c r="H18" s="1"/>
      <c r="I18" s="1"/>
      <c r="J18" s="1"/>
      <c r="K18" s="1"/>
    </row>
    <row r="19" spans="1:13" ht="15.75">
      <c r="A19" s="1"/>
      <c r="B19" s="63" t="s">
        <v>55</v>
      </c>
      <c r="C19" s="18" t="s">
        <v>62</v>
      </c>
      <c r="D19" s="33">
        <f>(F8*F9)+D11-(D12*F8)</f>
        <v>2300</v>
      </c>
      <c r="E19" s="19"/>
      <c r="F19" s="1"/>
      <c r="G19" s="1"/>
      <c r="H19" s="1"/>
      <c r="I19" s="1"/>
      <c r="J19" s="1"/>
      <c r="K19" s="1"/>
    </row>
    <row r="20" spans="1:13" ht="15.75">
      <c r="A20" s="1"/>
      <c r="B20" s="63"/>
      <c r="C20" s="18"/>
      <c r="D20" s="77"/>
      <c r="E20" s="19"/>
      <c r="F20" s="1"/>
      <c r="G20" s="1"/>
      <c r="H20" s="1"/>
      <c r="I20" s="1"/>
      <c r="J20" s="1"/>
      <c r="K20" s="1"/>
    </row>
    <row r="21" spans="1:13" ht="15.75">
      <c r="A21" s="1"/>
      <c r="B21" s="63" t="s">
        <v>56</v>
      </c>
      <c r="C21" s="18" t="s">
        <v>85</v>
      </c>
      <c r="D21" s="85">
        <f>((D8*D9)+D19)/D8</f>
        <v>36.479166666666664</v>
      </c>
      <c r="E21" s="19"/>
      <c r="F21" s="1"/>
      <c r="G21" s="1"/>
      <c r="H21" s="1"/>
      <c r="I21" s="1"/>
      <c r="J21" s="1"/>
      <c r="K21" s="1"/>
    </row>
    <row r="22" spans="1:13" ht="15">
      <c r="A22" s="1"/>
      <c r="B22" s="63"/>
      <c r="C22" s="18"/>
      <c r="D22" s="79"/>
      <c r="E22" s="19"/>
      <c r="F22" s="1"/>
      <c r="G22" s="1"/>
      <c r="H22" s="1"/>
      <c r="I22" s="1"/>
      <c r="J22" s="1"/>
      <c r="K22" s="1"/>
    </row>
    <row r="23" spans="1:13" ht="15.75">
      <c r="A23" s="1"/>
      <c r="B23" s="63" t="s">
        <v>57</v>
      </c>
      <c r="C23" s="18" t="s">
        <v>7</v>
      </c>
      <c r="D23" s="33">
        <f>F8*(D12-F9)</f>
        <v>7200</v>
      </c>
      <c r="E23" s="19"/>
      <c r="F23" s="1"/>
      <c r="G23" s="1"/>
      <c r="H23" s="1"/>
      <c r="I23" s="1"/>
      <c r="J23" s="1"/>
      <c r="K23" s="1"/>
    </row>
    <row r="24" spans="1:13" ht="15">
      <c r="A24" s="1"/>
      <c r="B24" s="63"/>
      <c r="C24" s="18"/>
      <c r="D24" s="18"/>
      <c r="E24" s="19"/>
      <c r="F24" s="1"/>
      <c r="G24" s="1"/>
      <c r="H24" s="1"/>
      <c r="I24" s="1"/>
      <c r="J24" s="1"/>
      <c r="K24" s="1"/>
    </row>
    <row r="25" spans="1:13" ht="15">
      <c r="A25" s="1"/>
      <c r="B25" s="63" t="s">
        <v>82</v>
      </c>
      <c r="C25" s="18" t="s">
        <v>86</v>
      </c>
      <c r="D25" s="87">
        <f>F8*(D13/F13)</f>
        <v>960</v>
      </c>
      <c r="E25" s="19"/>
      <c r="F25" s="1"/>
      <c r="G25" s="1"/>
      <c r="H25" s="1"/>
      <c r="I25" s="1"/>
      <c r="J25" s="1"/>
      <c r="K25" s="1"/>
    </row>
    <row r="26" spans="1:13" ht="19.5">
      <c r="A26" s="1"/>
      <c r="B26" s="63"/>
      <c r="C26" s="18" t="s">
        <v>87</v>
      </c>
      <c r="D26" s="79">
        <f>(D8*D9)+(F8*F9)+D11</f>
        <v>211100</v>
      </c>
      <c r="E26" s="19"/>
      <c r="F26" s="1"/>
      <c r="G26" s="1"/>
      <c r="H26" s="1"/>
      <c r="I26" s="1"/>
      <c r="J26" s="1"/>
      <c r="K26" s="1"/>
    </row>
    <row r="27" spans="1:13" ht="15.75">
      <c r="A27" s="1"/>
      <c r="B27" s="63"/>
      <c r="C27" s="18" t="s">
        <v>88</v>
      </c>
      <c r="D27" s="86">
        <f>D26/(D8+D25)</f>
        <v>36.649305555555557</v>
      </c>
      <c r="E27" s="19"/>
      <c r="F27" s="1"/>
      <c r="G27" s="1"/>
      <c r="H27" s="1"/>
      <c r="I27" s="1"/>
      <c r="J27" s="1"/>
      <c r="K27" s="1"/>
    </row>
    <row r="28" spans="1:13" ht="15.75">
      <c r="A28" s="1"/>
      <c r="B28" s="63"/>
      <c r="C28" s="65"/>
      <c r="D28" s="79"/>
      <c r="E28" s="19"/>
      <c r="F28" s="1"/>
      <c r="G28" s="1"/>
      <c r="H28" s="1"/>
      <c r="I28" s="1"/>
      <c r="J28" s="1"/>
      <c r="K28" s="1"/>
    </row>
    <row r="29" spans="1:13" ht="15.75">
      <c r="A29" s="1"/>
      <c r="B29" s="63" t="s">
        <v>89</v>
      </c>
      <c r="C29" s="18" t="s">
        <v>62</v>
      </c>
      <c r="D29" s="86">
        <f>(F8*F9)+D11-(D25*D27)</f>
        <v>3116.6666666666642</v>
      </c>
      <c r="E29" s="19"/>
      <c r="F29" s="1"/>
      <c r="G29" s="1"/>
      <c r="H29" s="1"/>
      <c r="I29" s="1"/>
      <c r="J29" s="1"/>
      <c r="K29" s="1"/>
    </row>
    <row r="30" spans="1:13" ht="15.75" thickBot="1">
      <c r="A30" s="1"/>
      <c r="B30" s="20"/>
      <c r="C30" s="21"/>
      <c r="D30" s="21"/>
      <c r="E30" s="22"/>
      <c r="F30" s="1"/>
      <c r="G30" s="1"/>
      <c r="H30" s="1"/>
      <c r="I30" s="1"/>
      <c r="J30" s="1"/>
      <c r="K30" s="1"/>
    </row>
    <row r="31" spans="1:13" ht="15.75" thickBo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">
      <c r="A32" s="1"/>
      <c r="B32" s="14"/>
      <c r="C32" s="15"/>
      <c r="D32" s="15"/>
      <c r="E32" s="16"/>
      <c r="F32" s="1"/>
      <c r="G32" s="1"/>
      <c r="H32" s="1"/>
      <c r="I32" s="1"/>
      <c r="J32" s="1"/>
      <c r="K32" s="1"/>
      <c r="L32" s="1"/>
      <c r="M32" s="1"/>
    </row>
    <row r="33" spans="1:13" ht="15">
      <c r="A33" s="1"/>
      <c r="B33" s="17"/>
      <c r="C33" s="18" t="s">
        <v>90</v>
      </c>
      <c r="D33" s="91">
        <f>D12</f>
        <v>30</v>
      </c>
      <c r="E33" s="19"/>
      <c r="F33" s="1"/>
      <c r="G33" s="1"/>
      <c r="H33" s="1"/>
      <c r="I33" s="1"/>
      <c r="J33" s="1"/>
      <c r="K33" s="1"/>
      <c r="L33" s="1"/>
      <c r="M33" s="1"/>
    </row>
    <row r="34" spans="1:13" ht="15">
      <c r="A34" s="1"/>
      <c r="B34" s="17"/>
      <c r="C34" s="18" t="s">
        <v>91</v>
      </c>
      <c r="D34" s="90">
        <f>(D13/F13)*F9</f>
        <v>19.200000000000003</v>
      </c>
      <c r="E34" s="19"/>
      <c r="F34" s="1"/>
      <c r="G34" s="1"/>
      <c r="H34" s="1"/>
      <c r="I34" s="1"/>
      <c r="J34" s="1"/>
      <c r="K34" s="1"/>
      <c r="L34" s="1"/>
      <c r="M34" s="1"/>
    </row>
    <row r="35" spans="1:13" ht="15">
      <c r="A35" s="1"/>
      <c r="B35" s="17"/>
      <c r="C35" s="18" t="s">
        <v>92</v>
      </c>
      <c r="D35" s="18"/>
      <c r="E35" s="19"/>
      <c r="F35" s="1"/>
      <c r="G35" s="1"/>
      <c r="H35" s="1"/>
      <c r="I35" s="1"/>
      <c r="J35" s="1"/>
      <c r="K35" s="1"/>
      <c r="L35" s="1"/>
      <c r="M35" s="1"/>
    </row>
    <row r="36" spans="1:13" ht="15">
      <c r="A36" s="1"/>
      <c r="B36" s="17"/>
      <c r="C36" s="89" t="str">
        <f>IF(D33&gt;D34,"cash offer","share offer")</f>
        <v>cash offer</v>
      </c>
      <c r="D36" s="18" t="s">
        <v>93</v>
      </c>
      <c r="E36" s="19"/>
      <c r="F36" s="1"/>
      <c r="G36" s="1"/>
      <c r="H36" s="1"/>
      <c r="I36" s="1"/>
      <c r="J36" s="1"/>
      <c r="K36" s="1"/>
      <c r="L36" s="1"/>
      <c r="M36" s="1"/>
    </row>
    <row r="37" spans="1:13" ht="15">
      <c r="A37" s="1"/>
      <c r="B37" s="17"/>
      <c r="C37" s="18" t="s">
        <v>94</v>
      </c>
      <c r="D37" s="18"/>
      <c r="E37" s="19"/>
      <c r="F37" s="1"/>
      <c r="G37" s="1"/>
      <c r="H37" s="1"/>
      <c r="I37" s="1"/>
      <c r="J37" s="1"/>
      <c r="K37" s="1"/>
      <c r="L37" s="1"/>
      <c r="M37" s="1"/>
    </row>
    <row r="38" spans="1:13" ht="15">
      <c r="A38" s="1"/>
      <c r="B38" s="17"/>
      <c r="C38" s="18"/>
      <c r="D38" s="18"/>
      <c r="E38" s="19"/>
      <c r="F38" s="1"/>
      <c r="G38" s="1"/>
      <c r="H38" s="1"/>
      <c r="I38" s="1"/>
      <c r="J38" s="1"/>
      <c r="K38" s="1"/>
      <c r="L38" s="1"/>
      <c r="M38" s="1"/>
    </row>
    <row r="39" spans="1:13" ht="15.75">
      <c r="A39" s="1"/>
      <c r="B39" s="17"/>
      <c r="C39" s="18" t="s">
        <v>95</v>
      </c>
      <c r="D39" s="88">
        <f>D12/D21</f>
        <v>0.82238720731010861</v>
      </c>
      <c r="E39" s="19"/>
      <c r="F39" s="1"/>
      <c r="G39" s="1"/>
      <c r="H39" s="1"/>
      <c r="I39" s="1"/>
      <c r="J39" s="1"/>
      <c r="K39" s="1"/>
      <c r="L39" s="1"/>
      <c r="M39" s="1"/>
    </row>
    <row r="40" spans="1:13" ht="15.75" thickBot="1">
      <c r="A40" s="1"/>
      <c r="B40" s="20"/>
      <c r="C40" s="21"/>
      <c r="D40" s="21"/>
      <c r="E40" s="22"/>
      <c r="F40" s="1"/>
      <c r="G40" s="1"/>
      <c r="H40" s="1"/>
      <c r="I40" s="1"/>
      <c r="J40" s="1"/>
      <c r="K40" s="1"/>
      <c r="L40" s="1"/>
      <c r="M40" s="1"/>
    </row>
    <row r="41" spans="1:13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M87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6.7109375" customWidth="1"/>
    <col min="5" max="5" width="4.5703125" customWidth="1"/>
    <col min="6" max="6" width="16.7109375" customWidth="1"/>
    <col min="7" max="7" width="3.140625" customWidth="1"/>
  </cols>
  <sheetData>
    <row r="1" spans="1:13" ht="18">
      <c r="A1" s="1"/>
      <c r="B1" s="1"/>
      <c r="C1" s="54" t="s">
        <v>207</v>
      </c>
      <c r="D1" s="54"/>
      <c r="E1" s="54"/>
      <c r="F1" s="1"/>
      <c r="G1" s="1"/>
      <c r="H1" s="1"/>
      <c r="I1" s="1"/>
      <c r="J1" s="1"/>
      <c r="K1" s="1"/>
      <c r="L1" s="1"/>
      <c r="M1" s="1"/>
    </row>
    <row r="2" spans="1:13" ht="15">
      <c r="A2" s="1"/>
      <c r="B2" s="1"/>
      <c r="C2" s="1" t="s">
        <v>59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>
      <c r="A4" s="1"/>
      <c r="B4" s="1"/>
      <c r="C4" s="2" t="s">
        <v>1</v>
      </c>
      <c r="D4" s="2"/>
      <c r="E4" s="2"/>
      <c r="F4" s="1"/>
      <c r="G4" s="1"/>
      <c r="H4" s="1"/>
      <c r="I4" s="1"/>
      <c r="J4" s="1"/>
      <c r="K4" s="1"/>
      <c r="L4" s="1"/>
      <c r="M4" s="1"/>
    </row>
    <row r="5" spans="1:13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5">
      <c r="A6" s="1"/>
      <c r="B6" s="3"/>
      <c r="C6" s="4"/>
      <c r="D6" s="4"/>
      <c r="E6" s="4"/>
      <c r="F6" s="12"/>
      <c r="G6" s="5"/>
      <c r="H6" s="1"/>
      <c r="I6" s="1"/>
      <c r="J6" s="1"/>
      <c r="K6" s="1"/>
      <c r="L6" s="1"/>
      <c r="M6" s="1"/>
    </row>
    <row r="7" spans="1:13" ht="15">
      <c r="A7" s="1"/>
      <c r="B7" s="6"/>
      <c r="C7" s="7"/>
      <c r="D7" s="66" t="s">
        <v>97</v>
      </c>
      <c r="E7" s="66"/>
      <c r="F7" s="67" t="s">
        <v>80</v>
      </c>
      <c r="G7" s="8"/>
      <c r="H7" s="1"/>
      <c r="I7" s="1"/>
      <c r="J7" s="1"/>
      <c r="K7" s="1"/>
      <c r="L7" s="1"/>
      <c r="M7" s="1"/>
    </row>
    <row r="8" spans="1:13" ht="15">
      <c r="A8" s="1"/>
      <c r="B8" s="6"/>
      <c r="C8" s="7" t="s">
        <v>10</v>
      </c>
      <c r="D8" s="26">
        <v>2100</v>
      </c>
      <c r="E8" s="26"/>
      <c r="F8" s="26">
        <v>700</v>
      </c>
      <c r="G8" s="8"/>
      <c r="H8" s="1"/>
      <c r="I8" s="1"/>
      <c r="J8" s="1"/>
      <c r="K8" s="1"/>
      <c r="L8" s="1"/>
      <c r="M8" s="1"/>
    </row>
    <row r="9" spans="1:13" ht="15">
      <c r="A9" s="1"/>
      <c r="B9" s="6"/>
      <c r="C9" s="7" t="s">
        <v>11</v>
      </c>
      <c r="D9" s="72">
        <v>900</v>
      </c>
      <c r="E9" s="72"/>
      <c r="F9" s="73">
        <v>300</v>
      </c>
      <c r="G9" s="8"/>
      <c r="H9" s="1"/>
      <c r="I9" s="1"/>
      <c r="J9" s="1"/>
      <c r="K9" s="1"/>
      <c r="L9" s="1"/>
      <c r="M9" s="1"/>
    </row>
    <row r="10" spans="1:13" ht="15">
      <c r="A10" s="1"/>
      <c r="B10" s="6"/>
      <c r="C10" s="7" t="s">
        <v>96</v>
      </c>
      <c r="D10" s="74">
        <v>60</v>
      </c>
      <c r="E10" s="74"/>
      <c r="F10" s="70">
        <v>17</v>
      </c>
      <c r="G10" s="8"/>
      <c r="H10" s="1"/>
      <c r="I10" s="1"/>
      <c r="J10" s="1"/>
      <c r="K10" s="1"/>
      <c r="L10" s="1"/>
      <c r="M10" s="1"/>
    </row>
    <row r="11" spans="1:13" ht="15">
      <c r="A11" s="1"/>
      <c r="B11" s="6"/>
      <c r="C11" s="7"/>
      <c r="D11" s="74"/>
      <c r="E11" s="74"/>
      <c r="F11" s="70"/>
      <c r="G11" s="8"/>
      <c r="H11" s="1"/>
      <c r="I11" s="1"/>
      <c r="J11" s="1"/>
      <c r="K11" s="1"/>
      <c r="L11" s="1"/>
      <c r="M11" s="1"/>
    </row>
    <row r="12" spans="1:13" ht="15">
      <c r="A12" s="1"/>
      <c r="B12" s="6"/>
      <c r="C12" s="7" t="s">
        <v>84</v>
      </c>
      <c r="D12" s="26">
        <v>18</v>
      </c>
      <c r="E12" s="69"/>
      <c r="F12" s="75"/>
      <c r="G12" s="8"/>
      <c r="H12" s="1"/>
      <c r="I12" s="1"/>
      <c r="J12" s="1"/>
      <c r="K12" s="1"/>
      <c r="L12" s="1"/>
      <c r="M12" s="1"/>
    </row>
    <row r="13" spans="1:13" ht="15.75" thickBot="1">
      <c r="A13" s="1"/>
      <c r="B13" s="9"/>
      <c r="C13" s="10"/>
      <c r="D13" s="10"/>
      <c r="E13" s="10"/>
      <c r="F13" s="13"/>
      <c r="G13" s="11"/>
      <c r="H13" s="1"/>
      <c r="I13" s="1"/>
      <c r="J13" s="1"/>
      <c r="K13" s="1"/>
      <c r="L13" s="1"/>
      <c r="M13" s="1"/>
    </row>
    <row r="14" spans="1:13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>
      <c r="A15" s="1"/>
      <c r="B15" s="1"/>
      <c r="C15" s="2" t="s">
        <v>2</v>
      </c>
      <c r="D15" s="2"/>
      <c r="E15" s="2"/>
      <c r="F15" s="1"/>
      <c r="G15" s="1"/>
      <c r="H15" s="1"/>
      <c r="I15" s="1"/>
      <c r="J15" s="1"/>
      <c r="K15" s="1"/>
      <c r="L15" s="1"/>
      <c r="M15" s="1"/>
    </row>
    <row r="16" spans="1:13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1" ht="15">
      <c r="A17" s="1"/>
      <c r="B17" s="14"/>
      <c r="C17" s="15"/>
      <c r="D17" s="15"/>
      <c r="E17" s="16"/>
      <c r="F17" s="1"/>
      <c r="G17" s="1"/>
      <c r="H17" s="1"/>
      <c r="I17" s="1"/>
      <c r="J17" s="1"/>
      <c r="K17" s="1"/>
    </row>
    <row r="18" spans="1:11" ht="15">
      <c r="A18" s="1"/>
      <c r="B18" s="17"/>
      <c r="C18" s="18" t="s">
        <v>98</v>
      </c>
      <c r="D18" s="55">
        <f>F9*D12</f>
        <v>5400</v>
      </c>
      <c r="E18" s="19"/>
      <c r="F18" s="1"/>
      <c r="G18" s="1"/>
      <c r="H18" s="1"/>
      <c r="I18" s="1"/>
      <c r="J18" s="1"/>
      <c r="K18" s="1"/>
    </row>
    <row r="19" spans="1:11" ht="15">
      <c r="A19" s="1"/>
      <c r="B19" s="17"/>
      <c r="C19" s="18" t="s">
        <v>99</v>
      </c>
      <c r="D19" s="92">
        <f>D18/D10</f>
        <v>90</v>
      </c>
      <c r="E19" s="19"/>
      <c r="F19" s="1"/>
      <c r="G19" s="1"/>
      <c r="H19" s="1"/>
      <c r="I19" s="1"/>
      <c r="J19" s="1"/>
      <c r="K19" s="1"/>
    </row>
    <row r="20" spans="1:11" ht="15">
      <c r="A20" s="1"/>
      <c r="B20" s="17"/>
      <c r="C20" s="18"/>
      <c r="D20" s="92"/>
      <c r="E20" s="19"/>
      <c r="F20" s="1"/>
      <c r="G20" s="1"/>
      <c r="H20" s="1"/>
      <c r="I20" s="1"/>
      <c r="J20" s="1"/>
      <c r="K20" s="1"/>
    </row>
    <row r="21" spans="1:11" ht="15.75">
      <c r="A21" s="1"/>
      <c r="B21" s="63" t="s">
        <v>55</v>
      </c>
      <c r="C21" s="18" t="s">
        <v>71</v>
      </c>
      <c r="D21" s="85">
        <f>(D8+F8)/(D9+D19)</f>
        <v>2.8282828282828283</v>
      </c>
      <c r="E21" s="19"/>
      <c r="F21" s="1"/>
      <c r="G21" s="1"/>
      <c r="H21" s="1"/>
      <c r="I21" s="1"/>
      <c r="J21" s="1"/>
      <c r="K21" s="1"/>
    </row>
    <row r="22" spans="1:11" ht="15.75">
      <c r="A22" s="1"/>
      <c r="B22" s="63"/>
      <c r="C22" s="18"/>
      <c r="D22" s="77"/>
      <c r="E22" s="19"/>
      <c r="F22" s="1"/>
      <c r="G22" s="1"/>
      <c r="H22" s="1"/>
      <c r="I22" s="1"/>
      <c r="J22" s="1"/>
      <c r="K22" s="1"/>
    </row>
    <row r="23" spans="1:11" ht="15">
      <c r="A23" s="1"/>
      <c r="B23" s="63" t="s">
        <v>56</v>
      </c>
      <c r="C23" s="18" t="s">
        <v>100</v>
      </c>
      <c r="D23" s="93">
        <f>D10/(D8/D9)</f>
        <v>25.714285714285712</v>
      </c>
      <c r="E23" s="19"/>
      <c r="F23" s="1"/>
      <c r="G23" s="1"/>
      <c r="H23" s="1"/>
      <c r="I23" s="1"/>
      <c r="J23" s="1"/>
      <c r="K23" s="1"/>
    </row>
    <row r="24" spans="1:11" ht="15.75">
      <c r="A24" s="1"/>
      <c r="B24" s="63"/>
      <c r="C24" s="18" t="s">
        <v>101</v>
      </c>
      <c r="D24" s="86">
        <f>D21*D23</f>
        <v>72.72727272727272</v>
      </c>
      <c r="E24" s="19"/>
      <c r="F24" s="1"/>
      <c r="G24" s="1"/>
      <c r="H24" s="1"/>
      <c r="I24" s="1"/>
      <c r="J24" s="1"/>
      <c r="K24" s="1"/>
    </row>
    <row r="25" spans="1:11" ht="15">
      <c r="A25" s="1"/>
      <c r="B25" s="63"/>
      <c r="C25" s="18"/>
      <c r="D25" s="18"/>
      <c r="E25" s="19"/>
      <c r="F25" s="1"/>
      <c r="G25" s="1"/>
      <c r="H25" s="1"/>
      <c r="I25" s="1"/>
      <c r="J25" s="1"/>
      <c r="K25" s="1"/>
    </row>
    <row r="26" spans="1:11" ht="15.75">
      <c r="A26" s="1"/>
      <c r="B26" s="63" t="s">
        <v>57</v>
      </c>
      <c r="C26" s="18" t="s">
        <v>102</v>
      </c>
      <c r="D26" s="94">
        <f>D10/D21</f>
        <v>21.214285714285715</v>
      </c>
      <c r="E26" s="19"/>
      <c r="F26" s="1"/>
      <c r="G26" s="1"/>
      <c r="H26" s="1"/>
      <c r="I26" s="1"/>
      <c r="J26" s="1"/>
      <c r="K26" s="1"/>
    </row>
    <row r="27" spans="1:11" ht="15.75">
      <c r="A27" s="1"/>
      <c r="B27" s="63"/>
      <c r="C27" s="65"/>
      <c r="D27" s="79"/>
      <c r="E27" s="19"/>
      <c r="F27" s="1"/>
      <c r="G27" s="1"/>
      <c r="H27" s="1"/>
      <c r="I27" s="1"/>
      <c r="J27" s="1"/>
      <c r="K27" s="1"/>
    </row>
    <row r="28" spans="1:11" ht="15.75">
      <c r="A28" s="1"/>
      <c r="B28" s="63" t="s">
        <v>82</v>
      </c>
      <c r="C28" s="18" t="s">
        <v>74</v>
      </c>
      <c r="D28" s="86">
        <f>((D9*D10)+(F10*F9))/(D9+D19)</f>
        <v>59.696969696969695</v>
      </c>
      <c r="E28" s="19"/>
      <c r="F28" s="1"/>
      <c r="G28" s="1"/>
      <c r="H28" s="1"/>
      <c r="I28" s="1"/>
      <c r="J28" s="1"/>
      <c r="K28" s="1"/>
    </row>
    <row r="29" spans="1:11" ht="15.75">
      <c r="A29" s="1"/>
      <c r="B29" s="63"/>
      <c r="C29" s="18" t="s">
        <v>102</v>
      </c>
      <c r="D29" s="94">
        <f>D28/D21</f>
        <v>21.107142857142858</v>
      </c>
      <c r="E29" s="19"/>
      <c r="F29" s="1"/>
      <c r="G29" s="1"/>
      <c r="H29" s="1"/>
      <c r="I29" s="1"/>
      <c r="J29" s="1"/>
      <c r="K29" s="1"/>
    </row>
    <row r="30" spans="1:11" ht="15">
      <c r="A30" s="1"/>
      <c r="B30" s="63"/>
      <c r="C30" s="18" t="s">
        <v>103</v>
      </c>
      <c r="D30" s="79"/>
      <c r="E30" s="19"/>
      <c r="F30" s="1"/>
      <c r="G30" s="1"/>
      <c r="H30" s="1"/>
      <c r="I30" s="1"/>
      <c r="J30" s="1"/>
      <c r="K30" s="1"/>
    </row>
    <row r="31" spans="1:11" ht="15">
      <c r="A31" s="1"/>
      <c r="B31" s="63"/>
      <c r="C31" s="89" t="str">
        <f>IF(D10&gt;D28,"negative NPV","positive NPV")</f>
        <v>negative NPV</v>
      </c>
      <c r="D31" s="18" t="s">
        <v>104</v>
      </c>
      <c r="E31" s="19"/>
      <c r="F31" s="1"/>
      <c r="G31" s="1"/>
      <c r="H31" s="1"/>
      <c r="I31" s="1"/>
      <c r="J31" s="1"/>
      <c r="K31" s="1"/>
    </row>
    <row r="32" spans="1:11" ht="15.75" thickBot="1">
      <c r="A32" s="1"/>
      <c r="B32" s="20"/>
      <c r="C32" s="21"/>
      <c r="D32" s="21"/>
      <c r="E32" s="22"/>
      <c r="F32" s="1"/>
      <c r="G32" s="1"/>
      <c r="H32" s="1"/>
      <c r="I32" s="1"/>
      <c r="J32" s="1"/>
      <c r="K32" s="1"/>
    </row>
    <row r="33" spans="1:13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L66"/>
  <sheetViews>
    <sheetView workbookViewId="0"/>
  </sheetViews>
  <sheetFormatPr defaultRowHeight="12.75"/>
  <cols>
    <col min="2" max="2" width="3.140625" customWidth="1"/>
    <col min="3" max="3" width="15.28515625" customWidth="1"/>
    <col min="4" max="4" width="3.140625" customWidth="1"/>
    <col min="5" max="5" width="22.42578125" customWidth="1"/>
    <col min="6" max="6" width="3.140625" customWidth="1"/>
  </cols>
  <sheetData>
    <row r="1" spans="1:12" ht="18">
      <c r="A1" s="1"/>
      <c r="B1" s="1"/>
      <c r="C1" s="54" t="s">
        <v>207</v>
      </c>
      <c r="D1" s="54"/>
      <c r="E1" s="1"/>
      <c r="F1" s="1"/>
      <c r="G1" s="1"/>
      <c r="H1" s="1"/>
      <c r="I1" s="1"/>
      <c r="J1" s="1"/>
      <c r="K1" s="1"/>
      <c r="L1" s="1"/>
    </row>
    <row r="2" spans="1:12" ht="15">
      <c r="A2" s="1"/>
      <c r="B2" s="1"/>
      <c r="C2" s="1" t="s">
        <v>105</v>
      </c>
      <c r="D2" s="1"/>
      <c r="E2" s="1"/>
      <c r="F2" s="1"/>
      <c r="G2" s="1"/>
      <c r="H2" s="1"/>
      <c r="I2" s="1"/>
      <c r="J2" s="1"/>
      <c r="K2" s="1"/>
      <c r="L2" s="1"/>
    </row>
    <row r="3" spans="1:12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">
      <c r="A4" s="1"/>
      <c r="B4" s="1"/>
      <c r="C4" s="2" t="s">
        <v>2</v>
      </c>
      <c r="D4" s="2"/>
      <c r="E4" s="1"/>
      <c r="F4" s="1"/>
      <c r="G4" s="1"/>
      <c r="H4" s="1"/>
      <c r="I4" s="1"/>
      <c r="J4" s="1"/>
      <c r="K4" s="1"/>
      <c r="L4" s="1"/>
    </row>
    <row r="5" spans="1:12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">
      <c r="A6" s="1"/>
      <c r="B6" s="14"/>
      <c r="C6" s="15"/>
      <c r="D6" s="15"/>
      <c r="E6" s="23"/>
      <c r="F6" s="16"/>
      <c r="G6" s="1"/>
      <c r="H6" s="1"/>
      <c r="I6" s="1"/>
      <c r="J6" s="1"/>
      <c r="K6" s="1"/>
      <c r="L6" s="1"/>
    </row>
    <row r="7" spans="1:12" ht="19.5">
      <c r="A7" s="1"/>
      <c r="B7" s="17"/>
      <c r="C7" s="18" t="s">
        <v>62</v>
      </c>
      <c r="D7" s="64" t="s">
        <v>60</v>
      </c>
      <c r="E7" s="18" t="s">
        <v>61</v>
      </c>
      <c r="F7" s="19"/>
      <c r="G7" s="1"/>
      <c r="H7" s="1"/>
      <c r="I7" s="1"/>
      <c r="J7" s="1"/>
      <c r="K7" s="1"/>
      <c r="L7" s="1"/>
    </row>
    <row r="8" spans="1:12" ht="19.5">
      <c r="A8" s="1"/>
      <c r="B8" s="17"/>
      <c r="C8" s="18"/>
      <c r="D8" s="64" t="s">
        <v>60</v>
      </c>
      <c r="E8" s="65" t="s">
        <v>63</v>
      </c>
      <c r="F8" s="19"/>
      <c r="G8" s="1"/>
      <c r="H8" s="1"/>
      <c r="I8" s="1"/>
      <c r="J8" s="1"/>
      <c r="K8" s="1"/>
      <c r="L8" s="1"/>
    </row>
    <row r="9" spans="1:12" ht="19.5">
      <c r="A9" s="1"/>
      <c r="B9" s="17"/>
      <c r="C9" s="18"/>
      <c r="D9" s="64" t="s">
        <v>60</v>
      </c>
      <c r="E9" s="65" t="s">
        <v>64</v>
      </c>
      <c r="F9" s="19"/>
      <c r="G9" s="1"/>
      <c r="H9" s="1"/>
      <c r="I9" s="1"/>
      <c r="J9" s="1"/>
      <c r="K9" s="1"/>
      <c r="L9" s="1"/>
    </row>
    <row r="10" spans="1:12" ht="15.75">
      <c r="A10" s="1"/>
      <c r="B10" s="17"/>
      <c r="C10" s="18"/>
      <c r="D10" s="64" t="s">
        <v>60</v>
      </c>
      <c r="E10" s="65" t="s">
        <v>65</v>
      </c>
      <c r="F10" s="19"/>
      <c r="G10" s="1"/>
      <c r="H10" s="1"/>
      <c r="I10" s="1"/>
      <c r="J10" s="1"/>
      <c r="K10" s="1"/>
      <c r="L10" s="1"/>
    </row>
    <row r="11" spans="1:12" ht="15.75" thickBot="1">
      <c r="A11" s="1"/>
      <c r="B11" s="20"/>
      <c r="C11" s="21"/>
      <c r="D11" s="21"/>
      <c r="E11" s="25"/>
      <c r="F11" s="22"/>
      <c r="G11" s="1"/>
      <c r="H11" s="1"/>
      <c r="I11" s="1"/>
      <c r="J11" s="1"/>
      <c r="K11" s="1"/>
      <c r="L11" s="1"/>
    </row>
    <row r="12" spans="1:12" ht="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4"/>
  <dimension ref="A1:K84"/>
  <sheetViews>
    <sheetView workbookViewId="0"/>
  </sheetViews>
  <sheetFormatPr defaultRowHeight="12.75"/>
  <cols>
    <col min="2" max="2" width="3.140625" customWidth="1"/>
    <col min="3" max="3" width="35.28515625" bestFit="1" customWidth="1"/>
    <col min="4" max="4" width="18.140625" customWidth="1"/>
    <col min="5" max="5" width="3.140625" customWidth="1"/>
  </cols>
  <sheetData>
    <row r="1" spans="1:11" ht="18">
      <c r="A1" s="1"/>
      <c r="B1" s="1"/>
      <c r="C1" s="54" t="s">
        <v>207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131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132</v>
      </c>
      <c r="D7" s="26">
        <v>390000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133</v>
      </c>
      <c r="D8" s="26">
        <v>7000000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134</v>
      </c>
      <c r="D9" s="26">
        <v>22000000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34</v>
      </c>
      <c r="D10" s="40">
        <v>0.08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35</v>
      </c>
      <c r="D11" s="40">
        <v>0.3</v>
      </c>
      <c r="E11" s="8"/>
      <c r="F11" s="1"/>
      <c r="G11" s="1"/>
      <c r="H11" s="1"/>
      <c r="I11" s="1"/>
      <c r="J11" s="1"/>
      <c r="K11" s="1"/>
    </row>
    <row r="12" spans="1:11" ht="15">
      <c r="A12" s="1"/>
      <c r="B12" s="6"/>
      <c r="C12" s="7" t="s">
        <v>36</v>
      </c>
      <c r="D12" s="26">
        <v>9000000</v>
      </c>
      <c r="E12" s="8"/>
      <c r="F12" s="1"/>
      <c r="G12" s="1"/>
      <c r="H12" s="1"/>
      <c r="I12" s="1"/>
      <c r="J12" s="1"/>
      <c r="K12" s="1"/>
    </row>
    <row r="13" spans="1:11" ht="15.75" thickBot="1">
      <c r="A13" s="1"/>
      <c r="B13" s="9"/>
      <c r="C13" s="10"/>
      <c r="D13" s="13"/>
      <c r="E13" s="11"/>
      <c r="F13" s="1"/>
      <c r="G13" s="1"/>
      <c r="H13" s="1"/>
      <c r="I13" s="1"/>
      <c r="J13" s="1"/>
      <c r="K13" s="1"/>
    </row>
    <row r="14" spans="1:11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  <c r="K15" s="1"/>
    </row>
    <row r="16" spans="1:11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4"/>
      <c r="C17" s="15"/>
      <c r="D17" s="23"/>
      <c r="E17" s="16"/>
      <c r="F17" s="1"/>
      <c r="G17" s="1"/>
      <c r="H17" s="1"/>
      <c r="I17" s="1"/>
      <c r="J17" s="1"/>
      <c r="K17" s="1"/>
    </row>
    <row r="18" spans="1:11" ht="15.75">
      <c r="A18" s="1"/>
      <c r="B18" s="63" t="s">
        <v>55</v>
      </c>
      <c r="C18" s="18" t="s">
        <v>135</v>
      </c>
      <c r="D18" s="33">
        <f>D7/D10</f>
        <v>4875000</v>
      </c>
      <c r="E18" s="19"/>
      <c r="F18" s="1"/>
      <c r="G18" s="1"/>
      <c r="H18" s="1"/>
      <c r="I18" s="1"/>
      <c r="J18" s="1"/>
      <c r="K18" s="1"/>
    </row>
    <row r="19" spans="1:11" ht="15.75">
      <c r="A19" s="1"/>
      <c r="B19" s="63"/>
      <c r="C19" s="18"/>
      <c r="D19" s="42"/>
      <c r="E19" s="19"/>
      <c r="F19" s="1"/>
      <c r="G19" s="1"/>
      <c r="H19" s="1"/>
      <c r="I19" s="1"/>
      <c r="J19" s="1"/>
      <c r="K19" s="1"/>
    </row>
    <row r="20" spans="1:11" ht="15.75">
      <c r="A20" s="1"/>
      <c r="B20" s="63" t="s">
        <v>56</v>
      </c>
      <c r="C20" s="18" t="s">
        <v>136</v>
      </c>
      <c r="D20" s="41">
        <f>D18+D8</f>
        <v>11875000</v>
      </c>
      <c r="E20" s="19"/>
      <c r="F20" s="1"/>
      <c r="G20" s="1"/>
      <c r="H20" s="1"/>
      <c r="I20" s="1"/>
      <c r="J20" s="1"/>
      <c r="K20" s="1"/>
    </row>
    <row r="21" spans="1:11" ht="15.75">
      <c r="A21" s="1"/>
      <c r="B21" s="63"/>
      <c r="C21" s="18"/>
      <c r="D21" s="99"/>
      <c r="E21" s="19"/>
      <c r="F21" s="1"/>
      <c r="G21" s="1"/>
      <c r="H21" s="1"/>
      <c r="I21" s="1"/>
      <c r="J21" s="1"/>
      <c r="K21" s="1"/>
    </row>
    <row r="22" spans="1:11" ht="15.75">
      <c r="A22" s="1"/>
      <c r="B22" s="63" t="s">
        <v>57</v>
      </c>
      <c r="C22" s="18" t="s">
        <v>137</v>
      </c>
      <c r="D22" s="41">
        <f>D12</f>
        <v>9000000</v>
      </c>
      <c r="E22" s="19"/>
      <c r="F22" s="1"/>
      <c r="G22" s="1"/>
      <c r="H22" s="1"/>
      <c r="I22" s="1"/>
      <c r="J22" s="1"/>
      <c r="K22" s="1"/>
    </row>
    <row r="23" spans="1:11" ht="15.75">
      <c r="A23" s="1"/>
      <c r="B23" s="63"/>
      <c r="C23" s="18" t="s">
        <v>138</v>
      </c>
      <c r="D23" s="41">
        <f>D11*(D20+D9)</f>
        <v>10162500</v>
      </c>
      <c r="E23" s="19"/>
      <c r="F23" s="1"/>
      <c r="G23" s="1"/>
      <c r="H23" s="1"/>
      <c r="I23" s="1"/>
      <c r="J23" s="1"/>
      <c r="K23" s="1"/>
    </row>
    <row r="24" spans="1:11" ht="15.75">
      <c r="A24" s="1"/>
      <c r="B24" s="63"/>
      <c r="C24" s="18"/>
      <c r="D24" s="99"/>
      <c r="E24" s="19"/>
      <c r="F24" s="1"/>
      <c r="G24" s="1"/>
      <c r="H24" s="1"/>
      <c r="I24" s="1"/>
      <c r="J24" s="1"/>
      <c r="K24" s="1"/>
    </row>
    <row r="25" spans="1:11" ht="15.75">
      <c r="A25" s="1"/>
      <c r="B25" s="63" t="s">
        <v>82</v>
      </c>
      <c r="C25" s="18" t="s">
        <v>139</v>
      </c>
      <c r="D25" s="41">
        <f>D20-D22</f>
        <v>2875000</v>
      </c>
      <c r="E25" s="19"/>
      <c r="F25" s="1"/>
      <c r="G25" s="1"/>
      <c r="H25" s="1"/>
      <c r="I25" s="1"/>
      <c r="J25" s="1"/>
      <c r="K25" s="1"/>
    </row>
    <row r="26" spans="1:11" ht="15.75">
      <c r="A26" s="1"/>
      <c r="B26" s="63"/>
      <c r="C26" s="18" t="s">
        <v>140</v>
      </c>
      <c r="D26" s="41">
        <f>D20-D23</f>
        <v>1712500</v>
      </c>
      <c r="E26" s="19"/>
      <c r="F26" s="1"/>
      <c r="G26" s="1"/>
      <c r="H26" s="1"/>
      <c r="I26" s="1"/>
      <c r="J26" s="1"/>
      <c r="K26" s="1"/>
    </row>
    <row r="27" spans="1:11" ht="15">
      <c r="A27" s="1"/>
      <c r="B27" s="63"/>
      <c r="C27" s="18"/>
      <c r="D27" s="27"/>
      <c r="E27" s="19"/>
      <c r="F27" s="1"/>
      <c r="G27" s="1"/>
      <c r="H27" s="1"/>
      <c r="I27" s="1"/>
      <c r="J27" s="1"/>
      <c r="K27" s="1"/>
    </row>
    <row r="28" spans="1:11" ht="15.75">
      <c r="A28" s="1"/>
      <c r="B28" s="63" t="s">
        <v>89</v>
      </c>
      <c r="C28" s="42" t="str">
        <f>IF(D26&gt;D25,"Aquire the company for stock.","Acquire the company for cash.")</f>
        <v>Acquire the company for cash.</v>
      </c>
      <c r="D28" s="27"/>
      <c r="E28" s="19"/>
      <c r="F28" s="1"/>
      <c r="G28" s="1"/>
      <c r="H28" s="1"/>
      <c r="I28" s="1"/>
      <c r="J28" s="1"/>
      <c r="K28" s="1"/>
    </row>
    <row r="29" spans="1:11" ht="15.75" thickBot="1">
      <c r="A29" s="1"/>
      <c r="B29" s="20"/>
      <c r="C29" s="21"/>
      <c r="D29" s="25"/>
      <c r="E29" s="22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5"/>
  <dimension ref="A1:L85"/>
  <sheetViews>
    <sheetView workbookViewId="0"/>
  </sheetViews>
  <sheetFormatPr defaultRowHeight="12.75"/>
  <cols>
    <col min="2" max="2" width="3.140625" customWidth="1"/>
    <col min="3" max="3" width="45.140625" bestFit="1" customWidth="1"/>
    <col min="4" max="4" width="19.85546875" customWidth="1"/>
    <col min="5" max="5" width="7.28515625" bestFit="1" customWidth="1"/>
    <col min="6" max="6" width="3.140625" customWidth="1"/>
    <col min="8" max="8" width="16.85546875" bestFit="1" customWidth="1"/>
  </cols>
  <sheetData>
    <row r="1" spans="1:12" ht="18">
      <c r="A1" s="1"/>
      <c r="B1" s="1"/>
      <c r="C1" s="54" t="s">
        <v>207</v>
      </c>
      <c r="D1" s="1"/>
      <c r="E1" s="1"/>
      <c r="F1" s="1"/>
      <c r="G1" s="1"/>
      <c r="H1" s="1"/>
      <c r="I1" s="1"/>
      <c r="J1" s="1"/>
      <c r="K1" s="1"/>
      <c r="L1" s="1"/>
    </row>
    <row r="2" spans="1:12" ht="15">
      <c r="A2" s="1"/>
      <c r="B2" s="1"/>
      <c r="C2" s="1" t="s">
        <v>141</v>
      </c>
      <c r="D2" s="1"/>
      <c r="E2" s="1"/>
      <c r="F2" s="1"/>
      <c r="G2" s="1"/>
      <c r="H2" s="1"/>
      <c r="I2" s="1"/>
      <c r="J2" s="1"/>
      <c r="K2" s="1"/>
      <c r="L2" s="1"/>
    </row>
    <row r="3" spans="1:12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  <c r="L4" s="1"/>
    </row>
    <row r="5" spans="1:12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">
      <c r="A6" s="1"/>
      <c r="B6" s="3"/>
      <c r="C6" s="4"/>
      <c r="D6" s="12"/>
      <c r="E6" s="12"/>
      <c r="F6" s="5"/>
      <c r="G6" s="1"/>
      <c r="H6" s="1"/>
      <c r="I6" s="1"/>
      <c r="J6" s="1"/>
      <c r="K6" s="1"/>
      <c r="L6" s="1"/>
    </row>
    <row r="7" spans="1:12" ht="15">
      <c r="A7" s="1"/>
      <c r="B7" s="6"/>
      <c r="C7" s="7" t="s">
        <v>142</v>
      </c>
      <c r="D7" s="101">
        <v>400000000</v>
      </c>
      <c r="E7" s="101"/>
      <c r="F7" s="8"/>
      <c r="G7" s="1"/>
      <c r="H7" s="1"/>
      <c r="I7" s="1"/>
      <c r="J7" s="1"/>
      <c r="K7" s="1"/>
      <c r="L7" s="1"/>
    </row>
    <row r="8" spans="1:12" ht="15">
      <c r="A8" s="1"/>
      <c r="B8" s="6"/>
      <c r="C8" s="7" t="s">
        <v>143</v>
      </c>
      <c r="D8" s="73">
        <v>30000000</v>
      </c>
      <c r="E8" s="73"/>
      <c r="F8" s="8"/>
      <c r="G8" s="1"/>
      <c r="H8" s="1"/>
      <c r="I8" s="1"/>
      <c r="J8" s="1"/>
      <c r="K8" s="1"/>
      <c r="L8" s="1"/>
    </row>
    <row r="9" spans="1:12" ht="15">
      <c r="A9" s="1"/>
      <c r="B9" s="6"/>
      <c r="C9" s="7" t="s">
        <v>144</v>
      </c>
      <c r="D9" s="101">
        <v>160000000</v>
      </c>
      <c r="E9" s="101"/>
      <c r="F9" s="8"/>
      <c r="G9" s="1"/>
      <c r="H9" s="139"/>
      <c r="I9" s="1"/>
      <c r="J9" s="1"/>
      <c r="K9" s="1"/>
      <c r="L9" s="1"/>
    </row>
    <row r="10" spans="1:12" ht="15">
      <c r="A10" s="1"/>
      <c r="B10" s="6"/>
      <c r="C10" s="7" t="s">
        <v>145</v>
      </c>
      <c r="D10" s="75">
        <v>18000000</v>
      </c>
      <c r="E10" s="75"/>
      <c r="F10" s="8"/>
      <c r="G10" s="1"/>
      <c r="H10" s="1"/>
      <c r="I10" s="1"/>
      <c r="J10" s="1"/>
      <c r="K10" s="1"/>
      <c r="L10" s="1"/>
    </row>
    <row r="11" spans="1:12" ht="15">
      <c r="A11" s="1"/>
      <c r="B11" s="6"/>
      <c r="C11" s="7" t="s">
        <v>146</v>
      </c>
      <c r="D11" s="100">
        <v>590000000</v>
      </c>
      <c r="E11" s="100"/>
      <c r="F11" s="8"/>
      <c r="G11" s="1"/>
      <c r="H11" s="1"/>
      <c r="I11" s="1"/>
      <c r="J11" s="1"/>
      <c r="K11" s="1"/>
      <c r="L11" s="1"/>
    </row>
    <row r="12" spans="1:12" ht="15">
      <c r="A12" s="1"/>
      <c r="B12" s="6"/>
      <c r="C12" s="7" t="s">
        <v>7</v>
      </c>
      <c r="D12" s="101">
        <v>15000000</v>
      </c>
      <c r="E12" s="101"/>
      <c r="F12" s="8"/>
      <c r="G12" s="1"/>
      <c r="H12" s="1"/>
      <c r="I12" s="1"/>
      <c r="J12" s="1"/>
      <c r="K12" s="1"/>
      <c r="L12" s="1"/>
    </row>
    <row r="13" spans="1:12" ht="15">
      <c r="A13" s="1"/>
      <c r="B13" s="6"/>
      <c r="C13" s="7"/>
      <c r="D13" s="101"/>
      <c r="E13" s="101"/>
      <c r="F13" s="8"/>
      <c r="G13" s="1"/>
      <c r="H13" s="1"/>
      <c r="I13" s="1"/>
      <c r="J13" s="1"/>
      <c r="K13" s="1"/>
      <c r="L13" s="1"/>
    </row>
    <row r="14" spans="1:12" ht="15">
      <c r="A14" s="1"/>
      <c r="B14" s="84" t="s">
        <v>55</v>
      </c>
      <c r="C14" s="7" t="s">
        <v>108</v>
      </c>
      <c r="D14" s="73">
        <v>12000000</v>
      </c>
      <c r="E14" s="73"/>
      <c r="F14" s="8"/>
      <c r="G14" s="1"/>
      <c r="H14" s="1"/>
      <c r="I14" s="1"/>
      <c r="J14" s="1"/>
      <c r="K14" s="1"/>
      <c r="L14" s="1"/>
    </row>
    <row r="15" spans="1:12" ht="15">
      <c r="A15" s="1"/>
      <c r="B15" s="84" t="s">
        <v>56</v>
      </c>
      <c r="C15" s="7" t="s">
        <v>36</v>
      </c>
      <c r="D15" s="138">
        <f>D9+D12</f>
        <v>175000000</v>
      </c>
      <c r="E15" s="101"/>
      <c r="F15" s="8"/>
      <c r="G15" s="1"/>
      <c r="H15" s="1"/>
      <c r="I15" s="1"/>
      <c r="J15" s="1"/>
      <c r="K15" s="1"/>
      <c r="L15" s="1"/>
    </row>
    <row r="16" spans="1:12" ht="15.75" thickBot="1">
      <c r="A16" s="1"/>
      <c r="B16" s="9"/>
      <c r="C16" s="10"/>
      <c r="D16" s="13"/>
      <c r="E16" s="13"/>
      <c r="F16" s="11"/>
      <c r="G16" s="1"/>
      <c r="H16" s="1"/>
      <c r="I16" s="1"/>
      <c r="J16" s="1"/>
      <c r="K16" s="1"/>
      <c r="L16" s="1"/>
    </row>
    <row r="17" spans="1:12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5">
      <c r="A18" s="1"/>
      <c r="B18" s="1"/>
      <c r="C18" s="2" t="s">
        <v>2</v>
      </c>
      <c r="D18" s="1"/>
      <c r="E18" s="1"/>
      <c r="F18" s="1"/>
      <c r="G18" s="1"/>
      <c r="H18" s="1"/>
      <c r="I18" s="1"/>
      <c r="J18" s="1"/>
      <c r="K18" s="1"/>
      <c r="L18" s="1"/>
    </row>
    <row r="19" spans="1:12" ht="15.75" thickBo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15">
      <c r="A20" s="1"/>
      <c r="B20" s="14"/>
      <c r="C20" s="15"/>
      <c r="D20" s="23"/>
      <c r="E20" s="23"/>
      <c r="F20" s="16"/>
      <c r="G20" s="1"/>
      <c r="H20" s="1"/>
      <c r="I20" s="1"/>
      <c r="J20" s="1"/>
      <c r="K20" s="1"/>
      <c r="L20" s="1"/>
    </row>
    <row r="21" spans="1:12" ht="15">
      <c r="A21" s="1"/>
      <c r="B21" s="63" t="s">
        <v>55</v>
      </c>
      <c r="C21" s="18" t="s">
        <v>147</v>
      </c>
      <c r="D21" s="92">
        <f>D8+D14</f>
        <v>42000000</v>
      </c>
      <c r="E21" s="92"/>
      <c r="F21" s="19"/>
      <c r="G21" s="1"/>
      <c r="H21" s="1"/>
      <c r="I21" s="1"/>
      <c r="J21" s="1"/>
      <c r="K21" s="1"/>
      <c r="L21" s="1"/>
    </row>
    <row r="22" spans="1:12" ht="15">
      <c r="A22" s="1"/>
      <c r="B22" s="63"/>
      <c r="C22" s="18"/>
      <c r="D22" s="24"/>
      <c r="E22" s="24"/>
      <c r="F22" s="19"/>
      <c r="G22" s="1"/>
      <c r="H22" s="1"/>
      <c r="I22" s="1"/>
      <c r="J22" s="1"/>
      <c r="K22" s="1"/>
      <c r="L22" s="1"/>
    </row>
    <row r="23" spans="1:12" ht="15.75">
      <c r="A23" s="1"/>
      <c r="B23" s="63"/>
      <c r="C23" s="18" t="s">
        <v>148</v>
      </c>
      <c r="D23" s="130">
        <f>D11/D21</f>
        <v>14.047619047619047</v>
      </c>
      <c r="E23" s="103"/>
      <c r="F23" s="19"/>
      <c r="G23" s="1"/>
      <c r="H23" s="1"/>
      <c r="I23" s="1"/>
      <c r="J23" s="1"/>
      <c r="K23" s="1"/>
      <c r="L23" s="1"/>
    </row>
    <row r="24" spans="1:12" ht="15.75">
      <c r="A24" s="1"/>
      <c r="B24" s="63"/>
      <c r="C24" s="18"/>
      <c r="D24" s="42"/>
      <c r="E24" s="42"/>
      <c r="F24" s="19"/>
      <c r="G24" s="1"/>
      <c r="H24" s="1"/>
      <c r="I24" s="1"/>
      <c r="J24" s="1"/>
      <c r="K24" s="1"/>
      <c r="L24" s="1"/>
    </row>
    <row r="25" spans="1:12" ht="15">
      <c r="A25" s="1"/>
      <c r="B25" s="63" t="s">
        <v>56</v>
      </c>
      <c r="C25" s="18" t="s">
        <v>151</v>
      </c>
      <c r="D25" s="96">
        <f>D15/D11</f>
        <v>0.29661016949152541</v>
      </c>
      <c r="E25" s="96"/>
      <c r="F25" s="19"/>
      <c r="G25" s="1"/>
      <c r="H25" s="1"/>
      <c r="I25" s="1"/>
      <c r="J25" s="1"/>
      <c r="K25" s="1"/>
      <c r="L25" s="1"/>
    </row>
    <row r="26" spans="1:12" ht="15.75">
      <c r="A26" s="1"/>
      <c r="B26" s="63"/>
      <c r="C26" s="18"/>
      <c r="D26" s="99"/>
      <c r="E26" s="99"/>
      <c r="F26" s="19"/>
      <c r="G26" s="1"/>
      <c r="H26" s="1"/>
      <c r="I26" s="1"/>
      <c r="J26" s="1"/>
      <c r="K26" s="1"/>
      <c r="L26" s="1"/>
    </row>
    <row r="27" spans="1:12" ht="15">
      <c r="A27" s="1"/>
      <c r="B27" s="63"/>
      <c r="C27" s="18" t="s">
        <v>149</v>
      </c>
      <c r="D27" s="92">
        <f>(D25*D8)/(1-D25)</f>
        <v>12650602.409638554</v>
      </c>
      <c r="E27" s="92"/>
      <c r="F27" s="19"/>
      <c r="G27" s="1"/>
      <c r="H27" s="1"/>
      <c r="I27" s="1"/>
      <c r="J27" s="1"/>
      <c r="K27" s="1"/>
      <c r="L27" s="1"/>
    </row>
    <row r="28" spans="1:12" ht="15.75">
      <c r="A28" s="1"/>
      <c r="B28" s="63"/>
      <c r="C28" s="18"/>
      <c r="D28" s="102"/>
      <c r="E28" s="102"/>
      <c r="F28" s="19"/>
      <c r="G28" s="1"/>
      <c r="H28" s="1"/>
      <c r="I28" s="1"/>
      <c r="J28" s="1"/>
      <c r="K28" s="1"/>
      <c r="L28" s="1"/>
    </row>
    <row r="29" spans="1:12" ht="15.75">
      <c r="A29" s="1"/>
      <c r="B29" s="63"/>
      <c r="C29" s="18" t="s">
        <v>150</v>
      </c>
      <c r="D29" s="104">
        <f>D27/D10</f>
        <v>0.70281124497991965</v>
      </c>
      <c r="E29" s="105" t="s">
        <v>152</v>
      </c>
      <c r="F29" s="19"/>
      <c r="G29" s="1"/>
      <c r="H29" s="1"/>
      <c r="I29" s="1"/>
      <c r="J29" s="1"/>
      <c r="K29" s="1"/>
      <c r="L29" s="1"/>
    </row>
    <row r="30" spans="1:12" ht="15.75" thickBot="1">
      <c r="A30" s="1"/>
      <c r="B30" s="20"/>
      <c r="C30" s="21"/>
      <c r="D30" s="25"/>
      <c r="E30" s="25"/>
      <c r="F30" s="22"/>
      <c r="G30" s="1"/>
      <c r="H30" s="1"/>
      <c r="I30" s="1"/>
      <c r="J30" s="1"/>
      <c r="K30" s="1"/>
      <c r="L30" s="1"/>
    </row>
    <row r="31" spans="1:12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7"/>
  <dimension ref="A1:L103"/>
  <sheetViews>
    <sheetView zoomScaleNormal="100" workbookViewId="0"/>
  </sheetViews>
  <sheetFormatPr defaultRowHeight="12.75"/>
  <cols>
    <col min="2" max="2" width="3.140625" customWidth="1"/>
    <col min="3" max="3" width="27.28515625" customWidth="1"/>
    <col min="4" max="4" width="18" customWidth="1"/>
    <col min="5" max="5" width="18.85546875" customWidth="1"/>
    <col min="6" max="6" width="17.28515625" customWidth="1"/>
    <col min="7" max="7" width="3.140625" customWidth="1"/>
    <col min="8" max="8" width="18.28515625" customWidth="1"/>
    <col min="9" max="9" width="3.140625" customWidth="1"/>
  </cols>
  <sheetData>
    <row r="1" spans="1:12" ht="18">
      <c r="A1" s="1"/>
      <c r="B1" s="1"/>
      <c r="C1" s="54" t="s">
        <v>207</v>
      </c>
      <c r="D1" s="54"/>
      <c r="E1" s="54"/>
      <c r="F1" s="1"/>
      <c r="G1" s="1"/>
      <c r="H1" s="1"/>
      <c r="I1" s="1"/>
      <c r="J1" s="1"/>
      <c r="K1" s="1"/>
      <c r="L1" s="1"/>
    </row>
    <row r="2" spans="1:12" ht="15">
      <c r="A2" s="1"/>
      <c r="B2" s="1"/>
      <c r="C2" s="1" t="s">
        <v>180</v>
      </c>
      <c r="D2" s="1"/>
      <c r="E2" s="1"/>
      <c r="F2" s="1"/>
      <c r="G2" s="1"/>
      <c r="H2" s="1"/>
      <c r="I2" s="1"/>
      <c r="J2" s="1"/>
      <c r="K2" s="1"/>
      <c r="L2" s="1"/>
    </row>
    <row r="3" spans="1:12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">
      <c r="A4" s="1"/>
      <c r="B4" s="1"/>
      <c r="C4" s="2" t="s">
        <v>1</v>
      </c>
      <c r="D4" s="2"/>
      <c r="E4" s="2"/>
      <c r="F4" s="1"/>
      <c r="G4" s="1"/>
      <c r="H4" s="1"/>
      <c r="I4" s="1"/>
      <c r="J4" s="1"/>
      <c r="K4" s="1"/>
      <c r="L4" s="1"/>
    </row>
    <row r="5" spans="1:12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">
      <c r="A6" s="1"/>
      <c r="B6" s="3"/>
      <c r="C6" s="4"/>
      <c r="D6" s="4"/>
      <c r="E6" s="4"/>
      <c r="F6" s="12"/>
      <c r="G6" s="5"/>
      <c r="H6" s="1"/>
      <c r="I6" s="1"/>
      <c r="J6" s="1"/>
      <c r="K6" s="1"/>
      <c r="L6" s="1"/>
    </row>
    <row r="7" spans="1:12" ht="15">
      <c r="A7" s="1"/>
      <c r="B7" s="6"/>
      <c r="C7" s="7"/>
      <c r="D7" s="122" t="s">
        <v>154</v>
      </c>
      <c r="E7" s="122" t="s">
        <v>181</v>
      </c>
      <c r="F7" s="123" t="s">
        <v>182</v>
      </c>
      <c r="G7" s="8"/>
      <c r="H7" s="1"/>
      <c r="I7" s="1"/>
      <c r="J7" s="1"/>
      <c r="K7" s="1"/>
      <c r="L7" s="1"/>
    </row>
    <row r="8" spans="1:12" ht="15">
      <c r="A8" s="1"/>
      <c r="B8" s="6"/>
      <c r="C8" s="7" t="s">
        <v>183</v>
      </c>
      <c r="D8" s="120">
        <v>0.7</v>
      </c>
      <c r="E8" s="119">
        <v>290000</v>
      </c>
      <c r="F8" s="26">
        <v>260000</v>
      </c>
      <c r="G8" s="8"/>
      <c r="H8" s="1"/>
      <c r="I8" s="1"/>
      <c r="J8" s="1"/>
      <c r="K8" s="1"/>
      <c r="L8" s="1"/>
    </row>
    <row r="9" spans="1:12" ht="15">
      <c r="A9" s="1"/>
      <c r="B9" s="6"/>
      <c r="C9" s="7" t="s">
        <v>184</v>
      </c>
      <c r="D9" s="121">
        <v>0.3</v>
      </c>
      <c r="E9" s="74">
        <v>110000</v>
      </c>
      <c r="F9" s="26">
        <v>80000</v>
      </c>
      <c r="G9" s="8"/>
      <c r="H9" s="1"/>
      <c r="I9" s="1"/>
      <c r="J9" s="1"/>
      <c r="K9" s="1"/>
      <c r="L9" s="1"/>
    </row>
    <row r="10" spans="1:12" ht="15">
      <c r="A10" s="1"/>
      <c r="B10" s="6"/>
      <c r="C10" s="7"/>
      <c r="D10" s="7"/>
      <c r="E10" s="74"/>
      <c r="F10" s="70"/>
      <c r="G10" s="8"/>
      <c r="H10" s="1"/>
      <c r="I10" s="1"/>
      <c r="J10" s="1"/>
      <c r="K10" s="1"/>
      <c r="L10" s="1"/>
    </row>
    <row r="11" spans="1:12" ht="15">
      <c r="A11" s="1"/>
      <c r="B11" s="6"/>
      <c r="C11" s="7" t="s">
        <v>185</v>
      </c>
      <c r="D11" s="7"/>
      <c r="E11" s="26">
        <v>125000</v>
      </c>
      <c r="F11" s="75"/>
      <c r="G11" s="8"/>
      <c r="H11" s="1"/>
      <c r="I11" s="1"/>
      <c r="J11" s="1"/>
      <c r="K11" s="1"/>
      <c r="L11" s="1"/>
    </row>
    <row r="12" spans="1:12" ht="15.75" thickBot="1">
      <c r="A12" s="1"/>
      <c r="B12" s="9"/>
      <c r="C12" s="10"/>
      <c r="D12" s="10"/>
      <c r="E12" s="10"/>
      <c r="F12" s="13"/>
      <c r="G12" s="11"/>
      <c r="H12" s="1"/>
      <c r="I12" s="1"/>
      <c r="J12" s="1"/>
      <c r="K12" s="1"/>
      <c r="L12" s="1"/>
    </row>
    <row r="13" spans="1:12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5">
      <c r="A14" s="1"/>
      <c r="B14" s="1"/>
      <c r="C14" s="2" t="s">
        <v>2</v>
      </c>
      <c r="D14" s="2"/>
      <c r="E14" s="2"/>
      <c r="F14" s="1"/>
      <c r="G14" s="1"/>
      <c r="H14" s="1"/>
      <c r="I14" s="1"/>
      <c r="J14" s="1"/>
      <c r="K14" s="1"/>
      <c r="L14" s="1"/>
    </row>
    <row r="15" spans="1:12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5">
      <c r="A16" s="1"/>
      <c r="B16" s="14"/>
      <c r="C16" s="15"/>
      <c r="D16" s="15"/>
      <c r="E16" s="15"/>
      <c r="F16" s="15"/>
      <c r="G16" s="15"/>
      <c r="H16" s="15"/>
      <c r="I16" s="16"/>
      <c r="J16" s="1"/>
      <c r="K16" s="1"/>
      <c r="L16" s="1"/>
    </row>
    <row r="17" spans="1:12" ht="15.75">
      <c r="A17" s="1"/>
      <c r="B17" s="63" t="s">
        <v>55</v>
      </c>
      <c r="C17" s="18" t="s">
        <v>186</v>
      </c>
      <c r="D17" s="125">
        <f>(D8*E8)+(D9*E9)</f>
        <v>236000</v>
      </c>
      <c r="E17" s="124"/>
      <c r="F17" s="107"/>
      <c r="G17" s="18"/>
      <c r="H17" s="18"/>
      <c r="I17" s="19"/>
      <c r="J17" s="1"/>
      <c r="K17" s="1"/>
      <c r="L17" s="1"/>
    </row>
    <row r="18" spans="1:12" ht="15.75">
      <c r="A18" s="1"/>
      <c r="B18" s="17"/>
      <c r="C18" s="18" t="s">
        <v>187</v>
      </c>
      <c r="D18" s="125">
        <f>(D8*F8)+(D9*F9)</f>
        <v>206000</v>
      </c>
      <c r="E18" s="109"/>
      <c r="F18" s="109"/>
      <c r="G18" s="18"/>
      <c r="H18" s="18"/>
      <c r="I18" s="19"/>
      <c r="J18" s="1"/>
      <c r="K18" s="1"/>
      <c r="L18" s="1"/>
    </row>
    <row r="19" spans="1:12" ht="15">
      <c r="A19" s="1"/>
      <c r="B19" s="17"/>
      <c r="C19" s="18"/>
      <c r="D19" s="18"/>
      <c r="E19" s="109"/>
      <c r="F19" s="109"/>
      <c r="G19" s="18"/>
      <c r="H19" s="18"/>
      <c r="I19" s="19"/>
      <c r="J19" s="1"/>
      <c r="K19" s="1"/>
      <c r="L19" s="1"/>
    </row>
    <row r="20" spans="1:12" ht="15">
      <c r="A20" s="1"/>
      <c r="B20" s="63" t="s">
        <v>56</v>
      </c>
      <c r="C20" s="31" t="s">
        <v>188</v>
      </c>
      <c r="D20" s="18"/>
      <c r="E20" s="106"/>
      <c r="F20" s="106"/>
      <c r="G20" s="18"/>
      <c r="H20" s="18"/>
      <c r="I20" s="19"/>
      <c r="J20" s="1"/>
      <c r="K20" s="1"/>
      <c r="L20" s="1"/>
    </row>
    <row r="21" spans="1:12" ht="15">
      <c r="A21" s="1"/>
      <c r="B21" s="63"/>
      <c r="C21" s="18"/>
      <c r="D21" s="127" t="s">
        <v>190</v>
      </c>
      <c r="E21" s="128" t="s">
        <v>191</v>
      </c>
      <c r="F21" s="114" t="s">
        <v>174</v>
      </c>
      <c r="G21" s="18"/>
      <c r="H21" s="18"/>
      <c r="I21" s="19"/>
      <c r="J21" s="1"/>
      <c r="K21" s="1"/>
      <c r="L21" s="1"/>
    </row>
    <row r="22" spans="1:12" ht="15">
      <c r="A22" s="1"/>
      <c r="B22" s="63"/>
      <c r="C22" s="18" t="s">
        <v>189</v>
      </c>
      <c r="D22" s="109">
        <f>D8</f>
        <v>0.7</v>
      </c>
      <c r="E22" s="115">
        <f>MAX(E8-$E$11,0)</f>
        <v>165000</v>
      </c>
      <c r="F22" s="115">
        <f>IF(E8&gt;E11,E11,E8)</f>
        <v>125000</v>
      </c>
      <c r="G22" s="18"/>
      <c r="H22" s="18"/>
      <c r="I22" s="19"/>
      <c r="J22" s="1"/>
      <c r="K22" s="1"/>
      <c r="L22" s="1"/>
    </row>
    <row r="23" spans="1:12" ht="15">
      <c r="A23" s="1"/>
      <c r="B23" s="63"/>
      <c r="C23" s="18" t="s">
        <v>184</v>
      </c>
      <c r="D23" s="109">
        <f>D9</f>
        <v>0.3</v>
      </c>
      <c r="E23" s="115">
        <f>MAX(E9-$E$11,0)</f>
        <v>0</v>
      </c>
      <c r="F23" s="115">
        <f>IF(E9&gt;E11,E11,E9)</f>
        <v>110000</v>
      </c>
      <c r="G23" s="18"/>
      <c r="H23" s="18"/>
      <c r="I23" s="19"/>
      <c r="J23" s="1"/>
      <c r="K23" s="1"/>
      <c r="L23" s="1"/>
    </row>
    <row r="24" spans="1:12" ht="15">
      <c r="A24" s="1"/>
      <c r="B24" s="63"/>
      <c r="C24" s="18"/>
      <c r="D24" s="18"/>
      <c r="E24" s="109"/>
      <c r="F24" s="109"/>
      <c r="G24" s="18"/>
      <c r="H24" s="18"/>
      <c r="I24" s="19"/>
      <c r="J24" s="1"/>
      <c r="K24" s="1"/>
      <c r="L24" s="1"/>
    </row>
    <row r="25" spans="1:12" ht="15.75">
      <c r="A25" s="1"/>
      <c r="B25" s="63"/>
      <c r="C25" s="18" t="s">
        <v>192</v>
      </c>
      <c r="D25" s="125">
        <f>(D22*E22)+(D23*E23)</f>
        <v>115499.99999999999</v>
      </c>
      <c r="E25" s="106"/>
      <c r="F25" s="106"/>
      <c r="G25" s="18"/>
      <c r="H25" s="18"/>
      <c r="I25" s="19"/>
      <c r="J25" s="1"/>
      <c r="K25" s="1"/>
      <c r="L25" s="1"/>
    </row>
    <row r="26" spans="1:12" ht="15.75">
      <c r="A26" s="1"/>
      <c r="B26" s="63"/>
      <c r="C26" s="18" t="s">
        <v>193</v>
      </c>
      <c r="D26" s="125">
        <f>(D22*F22)+(D23*F23)</f>
        <v>120500</v>
      </c>
      <c r="E26" s="106"/>
      <c r="F26" s="106"/>
      <c r="G26" s="18"/>
      <c r="H26" s="18"/>
      <c r="I26" s="19"/>
      <c r="J26" s="1"/>
      <c r="K26" s="1"/>
      <c r="L26" s="1"/>
    </row>
    <row r="27" spans="1:12" ht="15">
      <c r="A27" s="1"/>
      <c r="B27" s="63"/>
      <c r="C27" s="18"/>
      <c r="D27" s="18"/>
      <c r="E27" s="106"/>
      <c r="F27" s="106"/>
      <c r="G27" s="18"/>
      <c r="H27" s="18"/>
      <c r="I27" s="19"/>
      <c r="J27" s="1"/>
      <c r="K27" s="1"/>
      <c r="L27" s="1"/>
    </row>
    <row r="28" spans="1:12" ht="15.75">
      <c r="A28" s="1"/>
      <c r="B28" s="63"/>
      <c r="C28" s="18" t="s">
        <v>194</v>
      </c>
      <c r="D28" s="125">
        <f>D18</f>
        <v>206000</v>
      </c>
      <c r="E28" s="106"/>
      <c r="F28" s="106"/>
      <c r="G28" s="18"/>
      <c r="H28" s="18"/>
      <c r="I28" s="19"/>
      <c r="J28" s="1"/>
      <c r="K28" s="1"/>
      <c r="L28" s="1"/>
    </row>
    <row r="29" spans="1:12" ht="15.75">
      <c r="A29" s="1"/>
      <c r="B29" s="63"/>
      <c r="C29" s="18"/>
      <c r="D29" s="129"/>
      <c r="E29" s="106"/>
      <c r="F29" s="106"/>
      <c r="G29" s="18"/>
      <c r="H29" s="18"/>
      <c r="I29" s="19"/>
      <c r="J29" s="1"/>
      <c r="K29" s="1"/>
      <c r="L29" s="1"/>
    </row>
    <row r="30" spans="1:12" ht="15.75">
      <c r="A30" s="1"/>
      <c r="B30" s="63" t="s">
        <v>57</v>
      </c>
      <c r="C30" s="18" t="s">
        <v>199</v>
      </c>
      <c r="D30" s="129"/>
      <c r="E30" s="118">
        <f>D17+D18</f>
        <v>442000</v>
      </c>
      <c r="F30" s="106"/>
      <c r="G30" s="18"/>
      <c r="H30" s="18"/>
      <c r="I30" s="19"/>
      <c r="J30" s="1"/>
      <c r="K30" s="1"/>
      <c r="L30" s="1"/>
    </row>
    <row r="31" spans="1:12" ht="15.75">
      <c r="A31" s="1"/>
      <c r="B31" s="63"/>
      <c r="C31" s="18" t="s">
        <v>200</v>
      </c>
      <c r="D31" s="129"/>
      <c r="E31" s="118">
        <f>D25+D28</f>
        <v>321500</v>
      </c>
      <c r="F31" s="106"/>
      <c r="G31" s="18"/>
      <c r="H31" s="18"/>
      <c r="I31" s="19"/>
      <c r="J31" s="1"/>
      <c r="K31" s="1"/>
      <c r="L31" s="1"/>
    </row>
    <row r="32" spans="1:12" ht="15.75">
      <c r="A32" s="1"/>
      <c r="B32" s="63"/>
      <c r="C32" s="18" t="s">
        <v>201</v>
      </c>
      <c r="D32" s="129"/>
      <c r="E32" s="118">
        <f>D26</f>
        <v>120500</v>
      </c>
      <c r="F32" s="106"/>
      <c r="G32" s="18"/>
      <c r="H32" s="18"/>
      <c r="I32" s="19"/>
      <c r="J32" s="1"/>
      <c r="K32" s="1"/>
      <c r="L32" s="1"/>
    </row>
    <row r="33" spans="1:12" ht="15.75">
      <c r="A33" s="1"/>
      <c r="B33" s="63"/>
      <c r="C33" s="18"/>
      <c r="D33" s="129"/>
      <c r="E33" s="106"/>
      <c r="F33" s="106"/>
      <c r="G33" s="18"/>
      <c r="H33" s="18"/>
      <c r="I33" s="19"/>
      <c r="J33" s="1"/>
      <c r="K33" s="1"/>
      <c r="L33" s="1"/>
    </row>
    <row r="34" spans="1:12" ht="15">
      <c r="A34" s="1"/>
      <c r="B34" s="63"/>
      <c r="C34" s="18"/>
      <c r="D34" s="18"/>
      <c r="E34" s="126"/>
      <c r="F34" s="106"/>
      <c r="G34" s="18"/>
      <c r="H34" s="18"/>
      <c r="I34" s="19"/>
      <c r="J34" s="1"/>
      <c r="K34" s="1"/>
      <c r="L34" s="1"/>
    </row>
    <row r="35" spans="1:12" ht="15">
      <c r="A35" s="1"/>
      <c r="B35" s="63" t="s">
        <v>82</v>
      </c>
      <c r="C35" s="18"/>
      <c r="D35" s="127" t="s">
        <v>190</v>
      </c>
      <c r="E35" s="128" t="s">
        <v>195</v>
      </c>
      <c r="F35" s="114" t="s">
        <v>174</v>
      </c>
      <c r="G35" s="108"/>
      <c r="H35" s="108" t="s">
        <v>191</v>
      </c>
      <c r="I35" s="19"/>
      <c r="J35" s="1"/>
      <c r="K35" s="1"/>
      <c r="L35" s="1"/>
    </row>
    <row r="36" spans="1:12" ht="15">
      <c r="A36" s="1"/>
      <c r="B36" s="63"/>
      <c r="C36" s="18" t="s">
        <v>189</v>
      </c>
      <c r="D36" s="109">
        <f>D8</f>
        <v>0.7</v>
      </c>
      <c r="E36" s="115">
        <f>E8+F8</f>
        <v>550000</v>
      </c>
      <c r="F36" s="115">
        <f>IF(E36&gt;E11,E11,E36)</f>
        <v>125000</v>
      </c>
      <c r="G36" s="18"/>
      <c r="H36" s="117">
        <f>E36-F36</f>
        <v>425000</v>
      </c>
      <c r="I36" s="19"/>
      <c r="J36" s="1"/>
      <c r="K36" s="1"/>
      <c r="L36" s="1"/>
    </row>
    <row r="37" spans="1:12" ht="15">
      <c r="A37" s="1"/>
      <c r="B37" s="63"/>
      <c r="C37" s="18" t="s">
        <v>184</v>
      </c>
      <c r="D37" s="109">
        <f>D9</f>
        <v>0.3</v>
      </c>
      <c r="E37" s="115">
        <f>E9+F9</f>
        <v>190000</v>
      </c>
      <c r="F37" s="115">
        <f>IF(E37&gt;E11,E11,E37)</f>
        <v>125000</v>
      </c>
      <c r="G37" s="18"/>
      <c r="H37" s="117">
        <f>E37-F37</f>
        <v>65000</v>
      </c>
      <c r="I37" s="19"/>
      <c r="J37" s="1"/>
      <c r="K37" s="1"/>
      <c r="L37" s="1"/>
    </row>
    <row r="38" spans="1:12" ht="15">
      <c r="A38" s="1"/>
      <c r="B38" s="63"/>
      <c r="C38" s="18"/>
      <c r="D38" s="18"/>
      <c r="E38" s="106"/>
      <c r="F38" s="106"/>
      <c r="G38" s="18"/>
      <c r="H38" s="18"/>
      <c r="I38" s="19"/>
      <c r="J38" s="1"/>
      <c r="K38" s="1"/>
      <c r="L38" s="1"/>
    </row>
    <row r="39" spans="1:12" ht="15.75">
      <c r="A39" s="1"/>
      <c r="B39" s="63"/>
      <c r="C39" s="18" t="s">
        <v>198</v>
      </c>
      <c r="D39" s="18"/>
      <c r="E39" s="33">
        <f>(D36*E36)+(D37*E37)</f>
        <v>442000</v>
      </c>
      <c r="F39" s="106"/>
      <c r="G39" s="18"/>
      <c r="H39" s="18"/>
      <c r="I39" s="19"/>
      <c r="J39" s="1"/>
      <c r="K39" s="1"/>
      <c r="L39" s="1"/>
    </row>
    <row r="40" spans="1:12" ht="15.75">
      <c r="A40" s="1"/>
      <c r="B40" s="63"/>
      <c r="C40" s="18" t="s">
        <v>197</v>
      </c>
      <c r="D40" s="18"/>
      <c r="E40" s="33">
        <f>(D36*H36)+(D37*H37)</f>
        <v>317000</v>
      </c>
      <c r="F40" s="106"/>
      <c r="G40" s="18"/>
      <c r="H40" s="18"/>
      <c r="I40" s="19"/>
      <c r="J40" s="1"/>
      <c r="K40" s="1"/>
      <c r="L40" s="1"/>
    </row>
    <row r="41" spans="1:12" ht="15.75">
      <c r="A41" s="1"/>
      <c r="B41" s="63"/>
      <c r="C41" s="18" t="s">
        <v>196</v>
      </c>
      <c r="D41" s="18"/>
      <c r="E41" s="33">
        <f>(D36*F36)+(D37*F37)</f>
        <v>125000</v>
      </c>
      <c r="F41" s="106"/>
      <c r="G41" s="18"/>
      <c r="H41" s="18"/>
      <c r="I41" s="19"/>
      <c r="J41" s="1"/>
      <c r="K41" s="1"/>
      <c r="L41" s="1"/>
    </row>
    <row r="42" spans="1:12" ht="15.75">
      <c r="A42" s="1"/>
      <c r="B42" s="63"/>
      <c r="C42" s="18"/>
      <c r="D42" s="18"/>
      <c r="E42" s="58"/>
      <c r="F42" s="106"/>
      <c r="G42" s="18"/>
      <c r="H42" s="18"/>
      <c r="I42" s="19"/>
      <c r="J42" s="1"/>
      <c r="K42" s="1"/>
      <c r="L42" s="1"/>
    </row>
    <row r="43" spans="1:12" ht="15.75">
      <c r="A43" s="1"/>
      <c r="B43" s="63" t="s">
        <v>89</v>
      </c>
      <c r="C43" s="18" t="s">
        <v>204</v>
      </c>
      <c r="D43" s="18"/>
      <c r="E43" s="33">
        <f>E40-E31</f>
        <v>-4500</v>
      </c>
      <c r="F43" s="106"/>
      <c r="G43" s="18"/>
      <c r="H43" s="18"/>
      <c r="I43" s="19"/>
      <c r="J43" s="1"/>
      <c r="K43" s="1"/>
      <c r="L43" s="1"/>
    </row>
    <row r="44" spans="1:12" ht="15.75">
      <c r="A44" s="1"/>
      <c r="B44" s="63"/>
      <c r="C44" s="18" t="s">
        <v>205</v>
      </c>
      <c r="D44" s="18"/>
      <c r="E44" s="33">
        <f>E41-E32</f>
        <v>4500</v>
      </c>
      <c r="F44" s="106"/>
      <c r="G44" s="18"/>
      <c r="H44" s="18"/>
      <c r="I44" s="19"/>
      <c r="J44" s="1"/>
      <c r="K44" s="1"/>
      <c r="L44" s="1"/>
    </row>
    <row r="45" spans="1:12" ht="15">
      <c r="A45" s="1"/>
      <c r="B45" s="63"/>
      <c r="C45" s="18"/>
      <c r="D45" s="18"/>
      <c r="E45" s="106"/>
      <c r="F45" s="106"/>
      <c r="G45" s="18"/>
      <c r="H45" s="18"/>
      <c r="I45" s="19"/>
      <c r="J45" s="1"/>
      <c r="K45" s="1"/>
      <c r="L45" s="1"/>
    </row>
    <row r="46" spans="1:12" ht="15">
      <c r="A46" s="1"/>
      <c r="B46" s="63" t="s">
        <v>206</v>
      </c>
      <c r="C46" s="18" t="s">
        <v>203</v>
      </c>
      <c r="D46" s="18"/>
      <c r="E46" s="106"/>
      <c r="F46" s="106"/>
      <c r="G46" s="18"/>
      <c r="H46" s="18"/>
      <c r="I46" s="19"/>
      <c r="J46" s="1"/>
      <c r="K46" s="1"/>
      <c r="L46" s="1"/>
    </row>
    <row r="47" spans="1:12" ht="15">
      <c r="A47" s="1"/>
      <c r="B47" s="63"/>
      <c r="C47" s="18" t="s">
        <v>202</v>
      </c>
      <c r="D47" s="18"/>
      <c r="E47" s="126"/>
      <c r="F47" s="106"/>
      <c r="G47" s="18"/>
      <c r="H47" s="18"/>
      <c r="I47" s="19"/>
      <c r="J47" s="1"/>
      <c r="K47" s="1"/>
      <c r="L47" s="1"/>
    </row>
    <row r="48" spans="1:12" ht="15.75" thickBot="1">
      <c r="A48" s="1"/>
      <c r="B48" s="20"/>
      <c r="C48" s="21"/>
      <c r="D48" s="21"/>
      <c r="E48" s="21"/>
      <c r="F48" s="21"/>
      <c r="G48" s="21"/>
      <c r="H48" s="21"/>
      <c r="I48" s="22"/>
      <c r="J48" s="1"/>
      <c r="K48" s="1"/>
      <c r="L48" s="1"/>
    </row>
    <row r="49" spans="1:12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</sheetData>
  <phoneticPr fontId="0" type="noConversion"/>
  <pageMargins left="0.75" right="0.75" top="1" bottom="1" header="0.5" footer="0.5"/>
  <pageSetup scale="76" orientation="portrait" horizontalDpi="360" verticalDpi="36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2"/>
  <dimension ref="A1:M105"/>
  <sheetViews>
    <sheetView zoomScaleNormal="100" workbookViewId="0"/>
  </sheetViews>
  <sheetFormatPr defaultRowHeight="12.75"/>
  <cols>
    <col min="2" max="2" width="3.140625" customWidth="1"/>
    <col min="3" max="3" width="26.42578125" bestFit="1" customWidth="1"/>
    <col min="4" max="4" width="21.140625" bestFit="1" customWidth="1"/>
    <col min="5" max="5" width="4.5703125" customWidth="1"/>
    <col min="6" max="6" width="16.7109375" customWidth="1"/>
    <col min="7" max="7" width="3.140625" customWidth="1"/>
  </cols>
  <sheetData>
    <row r="1" spans="1:13" ht="18">
      <c r="A1" s="1"/>
      <c r="B1" s="1"/>
      <c r="C1" s="54" t="s">
        <v>207</v>
      </c>
      <c r="D1" s="54"/>
      <c r="E1" s="54"/>
      <c r="F1" s="1"/>
      <c r="G1" s="1"/>
      <c r="H1" s="1"/>
      <c r="I1" s="1"/>
      <c r="J1" s="1"/>
      <c r="K1" s="1"/>
      <c r="L1" s="1"/>
      <c r="M1" s="1"/>
    </row>
    <row r="2" spans="1:13" ht="15">
      <c r="A2" s="1"/>
      <c r="B2" s="1"/>
      <c r="C2" s="1" t="s">
        <v>123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>
      <c r="A4" s="1"/>
      <c r="B4" s="1"/>
      <c r="C4" s="2" t="s">
        <v>1</v>
      </c>
      <c r="D4" s="2"/>
      <c r="E4" s="2"/>
      <c r="F4" s="1"/>
      <c r="G4" s="1"/>
      <c r="H4" s="1"/>
      <c r="I4" s="1"/>
      <c r="J4" s="1"/>
      <c r="K4" s="1"/>
      <c r="L4" s="1"/>
      <c r="M4" s="1"/>
    </row>
    <row r="5" spans="1:13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5">
      <c r="A6" s="1"/>
      <c r="B6" s="3"/>
      <c r="C6" s="4"/>
      <c r="D6" s="4"/>
      <c r="E6" s="4"/>
      <c r="F6" s="12"/>
      <c r="G6" s="5"/>
      <c r="H6" s="1"/>
      <c r="I6" s="1"/>
      <c r="J6" s="1"/>
      <c r="K6" s="1"/>
      <c r="L6" s="1"/>
      <c r="M6" s="1"/>
    </row>
    <row r="7" spans="1:13" ht="15">
      <c r="A7" s="1"/>
      <c r="B7" s="6"/>
      <c r="C7" s="7"/>
      <c r="D7" s="66" t="s">
        <v>124</v>
      </c>
      <c r="E7" s="66"/>
      <c r="F7" s="67" t="s">
        <v>126</v>
      </c>
      <c r="G7" s="8"/>
      <c r="H7" s="1"/>
      <c r="I7" s="1"/>
      <c r="J7" s="1"/>
      <c r="K7" s="1"/>
      <c r="L7" s="1"/>
      <c r="M7" s="1"/>
    </row>
    <row r="8" spans="1:13" ht="15">
      <c r="A8" s="1"/>
      <c r="B8" s="6"/>
      <c r="C8" s="7" t="s">
        <v>67</v>
      </c>
      <c r="D8" s="71">
        <v>14.5</v>
      </c>
      <c r="E8" s="71"/>
      <c r="F8" s="68">
        <v>10</v>
      </c>
      <c r="G8" s="8"/>
      <c r="H8" s="1"/>
      <c r="I8" s="1"/>
      <c r="J8" s="1"/>
      <c r="K8" s="1"/>
      <c r="L8" s="1"/>
      <c r="M8" s="1"/>
    </row>
    <row r="9" spans="1:13" ht="15">
      <c r="A9" s="1"/>
      <c r="B9" s="6"/>
      <c r="C9" s="7" t="s">
        <v>11</v>
      </c>
      <c r="D9" s="72">
        <v>1500000</v>
      </c>
      <c r="E9" s="72"/>
      <c r="F9" s="73">
        <v>750000</v>
      </c>
      <c r="G9" s="8"/>
      <c r="H9" s="1"/>
      <c r="I9" s="1"/>
      <c r="J9" s="1"/>
      <c r="K9" s="1"/>
      <c r="L9" s="1"/>
      <c r="M9" s="1"/>
    </row>
    <row r="10" spans="1:13" ht="15">
      <c r="A10" s="1"/>
      <c r="B10" s="6"/>
      <c r="C10" s="7" t="s">
        <v>68</v>
      </c>
      <c r="D10" s="74">
        <v>4200000</v>
      </c>
      <c r="E10" s="74"/>
      <c r="F10" s="70">
        <v>960000</v>
      </c>
      <c r="G10" s="8"/>
      <c r="H10" s="1"/>
      <c r="I10" s="1"/>
      <c r="J10" s="1"/>
      <c r="K10" s="1"/>
      <c r="L10" s="1"/>
      <c r="M10" s="1"/>
    </row>
    <row r="11" spans="1:13" ht="15">
      <c r="A11" s="1"/>
      <c r="B11" s="6"/>
      <c r="C11" s="7" t="s">
        <v>117</v>
      </c>
      <c r="D11" s="74">
        <v>1050000</v>
      </c>
      <c r="E11" s="74"/>
      <c r="F11" s="70">
        <v>470000</v>
      </c>
      <c r="G11" s="8"/>
      <c r="H11" s="1"/>
      <c r="I11" s="1"/>
      <c r="J11" s="1"/>
      <c r="K11" s="1"/>
      <c r="L11" s="1"/>
      <c r="M11" s="1"/>
    </row>
    <row r="12" spans="1:13" ht="15">
      <c r="A12" s="1"/>
      <c r="B12" s="6"/>
      <c r="C12" s="7"/>
      <c r="D12" s="74"/>
      <c r="E12" s="74"/>
      <c r="F12" s="70"/>
      <c r="G12" s="8"/>
      <c r="H12" s="1"/>
      <c r="I12" s="1"/>
      <c r="J12" s="1"/>
      <c r="K12" s="1"/>
      <c r="L12" s="1"/>
      <c r="M12" s="1"/>
    </row>
    <row r="13" spans="1:13" ht="15">
      <c r="A13" s="1"/>
      <c r="B13" s="6"/>
      <c r="C13" s="7" t="s">
        <v>106</v>
      </c>
      <c r="D13" s="40">
        <v>0.04</v>
      </c>
      <c r="E13" s="69"/>
      <c r="F13" s="75"/>
      <c r="G13" s="8"/>
      <c r="H13" s="1"/>
      <c r="I13" s="1"/>
      <c r="J13" s="1"/>
      <c r="K13" s="1"/>
      <c r="L13" s="1"/>
      <c r="M13" s="1"/>
    </row>
    <row r="14" spans="1:13" ht="15">
      <c r="A14" s="1"/>
      <c r="B14" s="6"/>
      <c r="C14" s="7" t="s">
        <v>107</v>
      </c>
      <c r="D14" s="40">
        <v>0.06</v>
      </c>
      <c r="E14" s="69"/>
      <c r="F14" s="75"/>
      <c r="G14" s="8"/>
      <c r="H14" s="1"/>
      <c r="I14" s="1"/>
      <c r="J14" s="1"/>
      <c r="K14" s="1"/>
      <c r="L14" s="1"/>
      <c r="M14" s="1"/>
    </row>
    <row r="15" spans="1:13" ht="15">
      <c r="A15" s="1"/>
      <c r="B15" s="84" t="s">
        <v>57</v>
      </c>
      <c r="C15" s="7" t="s">
        <v>36</v>
      </c>
      <c r="D15" s="83">
        <v>20</v>
      </c>
      <c r="E15" s="69"/>
      <c r="F15" s="75"/>
      <c r="G15" s="8"/>
      <c r="H15" s="1"/>
      <c r="I15" s="1"/>
      <c r="J15" s="1"/>
      <c r="K15" s="1"/>
      <c r="L15" s="1"/>
      <c r="M15" s="1"/>
    </row>
    <row r="16" spans="1:13" ht="15">
      <c r="A16" s="1"/>
      <c r="B16" s="84" t="s">
        <v>89</v>
      </c>
      <c r="C16" s="7" t="s">
        <v>108</v>
      </c>
      <c r="D16" s="73">
        <v>225000</v>
      </c>
      <c r="E16" s="69"/>
      <c r="F16" s="75"/>
      <c r="G16" s="8"/>
      <c r="H16" s="1"/>
      <c r="I16" s="1"/>
      <c r="J16" s="1"/>
      <c r="K16" s="1"/>
      <c r="L16" s="1"/>
      <c r="M16" s="1"/>
    </row>
    <row r="17" spans="1:13" ht="15">
      <c r="A17" s="1"/>
      <c r="B17" s="84" t="s">
        <v>109</v>
      </c>
      <c r="C17" s="7" t="s">
        <v>110</v>
      </c>
      <c r="D17" s="40">
        <v>0.05</v>
      </c>
      <c r="E17" s="69"/>
      <c r="F17" s="75"/>
      <c r="G17" s="8"/>
      <c r="H17" s="1"/>
      <c r="I17" s="1"/>
      <c r="J17" s="1"/>
      <c r="K17" s="1"/>
      <c r="L17" s="1"/>
      <c r="M17" s="1"/>
    </row>
    <row r="18" spans="1:13" ht="15.75" thickBot="1">
      <c r="A18" s="1"/>
      <c r="B18" s="9"/>
      <c r="C18" s="10"/>
      <c r="D18" s="10"/>
      <c r="E18" s="10"/>
      <c r="F18" s="13"/>
      <c r="G18" s="11"/>
      <c r="H18" s="1"/>
      <c r="I18" s="1"/>
      <c r="J18" s="1"/>
      <c r="K18" s="1"/>
      <c r="L18" s="1"/>
      <c r="M18" s="1"/>
    </row>
    <row r="19" spans="1:13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">
      <c r="A20" s="1"/>
      <c r="B20" s="1"/>
      <c r="C20" s="2" t="s">
        <v>2</v>
      </c>
      <c r="D20" s="2"/>
      <c r="E20" s="2"/>
      <c r="F20" s="1"/>
      <c r="G20" s="1"/>
      <c r="H20" s="1"/>
      <c r="I20" s="1"/>
      <c r="J20" s="1"/>
      <c r="K20" s="1"/>
      <c r="L20" s="1"/>
      <c r="M20" s="1"/>
    </row>
    <row r="21" spans="1:13" ht="15.75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5">
      <c r="A22" s="1"/>
      <c r="B22" s="14"/>
      <c r="C22" s="15"/>
      <c r="D22" s="15"/>
      <c r="E22" s="16"/>
      <c r="F22" s="1"/>
      <c r="G22" s="1"/>
      <c r="H22" s="1"/>
      <c r="I22" s="1"/>
      <c r="J22" s="1"/>
      <c r="K22" s="1"/>
    </row>
    <row r="23" spans="1:13" ht="15">
      <c r="A23" s="1"/>
      <c r="B23" s="63" t="s">
        <v>55</v>
      </c>
      <c r="C23" s="18" t="s">
        <v>127</v>
      </c>
      <c r="D23" s="95">
        <f>F10/F9</f>
        <v>1.28</v>
      </c>
      <c r="E23" s="19"/>
      <c r="F23" s="1"/>
      <c r="G23" s="1"/>
      <c r="H23" s="1"/>
      <c r="I23" s="1"/>
      <c r="J23" s="1"/>
      <c r="K23" s="1"/>
    </row>
    <row r="24" spans="1:13" ht="15">
      <c r="A24" s="1"/>
      <c r="B24" s="63"/>
      <c r="C24" s="18" t="s">
        <v>128</v>
      </c>
      <c r="D24" s="95">
        <f>D23*F8</f>
        <v>12.8</v>
      </c>
      <c r="E24" s="19"/>
      <c r="F24" s="1"/>
      <c r="G24" s="1"/>
      <c r="H24" s="1"/>
      <c r="I24" s="1"/>
      <c r="J24" s="1"/>
      <c r="K24" s="1"/>
    </row>
    <row r="25" spans="1:13" ht="15">
      <c r="A25" s="1"/>
      <c r="B25" s="63"/>
      <c r="C25" s="18" t="s">
        <v>129</v>
      </c>
      <c r="D25" s="95">
        <f>F11/F9</f>
        <v>0.62666666666666671</v>
      </c>
      <c r="E25" s="19"/>
      <c r="F25" s="1"/>
      <c r="G25" s="1"/>
      <c r="H25" s="1"/>
      <c r="I25" s="1"/>
      <c r="J25" s="1"/>
      <c r="K25" s="1"/>
    </row>
    <row r="26" spans="1:13" ht="15">
      <c r="A26" s="1"/>
      <c r="B26" s="63"/>
      <c r="C26" s="18" t="s">
        <v>111</v>
      </c>
      <c r="D26" s="96">
        <f>((D25*(1+D13))/D24)+D13</f>
        <v>9.0916666666666673E-2</v>
      </c>
      <c r="E26" s="19"/>
      <c r="F26" s="1"/>
      <c r="G26" s="1"/>
      <c r="H26" s="1"/>
      <c r="I26" s="1"/>
      <c r="J26" s="1"/>
      <c r="K26" s="1"/>
    </row>
    <row r="27" spans="1:13" ht="15">
      <c r="A27" s="1"/>
      <c r="B27" s="63"/>
      <c r="C27" s="18" t="s">
        <v>112</v>
      </c>
      <c r="D27" s="79">
        <f>(D25*(1+D14))/(D26-D14)</f>
        <v>21.485714285714284</v>
      </c>
      <c r="E27" s="19"/>
      <c r="F27" s="1"/>
      <c r="G27" s="1"/>
      <c r="H27" s="1"/>
      <c r="I27" s="1"/>
      <c r="J27" s="1"/>
      <c r="K27" s="1"/>
    </row>
    <row r="28" spans="1:13" ht="19.5">
      <c r="A28" s="1"/>
      <c r="B28" s="63"/>
      <c r="C28" s="18" t="s">
        <v>118</v>
      </c>
      <c r="D28" s="86">
        <f>F9*D27</f>
        <v>16114285.714285713</v>
      </c>
      <c r="E28" s="19"/>
      <c r="F28" s="1"/>
      <c r="G28" s="1"/>
      <c r="H28" s="1"/>
      <c r="I28" s="1"/>
      <c r="J28" s="1"/>
      <c r="K28" s="1"/>
    </row>
    <row r="29" spans="1:13" ht="15">
      <c r="A29" s="1"/>
      <c r="B29" s="63"/>
      <c r="C29" s="18"/>
      <c r="D29" s="76"/>
      <c r="E29" s="19"/>
      <c r="F29" s="1"/>
      <c r="G29" s="1"/>
      <c r="H29" s="1"/>
      <c r="I29" s="1"/>
      <c r="J29" s="1"/>
      <c r="K29" s="1"/>
    </row>
    <row r="30" spans="1:13" ht="15.75">
      <c r="A30" s="1"/>
      <c r="B30" s="63" t="s">
        <v>56</v>
      </c>
      <c r="C30" s="18" t="s">
        <v>113</v>
      </c>
      <c r="D30" s="86">
        <f>D28-(F9*D24)</f>
        <v>6514285.7142857127</v>
      </c>
      <c r="E30" s="19"/>
      <c r="F30" s="1"/>
      <c r="G30" s="1"/>
      <c r="H30" s="1"/>
      <c r="I30" s="1"/>
      <c r="J30" s="1"/>
      <c r="K30" s="1"/>
    </row>
    <row r="31" spans="1:13" ht="15.75">
      <c r="A31" s="1"/>
      <c r="B31" s="63"/>
      <c r="C31" s="18"/>
      <c r="D31" s="97"/>
      <c r="E31" s="19"/>
      <c r="F31" s="1"/>
      <c r="G31" s="1"/>
      <c r="H31" s="1"/>
      <c r="I31" s="1"/>
      <c r="J31" s="1"/>
      <c r="K31" s="1"/>
    </row>
    <row r="32" spans="1:13" ht="15.75">
      <c r="A32" s="1"/>
      <c r="B32" s="63" t="s">
        <v>57</v>
      </c>
      <c r="C32" s="18" t="s">
        <v>62</v>
      </c>
      <c r="D32" s="86">
        <f>D28-(D15*F9)</f>
        <v>1114285.7142857127</v>
      </c>
      <c r="E32" s="19"/>
      <c r="F32" s="1"/>
      <c r="G32" s="1"/>
      <c r="H32" s="1"/>
      <c r="I32" s="1"/>
      <c r="J32" s="1"/>
      <c r="K32" s="1"/>
    </row>
    <row r="33" spans="1:11" ht="15.75">
      <c r="A33" s="1"/>
      <c r="B33" s="63"/>
      <c r="C33" s="18"/>
      <c r="D33" s="97"/>
      <c r="E33" s="19"/>
      <c r="F33" s="1"/>
      <c r="G33" s="1"/>
      <c r="H33" s="1"/>
      <c r="I33" s="1"/>
      <c r="J33" s="1"/>
      <c r="K33" s="1"/>
    </row>
    <row r="34" spans="1:11" ht="15.75">
      <c r="A34" s="1"/>
      <c r="B34" s="63" t="s">
        <v>82</v>
      </c>
      <c r="C34" s="18" t="s">
        <v>114</v>
      </c>
      <c r="D34" s="86">
        <f>(D32/F9)+D15</f>
        <v>21.485714285714284</v>
      </c>
      <c r="E34" s="19"/>
      <c r="F34" s="1"/>
      <c r="G34" s="1"/>
      <c r="H34" s="1"/>
      <c r="I34" s="1"/>
      <c r="J34" s="1"/>
      <c r="K34" s="1"/>
    </row>
    <row r="35" spans="1:11" ht="15.75">
      <c r="A35" s="1"/>
      <c r="B35" s="63"/>
      <c r="C35" s="18"/>
      <c r="D35" s="97"/>
      <c r="E35" s="19"/>
      <c r="F35" s="1"/>
      <c r="G35" s="1"/>
      <c r="H35" s="1"/>
      <c r="I35" s="1"/>
      <c r="J35" s="1"/>
      <c r="K35" s="1"/>
    </row>
    <row r="36" spans="1:11" ht="15">
      <c r="A36" s="1"/>
      <c r="B36" s="63" t="s">
        <v>89</v>
      </c>
      <c r="C36" s="18" t="s">
        <v>125</v>
      </c>
      <c r="D36" s="55">
        <f>D10*D8</f>
        <v>60900000</v>
      </c>
      <c r="E36" s="19"/>
      <c r="F36" s="1"/>
      <c r="G36" s="1"/>
      <c r="H36" s="1"/>
      <c r="I36" s="1"/>
      <c r="J36" s="1"/>
      <c r="K36" s="1"/>
    </row>
    <row r="37" spans="1:11" ht="19.5">
      <c r="A37" s="1"/>
      <c r="B37" s="63"/>
      <c r="C37" s="18" t="s">
        <v>119</v>
      </c>
      <c r="D37" s="79">
        <f>(D36+D28)/(D9+D16)</f>
        <v>44.645962732919259</v>
      </c>
      <c r="E37" s="19"/>
      <c r="F37" s="1"/>
      <c r="G37" s="1"/>
      <c r="H37" s="1"/>
      <c r="I37" s="1"/>
      <c r="J37" s="1"/>
      <c r="K37" s="1"/>
    </row>
    <row r="38" spans="1:11" ht="15.75">
      <c r="A38" s="1"/>
      <c r="B38" s="63"/>
      <c r="C38" s="18" t="s">
        <v>62</v>
      </c>
      <c r="D38" s="86">
        <f>D28-(D37*D16)</f>
        <v>6068944.0993788801</v>
      </c>
      <c r="E38" s="19"/>
      <c r="F38" s="1"/>
      <c r="G38" s="1"/>
      <c r="H38" s="1"/>
      <c r="I38" s="1"/>
      <c r="J38" s="1"/>
      <c r="K38" s="1"/>
    </row>
    <row r="39" spans="1:11" ht="15">
      <c r="A39" s="1"/>
      <c r="B39" s="63"/>
      <c r="C39" s="89" t="str">
        <f>IF(D38&gt;0,"The acquisition should go forward.",IF(D32&gt;0,"The acquisition should go forward.","The acquisition should not go forward."))</f>
        <v>The acquisition should go forward.</v>
      </c>
      <c r="D39" s="18"/>
      <c r="E39" s="19"/>
      <c r="F39" s="1"/>
      <c r="G39" s="1"/>
      <c r="H39" s="1"/>
      <c r="I39" s="1"/>
      <c r="J39" s="1"/>
      <c r="K39" s="1"/>
    </row>
    <row r="40" spans="1:11" ht="15">
      <c r="A40" s="1"/>
      <c r="B40" s="63"/>
      <c r="C40" s="89" t="str">
        <f>IF(D38&lt;0," ",IF(D38&gt;D32,"The company should offer the shares."," The company should offer cash."))</f>
        <v>The company should offer the shares.</v>
      </c>
      <c r="D40" s="18"/>
      <c r="E40" s="19"/>
      <c r="F40" s="1"/>
      <c r="G40" s="1"/>
      <c r="H40" s="1"/>
      <c r="I40" s="1"/>
      <c r="J40" s="1"/>
      <c r="K40" s="1"/>
    </row>
    <row r="41" spans="1:11" ht="15">
      <c r="A41" s="1"/>
      <c r="B41" s="63"/>
      <c r="C41" s="89"/>
      <c r="D41" s="18"/>
      <c r="E41" s="19"/>
      <c r="F41" s="1"/>
      <c r="G41" s="1"/>
      <c r="H41" s="1"/>
      <c r="I41" s="1"/>
      <c r="J41" s="1"/>
      <c r="K41" s="1"/>
    </row>
    <row r="42" spans="1:11" ht="15">
      <c r="A42" s="1"/>
      <c r="B42" s="63" t="s">
        <v>109</v>
      </c>
      <c r="C42" s="18" t="s">
        <v>112</v>
      </c>
      <c r="D42" s="79">
        <f>(D25*(1+D17))/(D26-D17)</f>
        <v>16.081466395112017</v>
      </c>
      <c r="E42" s="19"/>
      <c r="F42" s="1"/>
      <c r="G42" s="1"/>
      <c r="H42" s="1"/>
      <c r="I42" s="1"/>
      <c r="J42" s="1"/>
      <c r="K42" s="1"/>
    </row>
    <row r="43" spans="1:11" ht="19.5">
      <c r="A43" s="1"/>
      <c r="B43" s="63"/>
      <c r="C43" s="18" t="s">
        <v>120</v>
      </c>
      <c r="D43" s="79">
        <f>F9*D42</f>
        <v>12061099.796334013</v>
      </c>
      <c r="E43" s="19"/>
      <c r="F43" s="1"/>
      <c r="G43" s="1"/>
      <c r="H43" s="1"/>
      <c r="I43" s="1"/>
      <c r="J43" s="1"/>
      <c r="K43" s="1"/>
    </row>
    <row r="44" spans="1:11" ht="15">
      <c r="A44" s="1"/>
      <c r="B44" s="63"/>
      <c r="C44" s="18" t="s">
        <v>113</v>
      </c>
      <c r="D44" s="79">
        <f>D43-(F9*D24)</f>
        <v>2461099.7963340133</v>
      </c>
      <c r="E44" s="19"/>
      <c r="F44" s="1"/>
      <c r="G44" s="1"/>
      <c r="H44" s="1"/>
      <c r="I44" s="1"/>
      <c r="J44" s="1"/>
      <c r="K44" s="1"/>
    </row>
    <row r="45" spans="1:11" ht="15.75">
      <c r="A45" s="1"/>
      <c r="B45" s="63"/>
      <c r="C45" s="18" t="s">
        <v>39</v>
      </c>
      <c r="D45" s="86">
        <f>D43-(F9*D15)</f>
        <v>-2938900.2036659867</v>
      </c>
      <c r="E45" s="19"/>
      <c r="F45" s="1"/>
      <c r="G45" s="1"/>
      <c r="H45" s="1"/>
      <c r="I45" s="1"/>
      <c r="J45" s="1"/>
      <c r="K45" s="1"/>
    </row>
    <row r="46" spans="1:11" ht="19.5">
      <c r="A46" s="1"/>
      <c r="B46" s="63"/>
      <c r="C46" s="18" t="s">
        <v>121</v>
      </c>
      <c r="D46" s="98">
        <f>(D36+D43)/(D9+D16)</f>
        <v>42.296289737005225</v>
      </c>
      <c r="E46" s="19"/>
      <c r="F46" s="1"/>
      <c r="G46" s="1"/>
      <c r="H46" s="1"/>
      <c r="I46" s="1"/>
      <c r="J46" s="1"/>
      <c r="K46" s="1"/>
    </row>
    <row r="47" spans="1:11" ht="15.75">
      <c r="A47" s="1"/>
      <c r="B47" s="63"/>
      <c r="C47" s="18" t="s">
        <v>40</v>
      </c>
      <c r="D47" s="86">
        <f>D43-(D46*D16)</f>
        <v>2544434.6055078376</v>
      </c>
      <c r="E47" s="19"/>
      <c r="F47" s="1"/>
      <c r="G47" s="1"/>
      <c r="H47" s="1"/>
      <c r="I47" s="1"/>
      <c r="J47" s="1"/>
      <c r="K47" s="1"/>
    </row>
    <row r="48" spans="1:11" ht="15">
      <c r="A48" s="1"/>
      <c r="B48" s="63"/>
      <c r="C48" s="89" t="str">
        <f>IF(D47&gt;0,"The acquisition should go forward.",IF(D45&gt;0,"The acquisition should go forward.","The acquisition should not go forward."))</f>
        <v>The acquisition should go forward.</v>
      </c>
      <c r="D48" s="18"/>
      <c r="E48" s="19"/>
      <c r="F48" s="1"/>
      <c r="G48" s="1"/>
      <c r="H48" s="1"/>
      <c r="I48" s="1"/>
      <c r="J48" s="1"/>
      <c r="K48" s="1"/>
    </row>
    <row r="49" spans="1:13" ht="15.75">
      <c r="A49" s="1"/>
      <c r="B49" s="63"/>
      <c r="C49" s="89" t="str">
        <f>IF(D47&lt;0," ",IF(D47&gt;D45,"The company should offer the shares."," The company should offer cash."))</f>
        <v>The company should offer the shares.</v>
      </c>
      <c r="D49" s="42"/>
      <c r="E49" s="19"/>
      <c r="F49" s="1"/>
      <c r="G49" s="1"/>
      <c r="H49" s="1"/>
      <c r="I49" s="1"/>
      <c r="J49" s="1"/>
      <c r="K49" s="1"/>
    </row>
    <row r="50" spans="1:13" ht="15.75" thickBot="1">
      <c r="A50" s="1"/>
      <c r="B50" s="20"/>
      <c r="C50" s="21"/>
      <c r="D50" s="21"/>
      <c r="E50" s="22"/>
      <c r="F50" s="1"/>
      <c r="G50" s="1"/>
      <c r="H50" s="1"/>
      <c r="I50" s="1"/>
      <c r="J50" s="1"/>
      <c r="K50" s="1"/>
    </row>
    <row r="51" spans="1:13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</sheetData>
  <phoneticPr fontId="0" type="noConversion"/>
  <pageMargins left="0.75" right="0.75" top="1" bottom="1" header="0.5" footer="0.5"/>
  <pageSetup scale="86" orientation="portrait" horizontalDpi="360" verticalDpi="36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6"/>
  <dimension ref="A1:M122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8.5703125" bestFit="1" customWidth="1"/>
    <col min="5" max="5" width="4.5703125" customWidth="1"/>
    <col min="6" max="6" width="16.7109375" customWidth="1"/>
    <col min="7" max="7" width="3.140625" customWidth="1"/>
    <col min="8" max="9" width="16.7109375" customWidth="1"/>
    <col min="10" max="10" width="3.140625" customWidth="1"/>
  </cols>
  <sheetData>
    <row r="1" spans="1:13" ht="18">
      <c r="A1" s="1"/>
      <c r="B1" s="1"/>
      <c r="C1" s="54" t="s">
        <v>207</v>
      </c>
      <c r="D1" s="54"/>
      <c r="E1" s="54"/>
      <c r="F1" s="1"/>
      <c r="G1" s="1"/>
      <c r="H1" s="1"/>
      <c r="I1" s="1"/>
      <c r="J1" s="1"/>
      <c r="K1" s="1"/>
      <c r="L1" s="1"/>
      <c r="M1" s="1"/>
    </row>
    <row r="2" spans="1:13" ht="15">
      <c r="A2" s="1"/>
      <c r="B2" s="1"/>
      <c r="C2" s="1" t="s">
        <v>153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>
      <c r="A4" s="1"/>
      <c r="B4" s="1"/>
      <c r="C4" s="2" t="s">
        <v>1</v>
      </c>
      <c r="D4" s="2"/>
      <c r="E4" s="2"/>
      <c r="F4" s="1"/>
      <c r="G4" s="1"/>
      <c r="H4" s="1"/>
      <c r="I4" s="1"/>
      <c r="J4" s="1"/>
      <c r="K4" s="1"/>
      <c r="L4" s="1"/>
      <c r="M4" s="1"/>
    </row>
    <row r="5" spans="1:13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5">
      <c r="A6" s="1"/>
      <c r="B6" s="3"/>
      <c r="C6" s="4"/>
      <c r="D6" s="4"/>
      <c r="E6" s="4"/>
      <c r="F6" s="12"/>
      <c r="G6" s="5"/>
      <c r="H6" s="1"/>
      <c r="I6" s="1"/>
      <c r="J6" s="1"/>
      <c r="K6" s="1"/>
      <c r="L6" s="1"/>
      <c r="M6" s="1"/>
    </row>
    <row r="7" spans="1:13" ht="15">
      <c r="A7" s="1"/>
      <c r="B7" s="6"/>
      <c r="C7" s="7"/>
      <c r="D7" s="66" t="s">
        <v>154</v>
      </c>
      <c r="E7" s="66"/>
      <c r="F7" s="67" t="s">
        <v>155</v>
      </c>
      <c r="G7" s="8"/>
      <c r="H7" s="1"/>
      <c r="I7" s="1"/>
      <c r="J7" s="1"/>
      <c r="K7" s="1"/>
      <c r="L7" s="1"/>
      <c r="M7" s="1"/>
    </row>
    <row r="8" spans="1:13" ht="15">
      <c r="A8" s="1"/>
      <c r="B8" s="6"/>
      <c r="C8" s="7" t="s">
        <v>156</v>
      </c>
      <c r="D8" s="68">
        <v>0.1</v>
      </c>
      <c r="E8" s="26"/>
      <c r="F8" s="26">
        <v>250000</v>
      </c>
      <c r="G8" s="8"/>
      <c r="H8" s="1"/>
      <c r="I8" s="1"/>
      <c r="J8" s="1"/>
      <c r="K8" s="1"/>
      <c r="L8" s="1"/>
      <c r="M8" s="1"/>
    </row>
    <row r="9" spans="1:13" ht="15">
      <c r="A9" s="1"/>
      <c r="B9" s="6"/>
      <c r="C9" s="7" t="s">
        <v>157</v>
      </c>
      <c r="D9" s="71">
        <v>0.4</v>
      </c>
      <c r="E9" s="72"/>
      <c r="F9" s="26">
        <v>425000</v>
      </c>
      <c r="G9" s="8"/>
      <c r="H9" s="1"/>
      <c r="I9" s="1"/>
      <c r="J9" s="1"/>
      <c r="K9" s="1"/>
      <c r="L9" s="1"/>
      <c r="M9" s="1"/>
    </row>
    <row r="10" spans="1:13" ht="15">
      <c r="A10" s="1"/>
      <c r="B10" s="6"/>
      <c r="C10" s="7" t="s">
        <v>158</v>
      </c>
      <c r="D10" s="71">
        <v>0.5</v>
      </c>
      <c r="E10" s="74"/>
      <c r="F10" s="70">
        <v>875000</v>
      </c>
      <c r="G10" s="8"/>
      <c r="H10" s="1"/>
      <c r="I10" s="1"/>
      <c r="J10" s="1"/>
      <c r="K10" s="1"/>
      <c r="L10" s="1"/>
      <c r="M10" s="1"/>
    </row>
    <row r="11" spans="1:13" ht="15">
      <c r="A11" s="1"/>
      <c r="B11" s="6"/>
      <c r="C11" s="7"/>
      <c r="D11" s="74"/>
      <c r="E11" s="74"/>
      <c r="F11" s="70"/>
      <c r="G11" s="8"/>
      <c r="H11" s="1"/>
      <c r="I11" s="1"/>
      <c r="J11" s="1"/>
      <c r="K11" s="1"/>
      <c r="L11" s="1"/>
      <c r="M11" s="1"/>
    </row>
    <row r="12" spans="1:13" ht="15">
      <c r="A12" s="1"/>
      <c r="B12" s="6"/>
      <c r="C12" s="7" t="s">
        <v>159</v>
      </c>
      <c r="D12" s="26">
        <v>425000</v>
      </c>
      <c r="E12" s="69"/>
      <c r="F12" s="75"/>
      <c r="G12" s="8"/>
      <c r="H12" s="1"/>
      <c r="I12" s="1"/>
      <c r="J12" s="1"/>
      <c r="K12" s="1"/>
      <c r="L12" s="1"/>
      <c r="M12" s="1"/>
    </row>
    <row r="13" spans="1:13" ht="15.75" thickBot="1">
      <c r="A13" s="1"/>
      <c r="B13" s="9"/>
      <c r="C13" s="10"/>
      <c r="D13" s="10"/>
      <c r="E13" s="10"/>
      <c r="F13" s="13"/>
      <c r="G13" s="11"/>
      <c r="H13" s="1"/>
      <c r="I13" s="1"/>
      <c r="J13" s="1"/>
      <c r="K13" s="1"/>
      <c r="L13" s="1"/>
      <c r="M13" s="1"/>
    </row>
    <row r="14" spans="1:13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>
      <c r="A15" s="1"/>
      <c r="B15" s="1"/>
      <c r="C15" s="2" t="s">
        <v>2</v>
      </c>
      <c r="D15" s="2"/>
      <c r="E15" s="2"/>
      <c r="F15" s="1"/>
      <c r="G15" s="1"/>
      <c r="H15" s="1"/>
      <c r="I15" s="1"/>
      <c r="J15" s="1"/>
      <c r="K15" s="1"/>
      <c r="L15" s="1"/>
      <c r="M15" s="1"/>
    </row>
    <row r="16" spans="1:13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5">
      <c r="A17" s="1"/>
      <c r="B17" s="14"/>
      <c r="C17" s="15"/>
      <c r="D17" s="15"/>
      <c r="E17" s="15"/>
      <c r="F17" s="15"/>
      <c r="G17" s="15"/>
      <c r="H17" s="15"/>
      <c r="I17" s="15"/>
      <c r="J17" s="16"/>
      <c r="K17" s="1"/>
      <c r="L17" s="1"/>
      <c r="M17" s="1"/>
    </row>
    <row r="18" spans="1:13" ht="15">
      <c r="A18" s="1"/>
      <c r="B18" s="17" t="s">
        <v>55</v>
      </c>
      <c r="C18" s="108" t="s">
        <v>160</v>
      </c>
      <c r="D18" s="113" t="s">
        <v>161</v>
      </c>
      <c r="E18" s="107"/>
      <c r="F18" s="107"/>
      <c r="G18" s="18"/>
      <c r="H18" s="18"/>
      <c r="I18" s="18"/>
      <c r="J18" s="19"/>
      <c r="K18" s="1"/>
      <c r="L18" s="1"/>
      <c r="M18" s="1"/>
    </row>
    <row r="19" spans="1:13" ht="15">
      <c r="A19" s="1"/>
      <c r="B19" s="17"/>
      <c r="C19" s="18" t="s">
        <v>162</v>
      </c>
      <c r="D19" s="109">
        <f>D8*D8</f>
        <v>1.0000000000000002E-2</v>
      </c>
      <c r="E19" s="109"/>
      <c r="F19" s="109"/>
      <c r="G19" s="18"/>
      <c r="H19" s="18"/>
      <c r="I19" s="18"/>
      <c r="J19" s="19"/>
      <c r="K19" s="1"/>
      <c r="L19" s="1"/>
      <c r="M19" s="1"/>
    </row>
    <row r="20" spans="1:13" ht="15">
      <c r="A20" s="1"/>
      <c r="B20" s="17"/>
      <c r="C20" s="18" t="s">
        <v>163</v>
      </c>
      <c r="D20" s="109">
        <f>D8*D9</f>
        <v>4.0000000000000008E-2</v>
      </c>
      <c r="E20" s="109"/>
      <c r="F20" s="109"/>
      <c r="G20" s="18"/>
      <c r="H20" s="18"/>
      <c r="I20" s="18"/>
      <c r="J20" s="19"/>
      <c r="K20" s="1"/>
      <c r="L20" s="1"/>
      <c r="M20" s="1"/>
    </row>
    <row r="21" spans="1:13" ht="15">
      <c r="A21" s="1"/>
      <c r="B21" s="63"/>
      <c r="C21" s="18" t="s">
        <v>164</v>
      </c>
      <c r="D21" s="106">
        <f>D8*D10</f>
        <v>0.05</v>
      </c>
      <c r="E21" s="106"/>
      <c r="F21" s="106"/>
      <c r="G21" s="18"/>
      <c r="H21" s="18"/>
      <c r="I21" s="18"/>
      <c r="J21" s="19"/>
      <c r="K21" s="1"/>
      <c r="L21" s="1"/>
      <c r="M21" s="1"/>
    </row>
    <row r="22" spans="1:13" ht="15">
      <c r="A22" s="1"/>
      <c r="B22" s="63"/>
      <c r="C22" s="18" t="s">
        <v>165</v>
      </c>
      <c r="D22" s="106">
        <f>D9*D8</f>
        <v>4.0000000000000008E-2</v>
      </c>
      <c r="E22" s="106"/>
      <c r="F22" s="106"/>
      <c r="G22" s="18"/>
      <c r="H22" s="18"/>
      <c r="I22" s="18"/>
      <c r="J22" s="19"/>
      <c r="K22" s="1"/>
      <c r="L22" s="1"/>
      <c r="M22" s="1"/>
    </row>
    <row r="23" spans="1:13" ht="15">
      <c r="A23" s="1"/>
      <c r="B23" s="63"/>
      <c r="C23" s="18" t="s">
        <v>166</v>
      </c>
      <c r="D23" s="106">
        <f>D9*D9</f>
        <v>0.16000000000000003</v>
      </c>
      <c r="E23" s="106"/>
      <c r="F23" s="106"/>
      <c r="G23" s="18"/>
      <c r="H23" s="18"/>
      <c r="I23" s="18"/>
      <c r="J23" s="19"/>
      <c r="K23" s="1"/>
      <c r="L23" s="1"/>
      <c r="M23" s="1"/>
    </row>
    <row r="24" spans="1:13" ht="15">
      <c r="A24" s="1"/>
      <c r="B24" s="63"/>
      <c r="C24" s="18" t="s">
        <v>167</v>
      </c>
      <c r="D24" s="106">
        <f>D9*D10</f>
        <v>0.2</v>
      </c>
      <c r="E24" s="106"/>
      <c r="F24" s="106"/>
      <c r="G24" s="18"/>
      <c r="H24" s="18"/>
      <c r="I24" s="18"/>
      <c r="J24" s="19"/>
      <c r="K24" s="1"/>
      <c r="L24" s="1"/>
      <c r="M24" s="1"/>
    </row>
    <row r="25" spans="1:13" ht="15">
      <c r="A25" s="1"/>
      <c r="B25" s="63"/>
      <c r="C25" s="18" t="s">
        <v>168</v>
      </c>
      <c r="D25" s="109">
        <f>D10*D8</f>
        <v>0.05</v>
      </c>
      <c r="E25" s="109"/>
      <c r="F25" s="109"/>
      <c r="G25" s="18"/>
      <c r="H25" s="18"/>
      <c r="I25" s="18"/>
      <c r="J25" s="19"/>
      <c r="K25" s="1"/>
      <c r="L25" s="1"/>
      <c r="M25" s="1"/>
    </row>
    <row r="26" spans="1:13" ht="15">
      <c r="A26" s="1"/>
      <c r="B26" s="63"/>
      <c r="C26" s="18" t="s">
        <v>169</v>
      </c>
      <c r="D26" s="106">
        <f>D10*D9</f>
        <v>0.2</v>
      </c>
      <c r="E26" s="106"/>
      <c r="F26" s="106"/>
      <c r="G26" s="18"/>
      <c r="H26" s="18"/>
      <c r="I26" s="18"/>
      <c r="J26" s="19"/>
      <c r="K26" s="1"/>
      <c r="L26" s="1"/>
      <c r="M26" s="1"/>
    </row>
    <row r="27" spans="1:13" ht="15">
      <c r="A27" s="1"/>
      <c r="B27" s="63"/>
      <c r="C27" s="18" t="s">
        <v>170</v>
      </c>
      <c r="D27" s="110">
        <f>D10*D10</f>
        <v>0.25</v>
      </c>
      <c r="E27" s="106"/>
      <c r="F27" s="106"/>
      <c r="G27" s="18"/>
      <c r="H27" s="18"/>
      <c r="I27" s="18"/>
      <c r="J27" s="19"/>
      <c r="K27" s="1"/>
      <c r="L27" s="1"/>
      <c r="M27" s="1"/>
    </row>
    <row r="28" spans="1:13" ht="15">
      <c r="A28" s="1"/>
      <c r="B28" s="63"/>
      <c r="C28" s="18" t="s">
        <v>172</v>
      </c>
      <c r="D28" s="106">
        <f>SUM(D19:D27)</f>
        <v>1</v>
      </c>
      <c r="E28" s="106"/>
      <c r="F28" s="106"/>
      <c r="G28" s="18"/>
      <c r="H28" s="18"/>
      <c r="I28" s="18"/>
      <c r="J28" s="19"/>
      <c r="K28" s="1"/>
      <c r="L28" s="1"/>
      <c r="M28" s="1"/>
    </row>
    <row r="29" spans="1:13" ht="15">
      <c r="A29" s="1"/>
      <c r="B29" s="63"/>
      <c r="C29" s="18"/>
      <c r="D29" s="106"/>
      <c r="E29" s="106"/>
      <c r="F29" s="106"/>
      <c r="G29" s="18"/>
      <c r="H29" s="18"/>
      <c r="I29" s="18"/>
      <c r="J29" s="19"/>
      <c r="K29" s="1"/>
      <c r="L29" s="1"/>
      <c r="M29" s="1"/>
    </row>
    <row r="30" spans="1:13" ht="15">
      <c r="A30" s="1"/>
      <c r="B30" s="63"/>
      <c r="C30" s="108" t="s">
        <v>160</v>
      </c>
      <c r="D30" s="114" t="s">
        <v>171</v>
      </c>
      <c r="E30" s="106"/>
      <c r="F30" s="106"/>
      <c r="G30" s="18"/>
      <c r="H30" s="18"/>
      <c r="I30" s="18"/>
      <c r="J30" s="19"/>
      <c r="K30" s="1"/>
      <c r="L30" s="1"/>
      <c r="M30" s="1"/>
    </row>
    <row r="31" spans="1:13" ht="15">
      <c r="A31" s="1"/>
      <c r="B31" s="63"/>
      <c r="C31" s="18" t="s">
        <v>162</v>
      </c>
      <c r="D31" s="106">
        <f>D19</f>
        <v>1.0000000000000002E-2</v>
      </c>
      <c r="E31" s="106"/>
      <c r="F31" s="106"/>
      <c r="G31" s="18"/>
      <c r="H31" s="18"/>
      <c r="I31" s="18"/>
      <c r="J31" s="19"/>
      <c r="K31" s="1"/>
      <c r="L31" s="1"/>
      <c r="M31" s="1"/>
    </row>
    <row r="32" spans="1:13" ht="15">
      <c r="A32" s="1"/>
      <c r="B32" s="63"/>
      <c r="C32" s="18" t="s">
        <v>163</v>
      </c>
      <c r="D32" s="106">
        <f>D20+D22</f>
        <v>8.0000000000000016E-2</v>
      </c>
      <c r="E32" s="106"/>
      <c r="F32" s="106"/>
      <c r="G32" s="18"/>
      <c r="H32" s="18"/>
      <c r="I32" s="18"/>
      <c r="J32" s="19"/>
      <c r="K32" s="1"/>
      <c r="L32" s="1"/>
      <c r="M32" s="1"/>
    </row>
    <row r="33" spans="1:13" ht="15">
      <c r="A33" s="1"/>
      <c r="B33" s="63"/>
      <c r="C33" s="18" t="s">
        <v>164</v>
      </c>
      <c r="D33" s="106">
        <f>D21+D25</f>
        <v>0.1</v>
      </c>
      <c r="E33" s="106"/>
      <c r="F33" s="106"/>
      <c r="G33" s="18"/>
      <c r="H33" s="18"/>
      <c r="I33" s="18"/>
      <c r="J33" s="19"/>
      <c r="K33" s="1"/>
      <c r="L33" s="1"/>
      <c r="M33" s="1"/>
    </row>
    <row r="34" spans="1:13" ht="15">
      <c r="A34" s="1"/>
      <c r="B34" s="63"/>
      <c r="C34" s="18" t="s">
        <v>166</v>
      </c>
      <c r="D34" s="106">
        <f>D23</f>
        <v>0.16000000000000003</v>
      </c>
      <c r="E34" s="106"/>
      <c r="F34" s="106"/>
      <c r="G34" s="18"/>
      <c r="H34" s="18"/>
      <c r="I34" s="18"/>
      <c r="J34" s="19"/>
      <c r="K34" s="1"/>
      <c r="L34" s="1"/>
      <c r="M34" s="1"/>
    </row>
    <row r="35" spans="1:13" ht="15">
      <c r="A35" s="1"/>
      <c r="B35" s="63"/>
      <c r="C35" s="18" t="s">
        <v>167</v>
      </c>
      <c r="D35" s="106">
        <f>D24+D26</f>
        <v>0.4</v>
      </c>
      <c r="E35" s="106"/>
      <c r="F35" s="106"/>
      <c r="G35" s="18"/>
      <c r="H35" s="18"/>
      <c r="I35" s="18"/>
      <c r="J35" s="19"/>
      <c r="K35" s="1"/>
      <c r="L35" s="1"/>
      <c r="M35" s="1"/>
    </row>
    <row r="36" spans="1:13" ht="15">
      <c r="A36" s="1"/>
      <c r="B36" s="63"/>
      <c r="C36" s="18" t="s">
        <v>170</v>
      </c>
      <c r="D36" s="110">
        <f>D27</f>
        <v>0.25</v>
      </c>
      <c r="E36" s="106"/>
      <c r="F36" s="106"/>
      <c r="G36" s="18"/>
      <c r="H36" s="18"/>
      <c r="I36" s="18"/>
      <c r="J36" s="19"/>
      <c r="K36" s="1"/>
      <c r="L36" s="1"/>
      <c r="M36" s="1"/>
    </row>
    <row r="37" spans="1:13" ht="15">
      <c r="A37" s="1"/>
      <c r="B37" s="63"/>
      <c r="C37" s="18" t="s">
        <v>172</v>
      </c>
      <c r="D37" s="106">
        <f>SUM(D31:D36)</f>
        <v>1</v>
      </c>
      <c r="E37" s="106"/>
      <c r="F37" s="106"/>
      <c r="G37" s="18"/>
      <c r="H37" s="18"/>
      <c r="I37" s="18"/>
      <c r="J37" s="19"/>
      <c r="K37" s="1"/>
      <c r="L37" s="1"/>
      <c r="M37" s="1"/>
    </row>
    <row r="38" spans="1:13" ht="15">
      <c r="A38" s="1"/>
      <c r="B38" s="63"/>
      <c r="C38" s="18"/>
      <c r="D38" s="106"/>
      <c r="E38" s="106"/>
      <c r="F38" s="106"/>
      <c r="G38" s="18"/>
      <c r="H38" s="18"/>
      <c r="I38" s="18"/>
      <c r="J38" s="19"/>
      <c r="K38" s="1"/>
      <c r="L38" s="1"/>
      <c r="M38" s="1"/>
    </row>
    <row r="39" spans="1:13" ht="15">
      <c r="A39" s="1"/>
      <c r="B39" s="63"/>
      <c r="C39" s="108" t="s">
        <v>160</v>
      </c>
      <c r="D39" s="114" t="s">
        <v>173</v>
      </c>
      <c r="E39" s="106"/>
      <c r="F39" s="106"/>
      <c r="G39" s="18"/>
      <c r="H39" s="18"/>
      <c r="I39" s="18"/>
      <c r="J39" s="19"/>
      <c r="K39" s="1"/>
      <c r="L39" s="1"/>
      <c r="M39" s="1"/>
    </row>
    <row r="40" spans="1:13" ht="15">
      <c r="A40" s="1"/>
      <c r="B40" s="63"/>
      <c r="C40" s="18" t="s">
        <v>162</v>
      </c>
      <c r="D40" s="55">
        <f>F8+F8</f>
        <v>500000</v>
      </c>
      <c r="E40" s="106"/>
      <c r="F40" s="106"/>
      <c r="G40" s="18"/>
      <c r="H40" s="18"/>
      <c r="I40" s="18"/>
      <c r="J40" s="19"/>
      <c r="K40" s="1"/>
      <c r="L40" s="1"/>
      <c r="M40" s="1"/>
    </row>
    <row r="41" spans="1:13" ht="15">
      <c r="A41" s="1"/>
      <c r="B41" s="63"/>
      <c r="C41" s="18" t="s">
        <v>163</v>
      </c>
      <c r="D41" s="55">
        <f>F8+F9</f>
        <v>675000</v>
      </c>
      <c r="E41" s="106"/>
      <c r="F41" s="106"/>
      <c r="G41" s="18"/>
      <c r="H41" s="18"/>
      <c r="I41" s="18"/>
      <c r="J41" s="19"/>
      <c r="K41" s="1"/>
      <c r="L41" s="1"/>
      <c r="M41" s="1"/>
    </row>
    <row r="42" spans="1:13" ht="15">
      <c r="A42" s="1"/>
      <c r="B42" s="63"/>
      <c r="C42" s="18" t="s">
        <v>164</v>
      </c>
      <c r="D42" s="55">
        <f>F8+F10</f>
        <v>1125000</v>
      </c>
      <c r="E42" s="106"/>
      <c r="F42" s="106"/>
      <c r="G42" s="18"/>
      <c r="H42" s="18"/>
      <c r="I42" s="18"/>
      <c r="J42" s="19"/>
      <c r="K42" s="1"/>
      <c r="L42" s="1"/>
      <c r="M42" s="1"/>
    </row>
    <row r="43" spans="1:13" ht="15">
      <c r="A43" s="1"/>
      <c r="B43" s="63"/>
      <c r="C43" s="18" t="s">
        <v>166</v>
      </c>
      <c r="D43" s="55">
        <f>F9+F9</f>
        <v>850000</v>
      </c>
      <c r="E43" s="106"/>
      <c r="F43" s="106"/>
      <c r="G43" s="18"/>
      <c r="H43" s="18"/>
      <c r="I43" s="18"/>
      <c r="J43" s="19"/>
      <c r="K43" s="1"/>
      <c r="L43" s="1"/>
      <c r="M43" s="1"/>
    </row>
    <row r="44" spans="1:13" ht="15">
      <c r="A44" s="1"/>
      <c r="B44" s="63"/>
      <c r="C44" s="18" t="s">
        <v>167</v>
      </c>
      <c r="D44" s="55">
        <f>F9+F10</f>
        <v>1300000</v>
      </c>
      <c r="E44" s="106"/>
      <c r="F44" s="106"/>
      <c r="G44" s="18"/>
      <c r="H44" s="18"/>
      <c r="I44" s="18"/>
      <c r="J44" s="19"/>
      <c r="K44" s="1"/>
      <c r="L44" s="1"/>
      <c r="M44" s="1"/>
    </row>
    <row r="45" spans="1:13" ht="15">
      <c r="A45" s="1"/>
      <c r="B45" s="63"/>
      <c r="C45" s="18" t="s">
        <v>170</v>
      </c>
      <c r="D45" s="55">
        <f>F10+F10</f>
        <v>1750000</v>
      </c>
      <c r="E45" s="106"/>
      <c r="F45" s="106"/>
      <c r="G45" s="18"/>
      <c r="H45" s="18"/>
      <c r="I45" s="18"/>
      <c r="J45" s="19"/>
      <c r="K45" s="1"/>
      <c r="L45" s="1"/>
      <c r="M45" s="1"/>
    </row>
    <row r="46" spans="1:13" ht="15">
      <c r="A46" s="1"/>
      <c r="B46" s="63"/>
      <c r="C46" s="18"/>
      <c r="D46" s="106"/>
      <c r="E46" s="106"/>
      <c r="F46" s="106"/>
      <c r="G46" s="18"/>
      <c r="H46" s="18"/>
      <c r="I46" s="18"/>
      <c r="J46" s="19"/>
      <c r="K46" s="1"/>
      <c r="L46" s="1"/>
      <c r="M46" s="1"/>
    </row>
    <row r="47" spans="1:13" ht="15">
      <c r="A47" s="1"/>
      <c r="B47" s="63" t="s">
        <v>56</v>
      </c>
      <c r="C47" s="108" t="s">
        <v>160</v>
      </c>
      <c r="D47" s="114" t="s">
        <v>171</v>
      </c>
      <c r="E47" s="110"/>
      <c r="F47" s="111" t="s">
        <v>173</v>
      </c>
      <c r="G47" s="108"/>
      <c r="H47" s="116" t="s">
        <v>174</v>
      </c>
      <c r="I47" s="116" t="s">
        <v>175</v>
      </c>
      <c r="J47" s="19"/>
      <c r="K47" s="1"/>
      <c r="L47" s="1"/>
      <c r="M47" s="1"/>
    </row>
    <row r="48" spans="1:13" ht="15">
      <c r="A48" s="1"/>
      <c r="B48" s="63"/>
      <c r="C48" s="18" t="s">
        <v>162</v>
      </c>
      <c r="D48" s="106">
        <f t="shared" ref="D48:D53" si="0">D31</f>
        <v>1.0000000000000002E-2</v>
      </c>
      <c r="E48" s="106"/>
      <c r="F48" s="115">
        <f t="shared" ref="F48:F53" si="1">D40</f>
        <v>500000</v>
      </c>
      <c r="G48" s="18"/>
      <c r="H48" s="117">
        <f t="shared" ref="H48:H53" si="2">MIN(F48,2*$D$12)</f>
        <v>500000</v>
      </c>
      <c r="I48" s="117">
        <f t="shared" ref="I48:I53" si="3">F48-H48</f>
        <v>0</v>
      </c>
      <c r="J48" s="19"/>
      <c r="K48" s="1"/>
      <c r="L48" s="1"/>
      <c r="M48" s="1"/>
    </row>
    <row r="49" spans="1:13" ht="15">
      <c r="A49" s="1"/>
      <c r="B49" s="63"/>
      <c r="C49" s="18" t="s">
        <v>163</v>
      </c>
      <c r="D49" s="106">
        <f t="shared" si="0"/>
        <v>8.0000000000000016E-2</v>
      </c>
      <c r="E49" s="106"/>
      <c r="F49" s="115">
        <f t="shared" si="1"/>
        <v>675000</v>
      </c>
      <c r="G49" s="18"/>
      <c r="H49" s="117">
        <f t="shared" si="2"/>
        <v>675000</v>
      </c>
      <c r="I49" s="117">
        <f t="shared" si="3"/>
        <v>0</v>
      </c>
      <c r="J49" s="19"/>
      <c r="K49" s="1"/>
      <c r="L49" s="1"/>
      <c r="M49" s="1"/>
    </row>
    <row r="50" spans="1:13" ht="15">
      <c r="A50" s="1"/>
      <c r="B50" s="63"/>
      <c r="C50" s="18" t="s">
        <v>164</v>
      </c>
      <c r="D50" s="106">
        <f t="shared" si="0"/>
        <v>0.1</v>
      </c>
      <c r="E50" s="106"/>
      <c r="F50" s="115">
        <f t="shared" si="1"/>
        <v>1125000</v>
      </c>
      <c r="G50" s="18"/>
      <c r="H50" s="117">
        <f t="shared" si="2"/>
        <v>850000</v>
      </c>
      <c r="I50" s="117">
        <f t="shared" si="3"/>
        <v>275000</v>
      </c>
      <c r="J50" s="19"/>
      <c r="K50" s="1"/>
      <c r="L50" s="1"/>
      <c r="M50" s="1"/>
    </row>
    <row r="51" spans="1:13" ht="15">
      <c r="A51" s="1"/>
      <c r="B51" s="63"/>
      <c r="C51" s="18" t="s">
        <v>166</v>
      </c>
      <c r="D51" s="106">
        <f t="shared" si="0"/>
        <v>0.16000000000000003</v>
      </c>
      <c r="E51" s="106"/>
      <c r="F51" s="115">
        <f t="shared" si="1"/>
        <v>850000</v>
      </c>
      <c r="G51" s="18"/>
      <c r="H51" s="117">
        <f t="shared" si="2"/>
        <v>850000</v>
      </c>
      <c r="I51" s="117">
        <f t="shared" si="3"/>
        <v>0</v>
      </c>
      <c r="J51" s="19"/>
      <c r="K51" s="1"/>
      <c r="L51" s="1"/>
      <c r="M51" s="1"/>
    </row>
    <row r="52" spans="1:13" ht="15">
      <c r="A52" s="1"/>
      <c r="B52" s="63"/>
      <c r="C52" s="18" t="s">
        <v>167</v>
      </c>
      <c r="D52" s="106">
        <f t="shared" si="0"/>
        <v>0.4</v>
      </c>
      <c r="E52" s="106"/>
      <c r="F52" s="115">
        <f t="shared" si="1"/>
        <v>1300000</v>
      </c>
      <c r="G52" s="18"/>
      <c r="H52" s="117">
        <f t="shared" si="2"/>
        <v>850000</v>
      </c>
      <c r="I52" s="117">
        <f t="shared" si="3"/>
        <v>450000</v>
      </c>
      <c r="J52" s="19"/>
      <c r="K52" s="1"/>
      <c r="L52" s="1"/>
      <c r="M52" s="1"/>
    </row>
    <row r="53" spans="1:13" ht="15">
      <c r="A53" s="1"/>
      <c r="B53" s="63"/>
      <c r="C53" s="18" t="s">
        <v>170</v>
      </c>
      <c r="D53" s="106">
        <f t="shared" si="0"/>
        <v>0.25</v>
      </c>
      <c r="E53" s="106"/>
      <c r="F53" s="115">
        <f t="shared" si="1"/>
        <v>1750000</v>
      </c>
      <c r="G53" s="18"/>
      <c r="H53" s="117">
        <f t="shared" si="2"/>
        <v>850000</v>
      </c>
      <c r="I53" s="117">
        <f t="shared" si="3"/>
        <v>900000</v>
      </c>
      <c r="J53" s="19"/>
      <c r="K53" s="1"/>
      <c r="L53" s="1"/>
      <c r="M53" s="1"/>
    </row>
    <row r="54" spans="1:13" ht="15">
      <c r="A54" s="1"/>
      <c r="B54" s="63"/>
      <c r="C54" s="18"/>
      <c r="D54" s="106"/>
      <c r="E54" s="106"/>
      <c r="F54" s="106"/>
      <c r="G54" s="18"/>
      <c r="H54" s="18"/>
      <c r="I54" s="18"/>
      <c r="J54" s="19"/>
      <c r="K54" s="1"/>
      <c r="L54" s="1"/>
      <c r="M54" s="1"/>
    </row>
    <row r="55" spans="1:13" ht="15">
      <c r="A55" s="1"/>
      <c r="B55" s="63" t="s">
        <v>57</v>
      </c>
      <c r="C55" s="18" t="s">
        <v>176</v>
      </c>
      <c r="D55" s="106"/>
      <c r="E55" s="106"/>
      <c r="F55" s="115"/>
      <c r="G55" s="18"/>
      <c r="H55" s="18"/>
      <c r="I55" s="18"/>
      <c r="J55" s="19"/>
      <c r="K55" s="1"/>
      <c r="L55" s="1"/>
      <c r="M55" s="1"/>
    </row>
    <row r="56" spans="1:13" ht="15">
      <c r="A56" s="1"/>
      <c r="B56" s="63"/>
      <c r="C56" s="18"/>
      <c r="D56" s="106"/>
      <c r="E56" s="106"/>
      <c r="F56" s="115"/>
      <c r="G56" s="18"/>
      <c r="H56" s="18"/>
      <c r="I56" s="18"/>
      <c r="J56" s="19"/>
      <c r="K56" s="1"/>
      <c r="L56" s="1"/>
      <c r="M56" s="1"/>
    </row>
    <row r="57" spans="1:13" ht="15">
      <c r="A57" s="1"/>
      <c r="B57" s="63"/>
      <c r="C57" s="18"/>
      <c r="D57" s="116" t="s">
        <v>154</v>
      </c>
      <c r="E57" s="116"/>
      <c r="F57" s="112" t="s">
        <v>174</v>
      </c>
      <c r="G57" s="18"/>
      <c r="H57" s="18"/>
      <c r="I57" s="18"/>
      <c r="J57" s="19"/>
      <c r="K57" s="1"/>
      <c r="L57" s="1"/>
      <c r="M57" s="1"/>
    </row>
    <row r="58" spans="1:13" ht="15">
      <c r="A58" s="1"/>
      <c r="B58" s="63"/>
      <c r="C58" s="18" t="s">
        <v>156</v>
      </c>
      <c r="D58" s="106">
        <f>D8</f>
        <v>0.1</v>
      </c>
      <c r="E58" s="106"/>
      <c r="F58" s="115">
        <f>IF($D$12&gt;=F8,F8,$D$12)</f>
        <v>250000</v>
      </c>
      <c r="G58" s="18"/>
      <c r="H58" s="18"/>
      <c r="I58" s="18"/>
      <c r="J58" s="19"/>
      <c r="K58" s="1"/>
      <c r="L58" s="1"/>
      <c r="M58" s="1"/>
    </row>
    <row r="59" spans="1:13" ht="15">
      <c r="A59" s="1"/>
      <c r="B59" s="63"/>
      <c r="C59" s="18" t="s">
        <v>157</v>
      </c>
      <c r="D59" s="106">
        <f>D9</f>
        <v>0.4</v>
      </c>
      <c r="E59" s="106"/>
      <c r="F59" s="115">
        <f>IF($D$12&gt;=F9,F9,$D$12)</f>
        <v>425000</v>
      </c>
      <c r="G59" s="18"/>
      <c r="H59" s="18"/>
      <c r="I59" s="18"/>
      <c r="J59" s="19"/>
      <c r="K59" s="1"/>
      <c r="L59" s="1"/>
      <c r="M59" s="1"/>
    </row>
    <row r="60" spans="1:13" ht="15">
      <c r="A60" s="1"/>
      <c r="B60" s="63"/>
      <c r="C60" s="18" t="s">
        <v>158</v>
      </c>
      <c r="D60" s="106">
        <f>D10</f>
        <v>0.5</v>
      </c>
      <c r="E60" s="106"/>
      <c r="F60" s="115">
        <f>IF($D$12&gt;=F10,F10,$D$12)</f>
        <v>425000</v>
      </c>
      <c r="G60" s="18"/>
      <c r="H60" s="18"/>
      <c r="I60" s="18"/>
      <c r="J60" s="19"/>
      <c r="K60" s="1"/>
      <c r="L60" s="1"/>
      <c r="M60" s="1"/>
    </row>
    <row r="61" spans="1:13" ht="15">
      <c r="A61" s="1"/>
      <c r="B61" s="63"/>
      <c r="C61" s="18"/>
      <c r="D61" s="106"/>
      <c r="E61" s="106"/>
      <c r="F61" s="115"/>
      <c r="G61" s="18"/>
      <c r="H61" s="18"/>
      <c r="I61" s="18"/>
      <c r="J61" s="19"/>
      <c r="K61" s="1"/>
      <c r="L61" s="1"/>
      <c r="M61" s="1"/>
    </row>
    <row r="62" spans="1:13" ht="15">
      <c r="A62" s="1"/>
      <c r="B62" s="63"/>
      <c r="C62" s="18" t="s">
        <v>177</v>
      </c>
      <c r="D62" s="115">
        <f>(D58*F58)+(D59*F59)+(D60*F60)</f>
        <v>407500</v>
      </c>
      <c r="E62" s="106"/>
      <c r="F62" s="115"/>
      <c r="G62" s="18"/>
      <c r="H62" s="18"/>
      <c r="I62" s="18"/>
      <c r="J62" s="19"/>
      <c r="K62" s="1"/>
      <c r="L62" s="1"/>
      <c r="M62" s="1"/>
    </row>
    <row r="63" spans="1:13" ht="15">
      <c r="A63" s="1"/>
      <c r="B63" s="63"/>
      <c r="C63" s="18"/>
      <c r="D63" s="106"/>
      <c r="E63" s="106"/>
      <c r="F63" s="115"/>
      <c r="G63" s="18"/>
      <c r="H63" s="18"/>
      <c r="I63" s="18"/>
      <c r="J63" s="19"/>
      <c r="K63" s="1"/>
      <c r="L63" s="1"/>
      <c r="M63" s="1"/>
    </row>
    <row r="64" spans="1:13" ht="15">
      <c r="A64" s="1"/>
      <c r="B64" s="63"/>
      <c r="C64" s="18" t="s">
        <v>178</v>
      </c>
      <c r="D64" s="106"/>
      <c r="E64" s="106"/>
      <c r="F64" s="115">
        <f>2*D62</f>
        <v>815000</v>
      </c>
      <c r="G64" s="18"/>
      <c r="H64" s="18"/>
      <c r="I64" s="18"/>
      <c r="J64" s="19"/>
      <c r="K64" s="1"/>
      <c r="L64" s="1"/>
      <c r="M64" s="1"/>
    </row>
    <row r="65" spans="1:13" ht="15">
      <c r="A65" s="1"/>
      <c r="B65" s="63"/>
      <c r="C65" s="18"/>
      <c r="D65" s="106"/>
      <c r="E65" s="106"/>
      <c r="F65" s="106"/>
      <c r="G65" s="18"/>
      <c r="H65" s="18"/>
      <c r="I65" s="18"/>
      <c r="J65" s="19"/>
      <c r="K65" s="1"/>
      <c r="L65" s="1"/>
      <c r="M65" s="1"/>
    </row>
    <row r="66" spans="1:13" ht="15">
      <c r="A66" s="1"/>
      <c r="B66" s="63"/>
      <c r="C66" s="18" t="s">
        <v>179</v>
      </c>
      <c r="D66" s="106"/>
      <c r="E66" s="106"/>
      <c r="F66" s="115">
        <f>(D48*H48)+(D49*H49)+(D50*H50)+(D51*H51)+(D52*H52)+(D53*H53)</f>
        <v>832500</v>
      </c>
      <c r="G66" s="18"/>
      <c r="H66" s="18"/>
      <c r="I66" s="18"/>
      <c r="J66" s="19"/>
      <c r="K66" s="1"/>
      <c r="L66" s="1"/>
      <c r="M66" s="1"/>
    </row>
    <row r="67" spans="1:13" ht="15.75" thickBot="1">
      <c r="A67" s="1"/>
      <c r="B67" s="20"/>
      <c r="C67" s="21"/>
      <c r="D67" s="21"/>
      <c r="E67" s="21"/>
      <c r="F67" s="21"/>
      <c r="G67" s="21"/>
      <c r="H67" s="21"/>
      <c r="I67" s="21"/>
      <c r="J67" s="22"/>
      <c r="K67" s="1"/>
      <c r="L67" s="1"/>
      <c r="M67" s="1"/>
    </row>
    <row r="68" spans="1:13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K70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8.140625" customWidth="1"/>
    <col min="5" max="5" width="3.140625" customWidth="1"/>
  </cols>
  <sheetData>
    <row r="1" spans="1:11" ht="18">
      <c r="A1" s="1"/>
      <c r="B1" s="1"/>
      <c r="C1" s="54" t="s">
        <v>207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0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3</v>
      </c>
      <c r="D7" s="26">
        <v>340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4</v>
      </c>
      <c r="D8" s="26">
        <v>317</v>
      </c>
      <c r="E8" s="8"/>
      <c r="F8" s="1"/>
      <c r="G8" s="1"/>
      <c r="H8" s="1"/>
      <c r="I8" s="1"/>
      <c r="J8" s="1"/>
      <c r="K8" s="1"/>
    </row>
    <row r="9" spans="1:11" ht="15.75" thickBot="1">
      <c r="A9" s="1"/>
      <c r="B9" s="9"/>
      <c r="C9" s="10"/>
      <c r="D9" s="13"/>
      <c r="E9" s="11"/>
      <c r="F9" s="1"/>
      <c r="G9" s="1"/>
      <c r="H9" s="1"/>
      <c r="I9" s="1"/>
      <c r="J9" s="1"/>
      <c r="K9" s="1"/>
    </row>
    <row r="10" spans="1:11" ht="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5">
      <c r="A11" s="1"/>
      <c r="B11" s="1"/>
      <c r="C11" s="2" t="s">
        <v>2</v>
      </c>
      <c r="D11" s="1"/>
      <c r="E11" s="1"/>
      <c r="F11" s="1"/>
      <c r="G11" s="1"/>
      <c r="H11" s="1"/>
      <c r="I11" s="1"/>
      <c r="J11" s="1"/>
      <c r="K11" s="1"/>
    </row>
    <row r="12" spans="1:11" ht="15.75" thickBo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5">
      <c r="A13" s="1"/>
      <c r="B13" s="14"/>
      <c r="C13" s="15"/>
      <c r="D13" s="23"/>
      <c r="E13" s="16"/>
      <c r="F13" s="1"/>
      <c r="G13" s="1"/>
      <c r="H13" s="1"/>
      <c r="I13" s="1"/>
      <c r="J13" s="1"/>
      <c r="K13" s="1"/>
    </row>
    <row r="14" spans="1:11" ht="15.75">
      <c r="A14" s="1"/>
      <c r="B14" s="17"/>
      <c r="C14" s="18" t="s">
        <v>5</v>
      </c>
      <c r="D14" s="41">
        <f>D7-D8</f>
        <v>23</v>
      </c>
      <c r="E14" s="19"/>
      <c r="F14" s="1"/>
      <c r="G14" s="1"/>
      <c r="H14" s="1"/>
      <c r="I14" s="1"/>
      <c r="J14" s="1"/>
      <c r="K14" s="1"/>
    </row>
    <row r="15" spans="1:11" ht="15.75" thickBot="1">
      <c r="A15" s="1"/>
      <c r="B15" s="20"/>
      <c r="C15" s="21"/>
      <c r="D15" s="25"/>
      <c r="E15" s="22"/>
      <c r="F15" s="1"/>
      <c r="G15" s="1"/>
      <c r="H15" s="1"/>
      <c r="I15" s="1"/>
      <c r="J15" s="1"/>
      <c r="K15" s="1"/>
    </row>
    <row r="16" spans="1:11" ht="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K83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5" width="18.140625" customWidth="1"/>
    <col min="6" max="6" width="3" customWidth="1"/>
  </cols>
  <sheetData>
    <row r="1" spans="1:11" ht="18">
      <c r="A1" s="1"/>
      <c r="B1" s="1"/>
      <c r="C1" s="54" t="s">
        <v>207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6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12"/>
      <c r="E6" s="4"/>
      <c r="F6" s="5"/>
      <c r="G6" s="1"/>
      <c r="H6" s="1"/>
      <c r="I6" s="1"/>
      <c r="J6" s="1"/>
      <c r="K6" s="1"/>
    </row>
    <row r="7" spans="1:11" ht="15">
      <c r="A7" s="1"/>
      <c r="B7" s="6"/>
      <c r="C7" s="7" t="s">
        <v>7</v>
      </c>
      <c r="D7" s="26">
        <v>5</v>
      </c>
      <c r="E7" s="7"/>
      <c r="F7" s="8"/>
      <c r="G7" s="1"/>
      <c r="H7" s="1"/>
      <c r="I7" s="1"/>
      <c r="J7" s="1"/>
      <c r="K7" s="1"/>
    </row>
    <row r="8" spans="1:11" ht="15">
      <c r="A8" s="1"/>
      <c r="B8" s="6"/>
      <c r="C8" s="7"/>
      <c r="D8" s="29" t="s">
        <v>8</v>
      </c>
      <c r="E8" s="30" t="s">
        <v>9</v>
      </c>
      <c r="F8" s="8"/>
      <c r="G8" s="1"/>
      <c r="H8" s="1"/>
      <c r="I8" s="1"/>
      <c r="J8" s="1"/>
      <c r="K8" s="1"/>
    </row>
    <row r="9" spans="1:11" ht="15">
      <c r="A9" s="1"/>
      <c r="B9" s="6"/>
      <c r="C9" s="7" t="s">
        <v>10</v>
      </c>
      <c r="D9" s="26">
        <v>90000</v>
      </c>
      <c r="E9" s="26">
        <v>52200</v>
      </c>
      <c r="F9" s="8"/>
      <c r="G9" s="1"/>
      <c r="H9" s="1"/>
      <c r="I9" s="1"/>
      <c r="J9" s="1"/>
      <c r="K9" s="1"/>
    </row>
    <row r="10" spans="1:11" ht="15">
      <c r="A10" s="1"/>
      <c r="B10" s="6"/>
      <c r="C10" s="7" t="s">
        <v>11</v>
      </c>
      <c r="D10" s="26">
        <v>46800</v>
      </c>
      <c r="E10" s="26">
        <v>36000</v>
      </c>
      <c r="F10" s="8"/>
      <c r="G10" s="1"/>
      <c r="H10" s="1"/>
      <c r="I10" s="1"/>
      <c r="J10" s="1"/>
      <c r="K10" s="1"/>
    </row>
    <row r="11" spans="1:11" ht="15">
      <c r="A11" s="1"/>
      <c r="B11" s="6"/>
      <c r="C11" s="7" t="s">
        <v>12</v>
      </c>
      <c r="D11" s="26"/>
      <c r="E11" s="26"/>
      <c r="F11" s="8"/>
      <c r="G11" s="1"/>
      <c r="H11" s="1"/>
      <c r="I11" s="1"/>
      <c r="J11" s="1"/>
      <c r="K11" s="1"/>
    </row>
    <row r="12" spans="1:11" ht="15">
      <c r="A12" s="1"/>
      <c r="B12" s="6"/>
      <c r="C12" s="7" t="s">
        <v>13</v>
      </c>
      <c r="D12" s="26">
        <v>53</v>
      </c>
      <c r="E12" s="26">
        <v>19</v>
      </c>
      <c r="F12" s="8"/>
      <c r="G12" s="1"/>
      <c r="H12" s="1"/>
      <c r="I12" s="1"/>
      <c r="J12" s="1"/>
      <c r="K12" s="1"/>
    </row>
    <row r="13" spans="1:11" ht="15">
      <c r="A13" s="1"/>
      <c r="B13" s="6"/>
      <c r="C13" s="7" t="s">
        <v>14</v>
      </c>
      <c r="D13" s="26">
        <v>21</v>
      </c>
      <c r="E13" s="26">
        <v>9</v>
      </c>
      <c r="F13" s="8"/>
      <c r="G13" s="1"/>
      <c r="H13" s="1"/>
      <c r="I13" s="1"/>
      <c r="J13" s="1"/>
      <c r="K13" s="1"/>
    </row>
    <row r="14" spans="1:11" ht="15.75" thickBot="1">
      <c r="A14" s="1"/>
      <c r="B14" s="9"/>
      <c r="C14" s="10"/>
      <c r="D14" s="13"/>
      <c r="E14" s="10"/>
      <c r="F14" s="11"/>
      <c r="G14" s="1"/>
      <c r="H14" s="1"/>
      <c r="I14" s="1"/>
      <c r="J14" s="1"/>
      <c r="K14" s="1"/>
    </row>
    <row r="15" spans="1:11" ht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"/>
      <c r="C16" s="2" t="s">
        <v>2</v>
      </c>
      <c r="D16" s="1"/>
      <c r="E16" s="1"/>
      <c r="F16" s="1"/>
      <c r="G16" s="1"/>
      <c r="H16" s="1"/>
      <c r="I16" s="1"/>
      <c r="J16" s="1"/>
      <c r="K16" s="1"/>
    </row>
    <row r="17" spans="1:11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>
      <c r="A18" s="1"/>
      <c r="B18" s="14"/>
      <c r="C18" s="15"/>
      <c r="D18" s="23"/>
      <c r="E18" s="15"/>
      <c r="F18" s="16"/>
      <c r="G18" s="1"/>
      <c r="H18" s="1"/>
      <c r="I18" s="1"/>
      <c r="J18" s="1"/>
      <c r="K18" s="1"/>
    </row>
    <row r="19" spans="1:11" ht="15">
      <c r="A19" s="1"/>
      <c r="B19" s="17"/>
      <c r="C19" s="31" t="s">
        <v>15</v>
      </c>
      <c r="D19" s="24"/>
      <c r="E19" s="18"/>
      <c r="F19" s="19"/>
      <c r="G19" s="1"/>
      <c r="H19" s="1"/>
      <c r="I19" s="1"/>
      <c r="J19" s="1"/>
      <c r="K19" s="1"/>
    </row>
    <row r="20" spans="1:11" ht="15.75">
      <c r="A20" s="1"/>
      <c r="B20" s="17"/>
      <c r="C20" s="18" t="s">
        <v>16</v>
      </c>
      <c r="D20" s="24"/>
      <c r="E20" s="33">
        <f>(D10*D13)+(E10*E13)</f>
        <v>1306800</v>
      </c>
      <c r="F20" s="19"/>
      <c r="G20" s="1"/>
      <c r="H20" s="1"/>
      <c r="I20" s="1"/>
      <c r="J20" s="1"/>
      <c r="K20" s="1"/>
    </row>
    <row r="21" spans="1:11" ht="15">
      <c r="A21" s="1"/>
      <c r="B21" s="17"/>
      <c r="C21" s="18"/>
      <c r="D21" s="24"/>
      <c r="E21" s="32"/>
      <c r="F21" s="19"/>
      <c r="G21" s="1"/>
      <c r="H21" s="1"/>
      <c r="I21" s="1"/>
      <c r="J21" s="1"/>
      <c r="K21" s="1"/>
    </row>
    <row r="22" spans="1:11" ht="15">
      <c r="A22" s="1"/>
      <c r="B22" s="17"/>
      <c r="C22" s="31" t="s">
        <v>17</v>
      </c>
      <c r="D22" s="24"/>
      <c r="E22" s="32"/>
      <c r="F22" s="19"/>
      <c r="G22" s="1"/>
      <c r="H22" s="1"/>
      <c r="I22" s="1"/>
      <c r="J22" s="1"/>
      <c r="K22" s="1"/>
    </row>
    <row r="23" spans="1:11" ht="15">
      <c r="A23" s="1"/>
      <c r="B23" s="17"/>
      <c r="C23" s="18" t="s">
        <v>46</v>
      </c>
      <c r="D23" s="24"/>
      <c r="E23" s="55">
        <f>D10*D13</f>
        <v>982800</v>
      </c>
      <c r="F23" s="19"/>
      <c r="G23" s="1"/>
      <c r="H23" s="1"/>
      <c r="I23" s="1"/>
      <c r="J23" s="1"/>
      <c r="K23" s="1"/>
    </row>
    <row r="24" spans="1:11" ht="15">
      <c r="A24" s="1"/>
      <c r="B24" s="17"/>
      <c r="C24" s="18" t="s">
        <v>47</v>
      </c>
      <c r="D24" s="24"/>
      <c r="E24" s="55">
        <f>E10*E12</f>
        <v>684000</v>
      </c>
      <c r="F24" s="19"/>
      <c r="G24" s="1"/>
      <c r="H24" s="1"/>
      <c r="I24" s="1"/>
      <c r="J24" s="1"/>
      <c r="K24" s="1"/>
    </row>
    <row r="25" spans="1:11" ht="15">
      <c r="A25" s="1"/>
      <c r="B25" s="17"/>
      <c r="C25" s="18" t="s">
        <v>48</v>
      </c>
      <c r="D25" s="24"/>
      <c r="E25" s="55">
        <f>E10*(D7+E12)</f>
        <v>864000</v>
      </c>
      <c r="F25" s="19"/>
      <c r="G25" s="1"/>
      <c r="H25" s="1"/>
      <c r="I25" s="1"/>
      <c r="J25" s="1"/>
      <c r="K25" s="1"/>
    </row>
    <row r="26" spans="1:11" ht="15">
      <c r="A26" s="1"/>
      <c r="B26" s="17"/>
      <c r="C26" s="18" t="s">
        <v>18</v>
      </c>
      <c r="D26" s="24"/>
      <c r="E26" s="55">
        <f>E25-E24</f>
        <v>180000</v>
      </c>
      <c r="F26" s="19"/>
      <c r="G26" s="1"/>
      <c r="H26" s="1"/>
      <c r="I26" s="1"/>
      <c r="J26" s="1"/>
      <c r="K26" s="1"/>
    </row>
    <row r="27" spans="1:11" ht="15.75">
      <c r="A27" s="1"/>
      <c r="B27" s="17"/>
      <c r="C27" s="18" t="s">
        <v>49</v>
      </c>
      <c r="D27" s="27"/>
      <c r="E27" s="33">
        <f>E26+E24+E23</f>
        <v>1846800</v>
      </c>
      <c r="F27" s="19"/>
      <c r="G27" s="1"/>
      <c r="H27" s="1"/>
      <c r="I27" s="1"/>
      <c r="J27" s="1"/>
      <c r="K27" s="1"/>
    </row>
    <row r="28" spans="1:11" ht="15.75" thickBot="1">
      <c r="A28" s="1"/>
      <c r="B28" s="20"/>
      <c r="C28" s="21"/>
      <c r="D28" s="25"/>
      <c r="E28" s="21"/>
      <c r="F28" s="22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K89"/>
  <sheetViews>
    <sheetView workbookViewId="0"/>
  </sheetViews>
  <sheetFormatPr defaultRowHeight="12.75"/>
  <cols>
    <col min="2" max="2" width="3.140625" customWidth="1"/>
    <col min="3" max="6" width="18.140625" customWidth="1"/>
    <col min="7" max="7" width="3.140625" customWidth="1"/>
  </cols>
  <sheetData>
    <row r="1" spans="1:11" ht="18">
      <c r="A1" s="1"/>
      <c r="B1" s="1"/>
      <c r="C1" s="54" t="s">
        <v>207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19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12"/>
      <c r="E6" s="4"/>
      <c r="F6" s="4"/>
      <c r="G6" s="5"/>
      <c r="H6" s="1"/>
      <c r="I6" s="1"/>
      <c r="J6" s="1"/>
      <c r="K6" s="1"/>
    </row>
    <row r="7" spans="1:11" ht="15">
      <c r="A7" s="1"/>
      <c r="B7" s="6"/>
      <c r="C7" s="146" t="s">
        <v>212</v>
      </c>
      <c r="D7" s="146"/>
      <c r="E7" s="146"/>
      <c r="F7" s="146"/>
      <c r="G7" s="8"/>
      <c r="H7" s="1"/>
      <c r="I7" s="1"/>
      <c r="J7" s="1"/>
      <c r="K7" s="1"/>
    </row>
    <row r="8" spans="1:11" ht="15">
      <c r="A8" s="1"/>
      <c r="B8" s="6"/>
      <c r="C8" s="7" t="s">
        <v>20</v>
      </c>
      <c r="D8" s="28">
        <v>18000</v>
      </c>
      <c r="E8" s="34" t="s">
        <v>23</v>
      </c>
      <c r="F8" s="26">
        <v>5100</v>
      </c>
      <c r="G8" s="8"/>
      <c r="H8" s="1"/>
      <c r="I8" s="1"/>
      <c r="J8" s="1"/>
      <c r="K8" s="1"/>
    </row>
    <row r="9" spans="1:11" ht="15">
      <c r="A9" s="1"/>
      <c r="B9" s="6"/>
      <c r="C9" s="7" t="s">
        <v>21</v>
      </c>
      <c r="D9" s="73">
        <v>33000</v>
      </c>
      <c r="E9" s="35" t="s">
        <v>24</v>
      </c>
      <c r="F9" s="73">
        <v>9300</v>
      </c>
      <c r="G9" s="8"/>
      <c r="H9" s="1"/>
      <c r="I9" s="1"/>
      <c r="J9" s="1"/>
      <c r="K9" s="1"/>
    </row>
    <row r="10" spans="1:11" ht="15">
      <c r="A10" s="1"/>
      <c r="B10" s="6"/>
      <c r="C10" s="7"/>
      <c r="D10" s="26"/>
      <c r="E10" s="35" t="s">
        <v>25</v>
      </c>
      <c r="F10" s="133">
        <f>F11-F8-F9</f>
        <v>36600</v>
      </c>
      <c r="G10" s="8"/>
      <c r="H10" s="1"/>
      <c r="I10" s="1"/>
      <c r="J10" s="1"/>
      <c r="K10" s="1"/>
    </row>
    <row r="11" spans="1:11" ht="15.75" thickBot="1">
      <c r="A11" s="1"/>
      <c r="B11" s="6"/>
      <c r="C11" s="7" t="s">
        <v>22</v>
      </c>
      <c r="D11" s="132">
        <f>D8+D9</f>
        <v>51000</v>
      </c>
      <c r="E11" s="26"/>
      <c r="F11" s="132">
        <f>D11</f>
        <v>51000</v>
      </c>
      <c r="G11" s="8"/>
      <c r="H11" s="1"/>
      <c r="I11" s="1"/>
      <c r="J11" s="1"/>
      <c r="K11" s="1"/>
    </row>
    <row r="12" spans="1:11" ht="15.75" thickTop="1">
      <c r="A12" s="1"/>
      <c r="B12" s="6"/>
      <c r="C12" s="7"/>
      <c r="D12" s="26"/>
      <c r="E12" s="26"/>
      <c r="F12" s="26"/>
      <c r="G12" s="8"/>
      <c r="H12" s="1"/>
      <c r="I12" s="1"/>
      <c r="J12" s="1"/>
      <c r="K12" s="1"/>
    </row>
    <row r="13" spans="1:11" ht="15">
      <c r="A13" s="1"/>
      <c r="B13" s="6"/>
      <c r="C13" s="146" t="s">
        <v>213</v>
      </c>
      <c r="D13" s="146"/>
      <c r="E13" s="146"/>
      <c r="F13" s="146"/>
      <c r="G13" s="8"/>
      <c r="H13" s="1"/>
      <c r="I13" s="1"/>
      <c r="J13" s="1"/>
      <c r="K13" s="1"/>
    </row>
    <row r="14" spans="1:11" ht="15">
      <c r="A14" s="1"/>
      <c r="B14" s="6"/>
      <c r="C14" s="7" t="s">
        <v>20</v>
      </c>
      <c r="D14" s="28">
        <v>3500</v>
      </c>
      <c r="E14" s="34" t="s">
        <v>23</v>
      </c>
      <c r="F14" s="26">
        <v>2100</v>
      </c>
      <c r="G14" s="8"/>
      <c r="H14" s="1"/>
      <c r="I14" s="1"/>
      <c r="J14" s="1"/>
      <c r="K14" s="1"/>
    </row>
    <row r="15" spans="1:11" ht="15">
      <c r="A15" s="1"/>
      <c r="B15" s="6"/>
      <c r="C15" s="7" t="s">
        <v>21</v>
      </c>
      <c r="D15" s="73">
        <v>8900</v>
      </c>
      <c r="E15" s="35" t="s">
        <v>24</v>
      </c>
      <c r="F15" s="73">
        <v>1400</v>
      </c>
      <c r="G15" s="8"/>
      <c r="H15" s="1"/>
      <c r="I15" s="1"/>
      <c r="J15" s="1"/>
      <c r="K15" s="1"/>
    </row>
    <row r="16" spans="1:11" ht="15">
      <c r="A16" s="1"/>
      <c r="B16" s="6"/>
      <c r="C16" s="7"/>
      <c r="D16" s="26"/>
      <c r="E16" s="35" t="s">
        <v>25</v>
      </c>
      <c r="F16" s="133">
        <f>F17-F14-F15</f>
        <v>8900</v>
      </c>
      <c r="G16" s="8"/>
      <c r="H16" s="1"/>
      <c r="I16" s="1"/>
      <c r="J16" s="1"/>
      <c r="K16" s="1"/>
    </row>
    <row r="17" spans="1:11" ht="15.75" thickBot="1">
      <c r="A17" s="1"/>
      <c r="B17" s="6"/>
      <c r="C17" s="7" t="s">
        <v>22</v>
      </c>
      <c r="D17" s="132">
        <f>D14+D15</f>
        <v>12400</v>
      </c>
      <c r="E17" s="26"/>
      <c r="F17" s="132">
        <f>D17</f>
        <v>12400</v>
      </c>
      <c r="G17" s="8"/>
      <c r="H17" s="1"/>
      <c r="I17" s="1"/>
      <c r="J17" s="1"/>
      <c r="K17" s="1"/>
    </row>
    <row r="18" spans="1:11" ht="15.75" thickTop="1">
      <c r="A18" s="1"/>
      <c r="B18" s="6"/>
      <c r="C18" s="7"/>
      <c r="D18" s="140"/>
      <c r="E18" s="26"/>
      <c r="F18" s="140"/>
      <c r="G18" s="8"/>
      <c r="H18" s="1"/>
      <c r="I18" s="1"/>
      <c r="J18" s="1"/>
      <c r="K18" s="1"/>
    </row>
    <row r="19" spans="1:11" ht="15">
      <c r="A19" s="1"/>
      <c r="B19" s="6"/>
      <c r="C19" s="7" t="s">
        <v>50</v>
      </c>
      <c r="D19" s="26"/>
      <c r="E19" s="26">
        <v>8900</v>
      </c>
      <c r="F19" s="140"/>
      <c r="G19" s="8"/>
      <c r="H19" s="1"/>
      <c r="I19" s="1"/>
      <c r="J19" s="1"/>
      <c r="K19" s="1"/>
    </row>
    <row r="20" spans="1:11" ht="15">
      <c r="A20" s="1"/>
      <c r="B20" s="6"/>
      <c r="C20" s="7" t="s">
        <v>29</v>
      </c>
      <c r="D20" s="26"/>
      <c r="E20" s="26">
        <v>15000</v>
      </c>
      <c r="F20" s="140"/>
      <c r="G20" s="8"/>
      <c r="H20" s="1"/>
      <c r="I20" s="1"/>
      <c r="J20" s="1"/>
      <c r="K20" s="1"/>
    </row>
    <row r="21" spans="1:11" ht="15.75" thickBot="1">
      <c r="A21" s="1"/>
      <c r="B21" s="9"/>
      <c r="C21" s="10"/>
      <c r="D21" s="13"/>
      <c r="E21" s="10"/>
      <c r="F21" s="10"/>
      <c r="G21" s="1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2" t="s">
        <v>2</v>
      </c>
      <c r="D23" s="1"/>
      <c r="E23" s="1"/>
      <c r="F23" s="1"/>
      <c r="G23" s="1"/>
      <c r="H23" s="1"/>
      <c r="I23" s="1"/>
      <c r="J23" s="1"/>
      <c r="K23" s="1"/>
    </row>
    <row r="24" spans="1:11" ht="15.75" thickBo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4"/>
      <c r="C25" s="15"/>
      <c r="D25" s="23"/>
      <c r="E25" s="15"/>
      <c r="F25" s="15"/>
      <c r="G25" s="16"/>
      <c r="H25" s="1"/>
      <c r="I25" s="1"/>
      <c r="J25" s="1"/>
      <c r="K25" s="1"/>
    </row>
    <row r="26" spans="1:11" ht="15">
      <c r="A26" s="1"/>
      <c r="B26" s="17"/>
      <c r="C26" s="18" t="s">
        <v>18</v>
      </c>
      <c r="D26" s="24"/>
      <c r="E26" s="18"/>
      <c r="F26" s="141">
        <f>E20-E19-D14</f>
        <v>2600</v>
      </c>
      <c r="G26" s="19"/>
      <c r="H26" s="1"/>
      <c r="I26" s="1"/>
      <c r="J26" s="1"/>
      <c r="K26" s="1"/>
    </row>
    <row r="27" spans="1:11" ht="15">
      <c r="A27" s="1"/>
      <c r="B27" s="17"/>
      <c r="C27" s="18"/>
      <c r="D27" s="24"/>
      <c r="E27" s="18"/>
      <c r="F27" s="18"/>
      <c r="G27" s="19"/>
      <c r="H27" s="1"/>
      <c r="I27" s="1"/>
      <c r="J27" s="1"/>
      <c r="K27" s="1"/>
    </row>
    <row r="28" spans="1:11" ht="15">
      <c r="A28" s="1"/>
      <c r="B28" s="17"/>
      <c r="C28" s="18"/>
      <c r="D28" s="24"/>
      <c r="E28" s="18"/>
      <c r="F28" s="18"/>
      <c r="G28" s="19"/>
      <c r="H28" s="1"/>
      <c r="I28" s="1"/>
      <c r="J28" s="1"/>
      <c r="K28" s="1"/>
    </row>
    <row r="29" spans="1:11" ht="15">
      <c r="A29" s="1"/>
      <c r="B29" s="17"/>
      <c r="C29" s="145" t="s">
        <v>214</v>
      </c>
      <c r="D29" s="145"/>
      <c r="E29" s="145"/>
      <c r="F29" s="145"/>
      <c r="G29" s="19"/>
      <c r="H29" s="1"/>
      <c r="I29" s="1"/>
      <c r="J29" s="1"/>
      <c r="K29" s="1"/>
    </row>
    <row r="30" spans="1:11" ht="15.75">
      <c r="A30" s="1"/>
      <c r="B30" s="17"/>
      <c r="C30" s="18" t="s">
        <v>20</v>
      </c>
      <c r="D30" s="57">
        <f>D8+D14</f>
        <v>21500</v>
      </c>
      <c r="E30" s="37" t="s">
        <v>23</v>
      </c>
      <c r="F30" s="58">
        <f>F8</f>
        <v>5100</v>
      </c>
      <c r="G30" s="19"/>
      <c r="H30" s="1"/>
      <c r="I30" s="1"/>
      <c r="J30" s="1"/>
      <c r="K30" s="1"/>
    </row>
    <row r="31" spans="1:11" ht="15.75">
      <c r="A31" s="1"/>
      <c r="B31" s="17"/>
      <c r="C31" s="18" t="s">
        <v>21</v>
      </c>
      <c r="D31" s="134">
        <f>E19+D9</f>
        <v>41900</v>
      </c>
      <c r="E31" s="39" t="s">
        <v>24</v>
      </c>
      <c r="F31" s="134">
        <f>F9+E20</f>
        <v>24300</v>
      </c>
      <c r="G31" s="19"/>
      <c r="H31" s="1"/>
      <c r="I31" s="1"/>
      <c r="J31" s="1"/>
      <c r="K31" s="1"/>
    </row>
    <row r="32" spans="1:11" ht="15.75">
      <c r="A32" s="1"/>
      <c r="B32" s="17"/>
      <c r="C32" s="18" t="s">
        <v>18</v>
      </c>
      <c r="D32" s="134">
        <f>F26</f>
        <v>2600</v>
      </c>
      <c r="E32" s="39" t="s">
        <v>25</v>
      </c>
      <c r="F32" s="134">
        <f>F10</f>
        <v>36600</v>
      </c>
      <c r="G32" s="19"/>
      <c r="H32" s="1"/>
      <c r="I32" s="1"/>
      <c r="J32" s="1"/>
      <c r="K32" s="1"/>
    </row>
    <row r="33" spans="1:11" ht="16.5" thickBot="1">
      <c r="A33" s="1"/>
      <c r="B33" s="17"/>
      <c r="C33" s="18" t="s">
        <v>22</v>
      </c>
      <c r="D33" s="59">
        <f>D30+D31+D32</f>
        <v>66000</v>
      </c>
      <c r="E33" s="38"/>
      <c r="F33" s="59">
        <f>F30+F31+F32</f>
        <v>66000</v>
      </c>
      <c r="G33" s="19"/>
      <c r="H33" s="1"/>
      <c r="I33" s="1"/>
      <c r="J33" s="1"/>
      <c r="K33" s="1"/>
    </row>
    <row r="34" spans="1:11" ht="16.5" thickTop="1" thickBot="1">
      <c r="A34" s="1"/>
      <c r="B34" s="20"/>
      <c r="C34" s="21"/>
      <c r="D34" s="25"/>
      <c r="E34" s="21"/>
      <c r="F34" s="21"/>
      <c r="G34" s="22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</sheetData>
  <mergeCells count="3">
    <mergeCell ref="C29:F29"/>
    <mergeCell ref="C7:F7"/>
    <mergeCell ref="C13:F13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K78"/>
  <sheetViews>
    <sheetView workbookViewId="0"/>
  </sheetViews>
  <sheetFormatPr defaultRowHeight="12.75"/>
  <cols>
    <col min="2" max="2" width="3.140625" customWidth="1"/>
    <col min="3" max="6" width="18.140625" customWidth="1"/>
    <col min="7" max="7" width="3.140625" customWidth="1"/>
  </cols>
  <sheetData>
    <row r="1" spans="1:11" ht="18">
      <c r="A1" s="1"/>
      <c r="B1" s="1"/>
      <c r="C1" s="54" t="s">
        <v>207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26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12"/>
      <c r="E6" s="4"/>
      <c r="F6" s="4"/>
      <c r="G6" s="5"/>
      <c r="H6" s="1"/>
      <c r="I6" s="1"/>
      <c r="J6" s="1"/>
      <c r="K6" s="1"/>
    </row>
    <row r="7" spans="1:11" ht="15">
      <c r="A7" s="1"/>
      <c r="B7" s="6"/>
      <c r="C7" s="146" t="s">
        <v>221</v>
      </c>
      <c r="D7" s="146"/>
      <c r="E7" s="146"/>
      <c r="F7" s="146"/>
      <c r="G7" s="8"/>
      <c r="H7" s="1"/>
      <c r="I7" s="1"/>
      <c r="J7" s="1"/>
      <c r="K7" s="1"/>
    </row>
    <row r="8" spans="1:11" ht="15">
      <c r="A8" s="1"/>
      <c r="B8" s="6"/>
      <c r="C8" s="7" t="s">
        <v>20</v>
      </c>
      <c r="D8" s="60">
        <f ca="1">'#3'!D8</f>
        <v>18000</v>
      </c>
      <c r="E8" s="34" t="s">
        <v>23</v>
      </c>
      <c r="F8" s="56">
        <f ca="1">'#3'!F8</f>
        <v>5100</v>
      </c>
      <c r="G8" s="8"/>
      <c r="H8" s="1"/>
      <c r="I8" s="1"/>
      <c r="J8" s="1"/>
      <c r="K8" s="1"/>
    </row>
    <row r="9" spans="1:11" ht="15">
      <c r="A9" s="1"/>
      <c r="B9" s="6"/>
      <c r="C9" s="7" t="s">
        <v>21</v>
      </c>
      <c r="D9" s="56">
        <f ca="1">'#3'!D9</f>
        <v>33000</v>
      </c>
      <c r="E9" s="35" t="s">
        <v>24</v>
      </c>
      <c r="F9" s="56">
        <f ca="1">'#3'!F9</f>
        <v>9300</v>
      </c>
      <c r="G9" s="8"/>
      <c r="H9" s="1"/>
      <c r="I9" s="1"/>
      <c r="J9" s="1"/>
      <c r="K9" s="1"/>
    </row>
    <row r="10" spans="1:11" ht="15">
      <c r="A10" s="1"/>
      <c r="B10" s="6"/>
      <c r="C10" s="7"/>
      <c r="D10" s="56"/>
      <c r="E10" s="35" t="s">
        <v>25</v>
      </c>
      <c r="F10" s="56">
        <f ca="1">'#3'!F10</f>
        <v>36600</v>
      </c>
      <c r="G10" s="8"/>
      <c r="H10" s="1"/>
      <c r="I10" s="1"/>
      <c r="J10" s="1"/>
      <c r="K10" s="1"/>
    </row>
    <row r="11" spans="1:11" ht="15.75" thickBot="1">
      <c r="A11" s="1"/>
      <c r="B11" s="6"/>
      <c r="C11" s="7" t="s">
        <v>22</v>
      </c>
      <c r="D11" s="61">
        <f>D8+D9</f>
        <v>51000</v>
      </c>
      <c r="E11" s="26"/>
      <c r="F11" s="61">
        <f>F8+F9+F10</f>
        <v>51000</v>
      </c>
      <c r="G11" s="8"/>
      <c r="H11" s="1"/>
      <c r="I11" s="1"/>
      <c r="J11" s="1"/>
      <c r="K11" s="1"/>
    </row>
    <row r="12" spans="1:11" ht="15.75" thickTop="1">
      <c r="A12" s="1"/>
      <c r="B12" s="6"/>
      <c r="C12" s="7"/>
      <c r="D12" s="26"/>
      <c r="E12" s="26"/>
      <c r="F12" s="26"/>
      <c r="G12" s="8"/>
      <c r="H12" s="1"/>
      <c r="I12" s="1"/>
      <c r="J12" s="1"/>
      <c r="K12" s="1"/>
    </row>
    <row r="13" spans="1:11" ht="15">
      <c r="A13" s="1"/>
      <c r="B13" s="6"/>
      <c r="C13" s="146" t="s">
        <v>222</v>
      </c>
      <c r="D13" s="146"/>
      <c r="E13" s="146"/>
      <c r="F13" s="146"/>
      <c r="G13" s="8"/>
      <c r="H13" s="1"/>
      <c r="I13" s="1"/>
      <c r="J13" s="1"/>
      <c r="K13" s="1"/>
    </row>
    <row r="14" spans="1:11" ht="15">
      <c r="A14" s="1"/>
      <c r="B14" s="6"/>
      <c r="C14" s="7" t="s">
        <v>20</v>
      </c>
      <c r="D14" s="60">
        <f ca="1">'#3'!D14</f>
        <v>3500</v>
      </c>
      <c r="E14" s="34" t="s">
        <v>23</v>
      </c>
      <c r="F14" s="56">
        <f ca="1">'#3'!F14</f>
        <v>2100</v>
      </c>
      <c r="G14" s="8"/>
      <c r="H14" s="1"/>
      <c r="I14" s="1"/>
      <c r="J14" s="1"/>
      <c r="K14" s="1"/>
    </row>
    <row r="15" spans="1:11" ht="15">
      <c r="A15" s="1"/>
      <c r="B15" s="6"/>
      <c r="C15" s="7" t="s">
        <v>21</v>
      </c>
      <c r="D15" s="56">
        <f ca="1">'#3'!D15</f>
        <v>8900</v>
      </c>
      <c r="E15" s="35" t="s">
        <v>24</v>
      </c>
      <c r="F15" s="56">
        <f ca="1">'#3'!F15</f>
        <v>1400</v>
      </c>
      <c r="G15" s="8"/>
      <c r="H15" s="1"/>
      <c r="I15" s="1"/>
      <c r="J15" s="1"/>
      <c r="K15" s="1"/>
    </row>
    <row r="16" spans="1:11" ht="15">
      <c r="A16" s="1"/>
      <c r="B16" s="6"/>
      <c r="C16" s="7"/>
      <c r="D16" s="56"/>
      <c r="E16" s="35" t="s">
        <v>25</v>
      </c>
      <c r="F16" s="56">
        <f ca="1">'#3'!F16</f>
        <v>8900</v>
      </c>
      <c r="G16" s="8"/>
      <c r="H16" s="1"/>
      <c r="I16" s="1"/>
      <c r="J16" s="1"/>
      <c r="K16" s="1"/>
    </row>
    <row r="17" spans="1:11" ht="15.75" thickBot="1">
      <c r="A17" s="1"/>
      <c r="B17" s="6"/>
      <c r="C17" s="7" t="s">
        <v>22</v>
      </c>
      <c r="D17" s="61">
        <f>D14+D15</f>
        <v>12400</v>
      </c>
      <c r="E17" s="26"/>
      <c r="F17" s="61">
        <f>F14+F15+F16</f>
        <v>12400</v>
      </c>
      <c r="G17" s="8"/>
      <c r="H17" s="1"/>
      <c r="I17" s="1"/>
      <c r="J17" s="1"/>
      <c r="K17" s="1"/>
    </row>
    <row r="18" spans="1:11" ht="15.75" thickTop="1">
      <c r="A18" s="1"/>
      <c r="B18" s="6"/>
      <c r="C18" s="7"/>
      <c r="D18" s="26"/>
      <c r="E18" s="26"/>
      <c r="F18" s="26"/>
      <c r="G18" s="8"/>
      <c r="H18" s="1"/>
      <c r="I18" s="1"/>
      <c r="J18" s="1"/>
      <c r="K18" s="1"/>
    </row>
    <row r="19" spans="1:11" ht="15">
      <c r="A19" s="1"/>
      <c r="B19" s="6"/>
      <c r="C19" s="7" t="s">
        <v>50</v>
      </c>
      <c r="D19" s="26"/>
      <c r="E19" s="26">
        <v>15000</v>
      </c>
      <c r="F19" s="26"/>
      <c r="G19" s="8"/>
      <c r="H19" s="1"/>
      <c r="I19" s="1"/>
      <c r="J19" s="1"/>
      <c r="K19" s="1"/>
    </row>
    <row r="20" spans="1:11" ht="15">
      <c r="A20" s="1"/>
      <c r="B20" s="6"/>
      <c r="C20" s="7" t="s">
        <v>29</v>
      </c>
      <c r="D20" s="26"/>
      <c r="E20" s="26">
        <v>23000</v>
      </c>
      <c r="F20" s="26"/>
      <c r="G20" s="8"/>
      <c r="H20" s="1"/>
      <c r="I20" s="1"/>
      <c r="J20" s="1"/>
      <c r="K20" s="1"/>
    </row>
    <row r="21" spans="1:11" ht="15.75" thickBot="1">
      <c r="A21" s="1"/>
      <c r="B21" s="9"/>
      <c r="C21" s="10"/>
      <c r="D21" s="13"/>
      <c r="E21" s="10"/>
      <c r="F21" s="10"/>
      <c r="G21" s="1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2" t="s">
        <v>2</v>
      </c>
      <c r="D23" s="1"/>
      <c r="E23" s="1"/>
      <c r="F23" s="1"/>
      <c r="G23" s="1"/>
      <c r="H23" s="1"/>
      <c r="I23" s="1"/>
      <c r="J23" s="1"/>
      <c r="K23" s="1"/>
    </row>
    <row r="24" spans="1:11" ht="15.75" thickBo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4"/>
      <c r="C25" s="15"/>
      <c r="D25" s="23"/>
      <c r="E25" s="15"/>
      <c r="F25" s="15"/>
      <c r="G25" s="16"/>
      <c r="H25" s="1"/>
      <c r="I25" s="1"/>
      <c r="J25" s="1"/>
      <c r="K25" s="1"/>
    </row>
    <row r="26" spans="1:11" ht="15">
      <c r="A26" s="1"/>
      <c r="B26" s="17"/>
      <c r="C26" s="18" t="s">
        <v>18</v>
      </c>
      <c r="D26" s="36"/>
      <c r="E26" s="18"/>
      <c r="F26" s="62">
        <f>E20-E19-D14</f>
        <v>4500</v>
      </c>
      <c r="G26" s="19"/>
      <c r="H26" s="1"/>
      <c r="I26" s="1"/>
      <c r="J26" s="1"/>
      <c r="K26" s="1"/>
    </row>
    <row r="27" spans="1:11" ht="15">
      <c r="A27" s="1"/>
      <c r="B27" s="17"/>
      <c r="C27" s="18"/>
      <c r="D27" s="24"/>
      <c r="E27" s="18"/>
      <c r="F27" s="18"/>
      <c r="G27" s="19"/>
      <c r="H27" s="1"/>
      <c r="I27" s="1"/>
      <c r="J27" s="1"/>
      <c r="K27" s="1"/>
    </row>
    <row r="28" spans="1:11" ht="15">
      <c r="A28" s="1"/>
      <c r="B28" s="17"/>
      <c r="C28" s="145" t="s">
        <v>223</v>
      </c>
      <c r="D28" s="145"/>
      <c r="E28" s="145"/>
      <c r="F28" s="145"/>
      <c r="G28" s="19"/>
      <c r="H28" s="1"/>
      <c r="I28" s="1"/>
      <c r="J28" s="1"/>
      <c r="K28" s="1"/>
    </row>
    <row r="29" spans="1:11" ht="15.75">
      <c r="A29" s="1"/>
      <c r="B29" s="17"/>
      <c r="C29" s="18" t="s">
        <v>20</v>
      </c>
      <c r="D29" s="57">
        <f>D8+D14</f>
        <v>21500</v>
      </c>
      <c r="E29" s="37" t="s">
        <v>23</v>
      </c>
      <c r="F29" s="58">
        <f>F8</f>
        <v>5100</v>
      </c>
      <c r="G29" s="19"/>
      <c r="H29" s="1"/>
      <c r="I29" s="1"/>
      <c r="J29" s="1"/>
      <c r="K29" s="1"/>
    </row>
    <row r="30" spans="1:11" ht="15.75">
      <c r="A30" s="1"/>
      <c r="B30" s="17"/>
      <c r="C30" s="18" t="s">
        <v>21</v>
      </c>
      <c r="D30" s="134">
        <f>E19+D9</f>
        <v>48000</v>
      </c>
      <c r="E30" s="39" t="s">
        <v>24</v>
      </c>
      <c r="F30" s="134">
        <f>E20+F9</f>
        <v>32300</v>
      </c>
      <c r="G30" s="19"/>
      <c r="H30" s="1"/>
      <c r="I30" s="1"/>
      <c r="J30" s="1"/>
      <c r="K30" s="1"/>
    </row>
    <row r="31" spans="1:11" ht="15.75">
      <c r="A31" s="1"/>
      <c r="B31" s="17"/>
      <c r="C31" s="18" t="s">
        <v>18</v>
      </c>
      <c r="D31" s="134">
        <f>F26</f>
        <v>4500</v>
      </c>
      <c r="E31" s="39" t="s">
        <v>25</v>
      </c>
      <c r="F31" s="134">
        <f>F10</f>
        <v>36600</v>
      </c>
      <c r="G31" s="19"/>
      <c r="H31" s="1"/>
      <c r="I31" s="1"/>
      <c r="J31" s="1"/>
      <c r="K31" s="1"/>
    </row>
    <row r="32" spans="1:11" ht="16.5" thickBot="1">
      <c r="A32" s="1"/>
      <c r="B32" s="17"/>
      <c r="C32" s="18" t="s">
        <v>22</v>
      </c>
      <c r="D32" s="59">
        <f>D29+D30+D31</f>
        <v>74000</v>
      </c>
      <c r="E32" s="38"/>
      <c r="F32" s="59">
        <f>F29+F30+F31</f>
        <v>74000</v>
      </c>
      <c r="G32" s="19"/>
      <c r="H32" s="1"/>
      <c r="I32" s="1"/>
      <c r="J32" s="1"/>
      <c r="K32" s="1"/>
    </row>
    <row r="33" spans="1:11" ht="16.5" thickTop="1" thickBot="1">
      <c r="A33" s="1"/>
      <c r="B33" s="20"/>
      <c r="C33" s="21"/>
      <c r="D33" s="21"/>
      <c r="E33" s="21"/>
      <c r="F33" s="21"/>
      <c r="G33" s="22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</sheetData>
  <mergeCells count="3">
    <mergeCell ref="C7:F7"/>
    <mergeCell ref="C13:F13"/>
    <mergeCell ref="C28:F28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  <ignoredErrors>
    <ignoredError sqref="F3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K83"/>
  <sheetViews>
    <sheetView workbookViewId="0"/>
  </sheetViews>
  <sheetFormatPr defaultRowHeight="12.75"/>
  <cols>
    <col min="2" max="2" width="3.140625" customWidth="1"/>
    <col min="3" max="6" width="18.140625" customWidth="1"/>
    <col min="7" max="7" width="3.140625" customWidth="1"/>
  </cols>
  <sheetData>
    <row r="1" spans="1:11" ht="18">
      <c r="A1" s="1"/>
      <c r="B1" s="1"/>
      <c r="C1" s="54" t="s">
        <v>207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27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12"/>
      <c r="E6" s="4"/>
      <c r="F6" s="4"/>
      <c r="G6" s="5"/>
      <c r="H6" s="1"/>
      <c r="I6" s="1"/>
      <c r="J6" s="1"/>
      <c r="K6" s="1"/>
    </row>
    <row r="7" spans="1:11" ht="15">
      <c r="A7" s="1"/>
      <c r="B7" s="6"/>
      <c r="C7" s="146" t="s">
        <v>52</v>
      </c>
      <c r="D7" s="146"/>
      <c r="E7" s="146"/>
      <c r="F7" s="146"/>
      <c r="G7" s="8"/>
      <c r="H7" s="1"/>
      <c r="I7" s="1"/>
      <c r="J7" s="1"/>
      <c r="K7" s="1"/>
    </row>
    <row r="8" spans="1:11" ht="15">
      <c r="A8" s="1"/>
      <c r="B8" s="6"/>
      <c r="C8" s="7" t="s">
        <v>20</v>
      </c>
      <c r="D8" s="28">
        <v>8600</v>
      </c>
      <c r="E8" s="34" t="s">
        <v>23</v>
      </c>
      <c r="F8" s="26">
        <v>5200</v>
      </c>
      <c r="G8" s="8"/>
      <c r="H8" s="1"/>
      <c r="I8" s="1"/>
      <c r="J8" s="1"/>
      <c r="K8" s="1"/>
    </row>
    <row r="9" spans="1:11" ht="15">
      <c r="A9" s="1"/>
      <c r="B9" s="6"/>
      <c r="C9" s="7" t="s">
        <v>30</v>
      </c>
      <c r="D9" s="73">
        <v>1800</v>
      </c>
      <c r="E9" s="35" t="s">
        <v>24</v>
      </c>
      <c r="F9" s="73">
        <v>3700</v>
      </c>
      <c r="G9" s="8"/>
      <c r="H9" s="1"/>
      <c r="I9" s="1"/>
      <c r="J9" s="1"/>
      <c r="K9" s="1"/>
    </row>
    <row r="10" spans="1:11" ht="15">
      <c r="A10" s="1"/>
      <c r="B10" s="6"/>
      <c r="C10" s="7" t="s">
        <v>21</v>
      </c>
      <c r="D10" s="73">
        <v>15800</v>
      </c>
      <c r="E10" s="35" t="s">
        <v>25</v>
      </c>
      <c r="F10" s="133">
        <f>F11-F8-F9</f>
        <v>17300</v>
      </c>
      <c r="G10" s="8"/>
      <c r="H10" s="1"/>
      <c r="I10" s="1"/>
      <c r="J10" s="1"/>
      <c r="K10" s="1"/>
    </row>
    <row r="11" spans="1:11" ht="15.75" thickBot="1">
      <c r="A11" s="1"/>
      <c r="B11" s="6"/>
      <c r="C11" s="7" t="s">
        <v>22</v>
      </c>
      <c r="D11" s="132">
        <f>SUM(D8:D10)</f>
        <v>26200</v>
      </c>
      <c r="E11" s="26"/>
      <c r="F11" s="132">
        <f>D11</f>
        <v>26200</v>
      </c>
      <c r="G11" s="8"/>
      <c r="H11" s="1"/>
      <c r="I11" s="1"/>
      <c r="J11" s="1"/>
      <c r="K11" s="1"/>
    </row>
    <row r="12" spans="1:11" ht="15.75" thickTop="1">
      <c r="A12" s="1"/>
      <c r="B12" s="6"/>
      <c r="C12" s="7"/>
      <c r="D12" s="26"/>
      <c r="E12" s="26"/>
      <c r="F12" s="26"/>
      <c r="G12" s="8"/>
      <c r="H12" s="1"/>
      <c r="I12" s="1"/>
      <c r="J12" s="1"/>
      <c r="K12" s="1"/>
    </row>
    <row r="13" spans="1:11" ht="15">
      <c r="A13" s="1"/>
      <c r="B13" s="6"/>
      <c r="C13" s="146" t="s">
        <v>53</v>
      </c>
      <c r="D13" s="146"/>
      <c r="E13" s="146"/>
      <c r="F13" s="146"/>
      <c r="G13" s="8"/>
      <c r="H13" s="1"/>
      <c r="I13" s="1"/>
      <c r="J13" s="1"/>
      <c r="K13" s="1"/>
    </row>
    <row r="14" spans="1:11" ht="15">
      <c r="A14" s="1"/>
      <c r="B14" s="6"/>
      <c r="C14" s="7" t="s">
        <v>20</v>
      </c>
      <c r="D14" s="28">
        <v>2500</v>
      </c>
      <c r="E14" s="34" t="s">
        <v>23</v>
      </c>
      <c r="F14" s="26">
        <v>2300</v>
      </c>
      <c r="G14" s="8"/>
      <c r="H14" s="1"/>
      <c r="I14" s="1"/>
      <c r="J14" s="1"/>
      <c r="K14" s="1"/>
    </row>
    <row r="15" spans="1:11" ht="15">
      <c r="A15" s="1"/>
      <c r="B15" s="6"/>
      <c r="C15" s="7" t="s">
        <v>30</v>
      </c>
      <c r="D15" s="73">
        <v>850</v>
      </c>
      <c r="E15" s="35" t="s">
        <v>24</v>
      </c>
      <c r="F15" s="73">
        <v>0</v>
      </c>
      <c r="G15" s="8"/>
      <c r="H15" s="1"/>
      <c r="I15" s="1"/>
      <c r="J15" s="1"/>
      <c r="K15" s="1"/>
    </row>
    <row r="16" spans="1:11" ht="15">
      <c r="A16" s="1"/>
      <c r="B16" s="6"/>
      <c r="C16" s="7" t="s">
        <v>21</v>
      </c>
      <c r="D16" s="73">
        <v>5800</v>
      </c>
      <c r="E16" s="35" t="s">
        <v>25</v>
      </c>
      <c r="F16" s="133">
        <f>F17-F15-F14</f>
        <v>6850</v>
      </c>
      <c r="G16" s="8"/>
      <c r="H16" s="1"/>
      <c r="I16" s="1"/>
      <c r="J16" s="1"/>
      <c r="K16" s="1"/>
    </row>
    <row r="17" spans="1:11" ht="15.75" thickBot="1">
      <c r="A17" s="1"/>
      <c r="B17" s="6"/>
      <c r="C17" s="7" t="s">
        <v>22</v>
      </c>
      <c r="D17" s="132">
        <f>D14+D15+D16</f>
        <v>9150</v>
      </c>
      <c r="E17" s="26"/>
      <c r="F17" s="132">
        <f>D17</f>
        <v>9150</v>
      </c>
      <c r="G17" s="8"/>
      <c r="H17" s="1"/>
      <c r="I17" s="1"/>
      <c r="J17" s="1"/>
      <c r="K17" s="1"/>
    </row>
    <row r="18" spans="1:11" ht="15.75" thickTop="1">
      <c r="A18" s="1"/>
      <c r="B18" s="6"/>
      <c r="C18" s="7"/>
      <c r="D18" s="140"/>
      <c r="E18" s="26"/>
      <c r="F18" s="140"/>
      <c r="G18" s="8"/>
      <c r="H18" s="1"/>
      <c r="I18" s="1"/>
      <c r="J18" s="1"/>
      <c r="K18" s="1"/>
    </row>
    <row r="19" spans="1:11" ht="15">
      <c r="A19" s="1"/>
      <c r="B19" s="6"/>
      <c r="C19" s="7" t="s">
        <v>54</v>
      </c>
      <c r="D19" s="26"/>
      <c r="E19" s="26">
        <v>5800</v>
      </c>
      <c r="F19" s="140"/>
      <c r="G19" s="8"/>
      <c r="H19" s="1"/>
      <c r="I19" s="1"/>
      <c r="J19" s="1"/>
      <c r="K19" s="1"/>
    </row>
    <row r="20" spans="1:11" ht="15">
      <c r="A20" s="1"/>
      <c r="B20" s="6"/>
      <c r="C20" s="7" t="s">
        <v>31</v>
      </c>
      <c r="D20" s="26"/>
      <c r="E20" s="26">
        <v>13800</v>
      </c>
      <c r="F20" s="140"/>
      <c r="G20" s="8"/>
      <c r="H20" s="1"/>
      <c r="I20" s="1"/>
      <c r="J20" s="1"/>
      <c r="K20" s="1"/>
    </row>
    <row r="21" spans="1:11" ht="15.75" thickBot="1">
      <c r="A21" s="1"/>
      <c r="B21" s="9"/>
      <c r="C21" s="10"/>
      <c r="D21" s="13"/>
      <c r="E21" s="10"/>
      <c r="F21" s="10"/>
      <c r="G21" s="1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2" t="s">
        <v>2</v>
      </c>
      <c r="D23" s="1"/>
      <c r="E23" s="1"/>
      <c r="F23" s="1"/>
      <c r="G23" s="1"/>
      <c r="H23" s="1"/>
      <c r="I23" s="1"/>
      <c r="J23" s="1"/>
      <c r="K23" s="1"/>
    </row>
    <row r="24" spans="1:11" ht="15.75" thickBo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4"/>
      <c r="C25" s="15"/>
      <c r="D25" s="23"/>
      <c r="E25" s="15"/>
      <c r="F25" s="15"/>
      <c r="G25" s="16"/>
      <c r="H25" s="1"/>
      <c r="I25" s="1"/>
      <c r="J25" s="1"/>
      <c r="K25" s="1"/>
    </row>
    <row r="26" spans="1:11" ht="15">
      <c r="A26" s="1"/>
      <c r="B26" s="17"/>
      <c r="C26" s="18" t="s">
        <v>18</v>
      </c>
      <c r="D26" s="142"/>
      <c r="E26" s="18"/>
      <c r="F26" s="62">
        <f>E20-E19-(D15+D14)</f>
        <v>4650</v>
      </c>
      <c r="G26" s="19"/>
      <c r="H26" s="1"/>
      <c r="I26" s="1"/>
      <c r="J26" s="1"/>
      <c r="K26" s="1"/>
    </row>
    <row r="27" spans="1:11" ht="15">
      <c r="A27" s="1"/>
      <c r="B27" s="17"/>
      <c r="C27" s="18"/>
      <c r="D27" s="24"/>
      <c r="E27" s="18"/>
      <c r="F27" s="18"/>
      <c r="G27" s="19"/>
      <c r="H27" s="1"/>
      <c r="I27" s="1"/>
      <c r="J27" s="1"/>
      <c r="K27" s="1"/>
    </row>
    <row r="28" spans="1:11" ht="15">
      <c r="A28" s="1"/>
      <c r="B28" s="17"/>
      <c r="C28" s="145" t="s">
        <v>51</v>
      </c>
      <c r="D28" s="145"/>
      <c r="E28" s="145"/>
      <c r="F28" s="145"/>
      <c r="G28" s="19"/>
      <c r="H28" s="1"/>
      <c r="I28" s="1"/>
      <c r="J28" s="1"/>
      <c r="K28" s="1"/>
    </row>
    <row r="29" spans="1:11" ht="15.75">
      <c r="A29" s="1"/>
      <c r="B29" s="17"/>
      <c r="C29" s="18" t="s">
        <v>20</v>
      </c>
      <c r="D29" s="57">
        <f>D8+D14</f>
        <v>11100</v>
      </c>
      <c r="E29" s="37" t="s">
        <v>23</v>
      </c>
      <c r="F29" s="58">
        <f>F8</f>
        <v>5200</v>
      </c>
      <c r="G29" s="19"/>
      <c r="H29" s="1"/>
      <c r="I29" s="1"/>
      <c r="J29" s="1"/>
      <c r="K29" s="1"/>
    </row>
    <row r="30" spans="1:11" ht="15.75">
      <c r="A30" s="1"/>
      <c r="B30" s="17"/>
      <c r="C30" s="18" t="s">
        <v>30</v>
      </c>
      <c r="D30" s="134">
        <f>D9+D15</f>
        <v>2650</v>
      </c>
      <c r="E30" s="39" t="s">
        <v>24</v>
      </c>
      <c r="F30" s="134">
        <f>E20+F9</f>
        <v>17500</v>
      </c>
      <c r="G30" s="19"/>
      <c r="H30" s="1"/>
      <c r="I30" s="1"/>
      <c r="J30" s="1"/>
      <c r="K30" s="1"/>
    </row>
    <row r="31" spans="1:11" ht="15.75">
      <c r="A31" s="1"/>
      <c r="B31" s="17"/>
      <c r="C31" s="18" t="s">
        <v>21</v>
      </c>
      <c r="D31" s="134">
        <f>E19+D10</f>
        <v>21600</v>
      </c>
      <c r="E31" s="39" t="s">
        <v>25</v>
      </c>
      <c r="F31" s="134">
        <f>F10</f>
        <v>17300</v>
      </c>
      <c r="G31" s="19"/>
      <c r="H31" s="1"/>
      <c r="I31" s="1"/>
      <c r="J31" s="1"/>
      <c r="K31" s="1"/>
    </row>
    <row r="32" spans="1:11" ht="15.75">
      <c r="A32" s="1"/>
      <c r="B32" s="17"/>
      <c r="C32" s="144" t="s">
        <v>18</v>
      </c>
      <c r="D32" s="134">
        <f>F26</f>
        <v>4650</v>
      </c>
      <c r="E32" s="143"/>
      <c r="F32" s="143"/>
      <c r="G32" s="19"/>
      <c r="H32" s="1"/>
      <c r="I32" s="1"/>
      <c r="J32" s="1"/>
      <c r="K32" s="1"/>
    </row>
    <row r="33" spans="1:11" ht="16.5" thickBot="1">
      <c r="A33" s="1"/>
      <c r="B33" s="17"/>
      <c r="C33" s="18" t="s">
        <v>22</v>
      </c>
      <c r="D33" s="59">
        <f>SUM(D29:D32)</f>
        <v>40000</v>
      </c>
      <c r="E33" s="38"/>
      <c r="F33" s="59">
        <f>F29+F30+F31</f>
        <v>40000</v>
      </c>
      <c r="G33" s="19"/>
      <c r="H33" s="1"/>
      <c r="I33" s="1"/>
      <c r="J33" s="1"/>
      <c r="K33" s="1"/>
    </row>
    <row r="34" spans="1:11" ht="16.5" thickTop="1" thickBot="1">
      <c r="A34" s="1"/>
      <c r="B34" s="20"/>
      <c r="C34" s="21"/>
      <c r="D34" s="21"/>
      <c r="E34" s="21"/>
      <c r="F34" s="21"/>
      <c r="G34" s="22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</sheetData>
  <mergeCells count="3">
    <mergeCell ref="C28:F28"/>
    <mergeCell ref="C7:F7"/>
    <mergeCell ref="C13:F13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K83"/>
  <sheetViews>
    <sheetView workbookViewId="0"/>
  </sheetViews>
  <sheetFormatPr defaultRowHeight="12.75"/>
  <cols>
    <col min="2" max="2" width="3.140625" customWidth="1"/>
    <col min="3" max="6" width="18.140625" customWidth="1"/>
    <col min="7" max="7" width="3.140625" customWidth="1"/>
  </cols>
  <sheetData>
    <row r="1" spans="1:11" ht="18">
      <c r="A1" s="1"/>
      <c r="B1" s="1"/>
      <c r="C1" s="54" t="s">
        <v>207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28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12"/>
      <c r="E6" s="4"/>
      <c r="F6" s="4"/>
      <c r="G6" s="5"/>
      <c r="H6" s="1"/>
      <c r="I6" s="1"/>
      <c r="J6" s="1"/>
      <c r="K6" s="1"/>
    </row>
    <row r="7" spans="1:11" ht="15">
      <c r="A7" s="1"/>
      <c r="B7" s="6"/>
      <c r="C7" s="146" t="s">
        <v>52</v>
      </c>
      <c r="D7" s="146"/>
      <c r="E7" s="146"/>
      <c r="F7" s="146"/>
      <c r="G7" s="8"/>
      <c r="H7" s="1"/>
      <c r="I7" s="1"/>
      <c r="J7" s="1"/>
      <c r="K7" s="1"/>
    </row>
    <row r="8" spans="1:11" ht="15">
      <c r="A8" s="1"/>
      <c r="B8" s="6"/>
      <c r="C8" s="7" t="s">
        <v>20</v>
      </c>
      <c r="D8" s="60">
        <f ca="1">'#5'!D8</f>
        <v>8600</v>
      </c>
      <c r="E8" s="34" t="s">
        <v>23</v>
      </c>
      <c r="F8" s="60">
        <f ca="1">'#5'!F8</f>
        <v>5200</v>
      </c>
      <c r="G8" s="8"/>
      <c r="H8" s="1"/>
      <c r="I8" s="1"/>
      <c r="J8" s="1"/>
      <c r="K8" s="1"/>
    </row>
    <row r="9" spans="1:11" ht="15">
      <c r="A9" s="1"/>
      <c r="B9" s="6"/>
      <c r="C9" s="7" t="s">
        <v>30</v>
      </c>
      <c r="D9" s="135">
        <f ca="1">'#5'!D9</f>
        <v>1800</v>
      </c>
      <c r="E9" s="35" t="s">
        <v>24</v>
      </c>
      <c r="F9" s="135">
        <f ca="1">'#5'!F9</f>
        <v>3700</v>
      </c>
      <c r="G9" s="8"/>
      <c r="H9" s="1"/>
      <c r="I9" s="1"/>
      <c r="J9" s="1"/>
      <c r="K9" s="1"/>
    </row>
    <row r="10" spans="1:11" ht="15">
      <c r="A10" s="1"/>
      <c r="B10" s="6"/>
      <c r="C10" s="7" t="s">
        <v>21</v>
      </c>
      <c r="D10" s="135">
        <f ca="1">'#5'!D10</f>
        <v>15800</v>
      </c>
      <c r="E10" s="35" t="s">
        <v>25</v>
      </c>
      <c r="F10" s="135">
        <f ca="1">'#5'!F10</f>
        <v>17300</v>
      </c>
      <c r="G10" s="8"/>
      <c r="H10" s="1"/>
      <c r="I10" s="1"/>
      <c r="J10" s="1"/>
      <c r="K10" s="1"/>
    </row>
    <row r="11" spans="1:11" ht="15.75" thickBot="1">
      <c r="A11" s="1"/>
      <c r="B11" s="6"/>
      <c r="C11" s="7" t="s">
        <v>22</v>
      </c>
      <c r="D11" s="61">
        <f>SUM(D8:D10)</f>
        <v>26200</v>
      </c>
      <c r="E11" s="26"/>
      <c r="F11" s="61">
        <f>F8+F9+F10</f>
        <v>26200</v>
      </c>
      <c r="G11" s="8"/>
      <c r="H11" s="1"/>
      <c r="I11" s="1"/>
      <c r="J11" s="1"/>
      <c r="K11" s="1"/>
    </row>
    <row r="12" spans="1:11" ht="15.75" thickTop="1">
      <c r="A12" s="1"/>
      <c r="B12" s="6"/>
      <c r="C12" s="7"/>
      <c r="D12" s="26"/>
      <c r="E12" s="26"/>
      <c r="F12" s="26"/>
      <c r="G12" s="8"/>
      <c r="H12" s="1"/>
      <c r="I12" s="1"/>
      <c r="J12" s="1"/>
      <c r="K12" s="1"/>
    </row>
    <row r="13" spans="1:11" ht="15">
      <c r="A13" s="1"/>
      <c r="B13" s="6"/>
      <c r="C13" s="146" t="s">
        <v>53</v>
      </c>
      <c r="D13" s="146"/>
      <c r="E13" s="146"/>
      <c r="F13" s="146"/>
      <c r="G13" s="8"/>
      <c r="H13" s="1"/>
      <c r="I13" s="1"/>
      <c r="J13" s="1"/>
      <c r="K13" s="1"/>
    </row>
    <row r="14" spans="1:11" ht="15">
      <c r="A14" s="1"/>
      <c r="B14" s="6"/>
      <c r="C14" s="7" t="s">
        <v>20</v>
      </c>
      <c r="D14" s="60">
        <f ca="1">'#5'!D14</f>
        <v>2500</v>
      </c>
      <c r="E14" s="34" t="s">
        <v>23</v>
      </c>
      <c r="F14" s="60">
        <f ca="1">'#5'!F14</f>
        <v>2300</v>
      </c>
      <c r="G14" s="8"/>
      <c r="H14" s="1"/>
      <c r="I14" s="1"/>
      <c r="J14" s="1"/>
      <c r="K14" s="1"/>
    </row>
    <row r="15" spans="1:11" ht="15">
      <c r="A15" s="1"/>
      <c r="B15" s="6"/>
      <c r="C15" s="7" t="s">
        <v>30</v>
      </c>
      <c r="D15" s="135">
        <f ca="1">'#5'!D15</f>
        <v>850</v>
      </c>
      <c r="E15" s="35" t="s">
        <v>24</v>
      </c>
      <c r="F15" s="135">
        <f ca="1">'#5'!F15</f>
        <v>0</v>
      </c>
      <c r="G15" s="8"/>
      <c r="H15" s="1"/>
      <c r="I15" s="1"/>
      <c r="J15" s="1"/>
      <c r="K15" s="1"/>
    </row>
    <row r="16" spans="1:11" ht="15">
      <c r="A16" s="1"/>
      <c r="B16" s="6"/>
      <c r="C16" s="7" t="s">
        <v>21</v>
      </c>
      <c r="D16" s="135">
        <f ca="1">'#5'!D16</f>
        <v>5800</v>
      </c>
      <c r="E16" s="35" t="s">
        <v>25</v>
      </c>
      <c r="F16" s="135">
        <f ca="1">'#5'!F16</f>
        <v>6850</v>
      </c>
      <c r="G16" s="8"/>
      <c r="H16" s="1"/>
      <c r="I16" s="1"/>
      <c r="J16" s="1"/>
      <c r="K16" s="1"/>
    </row>
    <row r="17" spans="1:11" ht="15.75" thickBot="1">
      <c r="A17" s="1"/>
      <c r="B17" s="6"/>
      <c r="C17" s="7" t="s">
        <v>22</v>
      </c>
      <c r="D17" s="61">
        <f>D14+D15+D16</f>
        <v>9150</v>
      </c>
      <c r="E17" s="26"/>
      <c r="F17" s="61">
        <f>F14+F15+F16</f>
        <v>9150</v>
      </c>
      <c r="G17" s="8"/>
      <c r="H17" s="1"/>
      <c r="I17" s="1"/>
      <c r="J17" s="1"/>
      <c r="K17" s="1"/>
    </row>
    <row r="18" spans="1:11" ht="15.75" thickTop="1">
      <c r="A18" s="1"/>
      <c r="B18" s="6"/>
      <c r="C18" s="7"/>
      <c r="D18" s="56"/>
      <c r="E18" s="26"/>
      <c r="F18" s="56"/>
      <c r="G18" s="8"/>
      <c r="H18" s="1"/>
      <c r="I18" s="1"/>
      <c r="J18" s="1"/>
      <c r="K18" s="1"/>
    </row>
    <row r="19" spans="1:11" ht="15">
      <c r="A19" s="1"/>
      <c r="B19" s="6"/>
      <c r="C19" s="7" t="s">
        <v>54</v>
      </c>
      <c r="D19" s="26"/>
      <c r="E19" s="26">
        <v>5800</v>
      </c>
      <c r="F19" s="26"/>
      <c r="G19" s="8"/>
      <c r="H19" s="1"/>
      <c r="I19" s="1"/>
      <c r="J19" s="1"/>
      <c r="K19" s="1"/>
    </row>
    <row r="20" spans="1:11" ht="15">
      <c r="A20" s="1"/>
      <c r="B20" s="6"/>
      <c r="C20" s="7" t="s">
        <v>31</v>
      </c>
      <c r="D20" s="26"/>
      <c r="E20" s="26">
        <v>10500</v>
      </c>
      <c r="F20" s="26"/>
      <c r="G20" s="8"/>
      <c r="H20" s="1"/>
      <c r="I20" s="1"/>
      <c r="J20" s="1"/>
      <c r="K20" s="1"/>
    </row>
    <row r="21" spans="1:11" ht="15.75" thickBot="1">
      <c r="A21" s="1"/>
      <c r="B21" s="9"/>
      <c r="C21" s="10"/>
      <c r="D21" s="13"/>
      <c r="E21" s="10"/>
      <c r="F21" s="10"/>
      <c r="G21" s="1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2" t="s">
        <v>2</v>
      </c>
      <c r="D23" s="1"/>
      <c r="E23" s="1"/>
      <c r="F23" s="1"/>
      <c r="G23" s="1"/>
      <c r="H23" s="1"/>
      <c r="I23" s="1"/>
      <c r="J23" s="1"/>
      <c r="K23" s="1"/>
    </row>
    <row r="24" spans="1:11" ht="15.75" thickBo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4"/>
      <c r="C25" s="15"/>
      <c r="D25" s="23"/>
      <c r="E25" s="15"/>
      <c r="F25" s="15"/>
      <c r="G25" s="16"/>
      <c r="H25" s="1"/>
      <c r="I25" s="1"/>
      <c r="J25" s="1"/>
      <c r="K25" s="1"/>
    </row>
    <row r="26" spans="1:11" ht="15">
      <c r="A26" s="1"/>
      <c r="B26" s="17"/>
      <c r="C26" s="18" t="s">
        <v>18</v>
      </c>
      <c r="D26" s="24"/>
      <c r="E26" s="18"/>
      <c r="F26" s="62">
        <f>E20-E19-(D15+D14)</f>
        <v>1350</v>
      </c>
      <c r="G26" s="19"/>
      <c r="H26" s="1"/>
      <c r="I26" s="1"/>
      <c r="J26" s="1"/>
      <c r="K26" s="1"/>
    </row>
    <row r="27" spans="1:11" ht="15">
      <c r="A27" s="1"/>
      <c r="B27" s="17"/>
      <c r="C27" s="18"/>
      <c r="D27" s="24"/>
      <c r="E27" s="18"/>
      <c r="F27" s="18"/>
      <c r="G27" s="19"/>
      <c r="H27" s="1"/>
      <c r="I27" s="1"/>
      <c r="J27" s="1"/>
      <c r="K27" s="1"/>
    </row>
    <row r="28" spans="1:11" ht="15">
      <c r="A28" s="1"/>
      <c r="B28" s="17"/>
      <c r="C28" s="145" t="s">
        <v>51</v>
      </c>
      <c r="D28" s="145"/>
      <c r="E28" s="145"/>
      <c r="F28" s="145"/>
      <c r="G28" s="19"/>
      <c r="H28" s="1"/>
      <c r="I28" s="1"/>
      <c r="J28" s="1"/>
      <c r="K28" s="1"/>
    </row>
    <row r="29" spans="1:11" ht="15.75">
      <c r="A29" s="1"/>
      <c r="B29" s="17"/>
      <c r="C29" s="18" t="s">
        <v>20</v>
      </c>
      <c r="D29" s="57">
        <f>D8+D14</f>
        <v>11100</v>
      </c>
      <c r="E29" s="37" t="s">
        <v>23</v>
      </c>
      <c r="F29" s="58">
        <f>F8</f>
        <v>5200</v>
      </c>
      <c r="G29" s="19"/>
      <c r="H29" s="1"/>
      <c r="I29" s="1"/>
      <c r="J29" s="1"/>
      <c r="K29" s="1"/>
    </row>
    <row r="30" spans="1:11" ht="15.75">
      <c r="A30" s="1"/>
      <c r="B30" s="17"/>
      <c r="C30" s="18" t="s">
        <v>30</v>
      </c>
      <c r="D30" s="134">
        <f>D9+D15</f>
        <v>2650</v>
      </c>
      <c r="E30" s="39" t="s">
        <v>24</v>
      </c>
      <c r="F30" s="134">
        <f>E20+F9</f>
        <v>14200</v>
      </c>
      <c r="G30" s="19"/>
      <c r="H30" s="1"/>
      <c r="I30" s="1"/>
      <c r="J30" s="1"/>
      <c r="K30" s="1"/>
    </row>
    <row r="31" spans="1:11" ht="15.75">
      <c r="A31" s="1"/>
      <c r="B31" s="17"/>
      <c r="C31" s="18" t="s">
        <v>21</v>
      </c>
      <c r="D31" s="134">
        <f>E19+D10</f>
        <v>21600</v>
      </c>
      <c r="E31" s="39" t="s">
        <v>25</v>
      </c>
      <c r="F31" s="134">
        <f>F10</f>
        <v>17300</v>
      </c>
      <c r="G31" s="19"/>
      <c r="H31" s="1"/>
      <c r="I31" s="1"/>
      <c r="J31" s="1"/>
      <c r="K31" s="1"/>
    </row>
    <row r="32" spans="1:11" ht="15.75">
      <c r="A32" s="1"/>
      <c r="B32" s="17"/>
      <c r="C32" s="18" t="s">
        <v>18</v>
      </c>
      <c r="D32" s="134">
        <f>F26</f>
        <v>1350</v>
      </c>
      <c r="E32" s="39"/>
      <c r="F32" s="58"/>
      <c r="G32" s="19"/>
      <c r="H32" s="1"/>
      <c r="I32" s="1"/>
      <c r="J32" s="1"/>
      <c r="K32" s="1"/>
    </row>
    <row r="33" spans="1:11" ht="16.5" thickBot="1">
      <c r="A33" s="1"/>
      <c r="B33" s="17"/>
      <c r="C33" s="18" t="s">
        <v>22</v>
      </c>
      <c r="D33" s="59">
        <f>D29+D30+D31+D32</f>
        <v>36700</v>
      </c>
      <c r="E33" s="38"/>
      <c r="F33" s="59">
        <f>F29+F30+F31</f>
        <v>36700</v>
      </c>
      <c r="G33" s="19"/>
      <c r="H33" s="1"/>
      <c r="I33" s="1"/>
      <c r="J33" s="1"/>
      <c r="K33" s="1"/>
    </row>
    <row r="34" spans="1:11" ht="16.5" thickTop="1" thickBot="1">
      <c r="A34" s="1"/>
      <c r="B34" s="20"/>
      <c r="C34" s="21"/>
      <c r="D34" s="21"/>
      <c r="E34" s="21"/>
      <c r="F34" s="21"/>
      <c r="G34" s="22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</sheetData>
  <mergeCells count="3">
    <mergeCell ref="C7:F7"/>
    <mergeCell ref="C13:F13"/>
    <mergeCell ref="C28:F28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K81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8.140625" customWidth="1"/>
    <col min="5" max="5" width="3.140625" customWidth="1"/>
  </cols>
  <sheetData>
    <row r="1" spans="1:11" ht="18">
      <c r="A1" s="1"/>
      <c r="B1" s="1"/>
      <c r="C1" s="54" t="s">
        <v>207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32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33</v>
      </c>
      <c r="D7" s="26">
        <v>1100000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115</v>
      </c>
      <c r="D8" s="26">
        <v>45000000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116</v>
      </c>
      <c r="D9" s="26">
        <v>62000000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34</v>
      </c>
      <c r="D10" s="40">
        <v>0.12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35</v>
      </c>
      <c r="D11" s="40">
        <v>0.4</v>
      </c>
      <c r="E11" s="8"/>
      <c r="F11" s="1"/>
      <c r="G11" s="1"/>
      <c r="H11" s="1"/>
      <c r="I11" s="1"/>
      <c r="J11" s="1"/>
      <c r="K11" s="1"/>
    </row>
    <row r="12" spans="1:11" ht="15">
      <c r="A12" s="1"/>
      <c r="B12" s="6"/>
      <c r="C12" s="7" t="s">
        <v>36</v>
      </c>
      <c r="D12" s="26">
        <v>48000000</v>
      </c>
      <c r="E12" s="8"/>
      <c r="F12" s="1"/>
      <c r="G12" s="1"/>
      <c r="H12" s="1"/>
      <c r="I12" s="1"/>
      <c r="J12" s="1"/>
      <c r="K12" s="1"/>
    </row>
    <row r="13" spans="1:11" ht="15.75" thickBot="1">
      <c r="A13" s="1"/>
      <c r="B13" s="9"/>
      <c r="C13" s="10"/>
      <c r="D13" s="13"/>
      <c r="E13" s="11"/>
      <c r="F13" s="1"/>
      <c r="G13" s="1"/>
      <c r="H13" s="1"/>
      <c r="I13" s="1"/>
      <c r="J13" s="1"/>
      <c r="K13" s="1"/>
    </row>
    <row r="14" spans="1:11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  <c r="K15" s="1"/>
    </row>
    <row r="16" spans="1:11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4"/>
      <c r="C17" s="15"/>
      <c r="D17" s="23"/>
      <c r="E17" s="16"/>
      <c r="F17" s="1"/>
      <c r="G17" s="1"/>
      <c r="H17" s="1"/>
      <c r="I17" s="1"/>
      <c r="J17" s="1"/>
      <c r="K17" s="1"/>
    </row>
    <row r="18" spans="1:11" ht="19.5">
      <c r="A18" s="1"/>
      <c r="B18" s="63" t="s">
        <v>55</v>
      </c>
      <c r="C18" s="18" t="s">
        <v>58</v>
      </c>
      <c r="D18" s="55">
        <f>D8+(D7/D10)</f>
        <v>54166666.666666672</v>
      </c>
      <c r="E18" s="19"/>
      <c r="F18" s="1"/>
      <c r="G18" s="1"/>
      <c r="H18" s="1"/>
      <c r="I18" s="1"/>
      <c r="J18" s="1"/>
      <c r="K18" s="1"/>
    </row>
    <row r="19" spans="1:11" ht="15.75">
      <c r="A19" s="1"/>
      <c r="B19" s="63"/>
      <c r="C19" s="18" t="s">
        <v>37</v>
      </c>
      <c r="D19" s="41">
        <f>D12</f>
        <v>48000000</v>
      </c>
      <c r="E19" s="19"/>
      <c r="F19" s="1"/>
      <c r="G19" s="1"/>
      <c r="H19" s="1"/>
      <c r="I19" s="1"/>
      <c r="J19" s="1"/>
      <c r="K19" s="1"/>
    </row>
    <row r="20" spans="1:11" ht="15.75">
      <c r="A20" s="1"/>
      <c r="B20" s="63"/>
      <c r="C20" s="18" t="s">
        <v>38</v>
      </c>
      <c r="D20" s="33">
        <f>D11*(D18+D9)</f>
        <v>46466666.666666672</v>
      </c>
      <c r="E20" s="19"/>
      <c r="F20" s="1"/>
      <c r="G20" s="1"/>
      <c r="H20" s="1"/>
      <c r="I20" s="1"/>
      <c r="J20" s="1"/>
      <c r="K20" s="1"/>
    </row>
    <row r="21" spans="1:11" ht="15.75">
      <c r="A21" s="1"/>
      <c r="B21" s="63"/>
      <c r="C21" s="18"/>
      <c r="D21" s="42"/>
      <c r="E21" s="19"/>
      <c r="F21" s="1"/>
      <c r="G21" s="1"/>
      <c r="H21" s="1"/>
      <c r="I21" s="1"/>
      <c r="J21" s="1"/>
      <c r="K21" s="1"/>
    </row>
    <row r="22" spans="1:11" ht="15.75">
      <c r="A22" s="1"/>
      <c r="B22" s="63" t="s">
        <v>56</v>
      </c>
      <c r="C22" s="18" t="s">
        <v>39</v>
      </c>
      <c r="D22" s="41">
        <f>D18-D12</f>
        <v>6166666.6666666716</v>
      </c>
      <c r="E22" s="19"/>
      <c r="F22" s="1"/>
      <c r="G22" s="1"/>
      <c r="H22" s="1"/>
      <c r="I22" s="1"/>
      <c r="J22" s="1"/>
      <c r="K22" s="1"/>
    </row>
    <row r="23" spans="1:11" ht="15.75">
      <c r="A23" s="1"/>
      <c r="B23" s="63"/>
      <c r="C23" s="18" t="s">
        <v>40</v>
      </c>
      <c r="D23" s="41">
        <f>D18-D20</f>
        <v>7700000</v>
      </c>
      <c r="E23" s="19"/>
      <c r="F23" s="1"/>
      <c r="G23" s="1"/>
      <c r="H23" s="1"/>
      <c r="I23" s="1"/>
      <c r="J23" s="1"/>
      <c r="K23" s="1"/>
    </row>
    <row r="24" spans="1:11" ht="15">
      <c r="A24" s="1"/>
      <c r="B24" s="63"/>
      <c r="C24" s="18"/>
      <c r="D24" s="27"/>
      <c r="E24" s="19"/>
      <c r="F24" s="1"/>
      <c r="G24" s="1"/>
      <c r="H24" s="1"/>
      <c r="I24" s="1"/>
      <c r="J24" s="1"/>
      <c r="K24" s="1"/>
    </row>
    <row r="25" spans="1:11" ht="15.75">
      <c r="A25" s="1"/>
      <c r="B25" s="63" t="s">
        <v>57</v>
      </c>
      <c r="C25" s="42" t="str">
        <f>IF(D23&gt;D22,"Aquire the company for stock.","Acquire the company for cash.")</f>
        <v>Aquire the company for stock.</v>
      </c>
      <c r="D25" s="27"/>
      <c r="E25" s="19"/>
      <c r="F25" s="1"/>
      <c r="G25" s="1"/>
      <c r="H25" s="1"/>
      <c r="I25" s="1"/>
      <c r="J25" s="1"/>
      <c r="K25" s="1"/>
    </row>
    <row r="26" spans="1:11" ht="15.75" thickBot="1">
      <c r="A26" s="1"/>
      <c r="B26" s="20"/>
      <c r="C26" s="21"/>
      <c r="D26" s="25"/>
      <c r="E26" s="22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M86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7.5703125" bestFit="1" customWidth="1"/>
    <col min="5" max="5" width="4.5703125" customWidth="1"/>
    <col min="6" max="6" width="16.7109375" customWidth="1"/>
    <col min="7" max="7" width="3.140625" customWidth="1"/>
  </cols>
  <sheetData>
    <row r="1" spans="1:13" ht="18">
      <c r="A1" s="1"/>
      <c r="B1" s="1"/>
      <c r="C1" s="54" t="s">
        <v>207</v>
      </c>
      <c r="D1" s="54"/>
      <c r="E1" s="54"/>
      <c r="F1" s="1"/>
      <c r="G1" s="1"/>
      <c r="H1" s="1"/>
      <c r="I1" s="1"/>
      <c r="J1" s="1"/>
      <c r="K1" s="1"/>
      <c r="L1" s="1"/>
      <c r="M1" s="1"/>
    </row>
    <row r="2" spans="1:13" ht="15">
      <c r="A2" s="1"/>
      <c r="B2" s="1"/>
      <c r="C2" s="1" t="s">
        <v>66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>
      <c r="A4" s="1"/>
      <c r="B4" s="1"/>
      <c r="C4" s="2" t="s">
        <v>1</v>
      </c>
      <c r="D4" s="2"/>
      <c r="E4" s="2"/>
      <c r="F4" s="1"/>
      <c r="G4" s="1"/>
      <c r="H4" s="1"/>
      <c r="I4" s="1"/>
      <c r="J4" s="1"/>
      <c r="K4" s="1"/>
      <c r="L4" s="1"/>
      <c r="M4" s="1"/>
    </row>
    <row r="5" spans="1:13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5">
      <c r="A6" s="1"/>
      <c r="B6" s="3"/>
      <c r="C6" s="4"/>
      <c r="D6" s="4"/>
      <c r="E6" s="4"/>
      <c r="F6" s="12"/>
      <c r="G6" s="5"/>
      <c r="H6" s="1"/>
      <c r="I6" s="1"/>
      <c r="J6" s="1"/>
      <c r="K6" s="1"/>
      <c r="L6" s="1"/>
      <c r="M6" s="1"/>
    </row>
    <row r="7" spans="1:13" ht="15">
      <c r="A7" s="1"/>
      <c r="B7" s="6"/>
      <c r="C7" s="7"/>
      <c r="D7" s="66" t="s">
        <v>215</v>
      </c>
      <c r="E7" s="66"/>
      <c r="F7" s="67" t="s">
        <v>216</v>
      </c>
      <c r="G7" s="8"/>
      <c r="H7" s="1"/>
      <c r="I7" s="1"/>
      <c r="J7" s="1"/>
      <c r="K7" s="1"/>
      <c r="L7" s="1"/>
      <c r="M7" s="1"/>
    </row>
    <row r="8" spans="1:13" ht="15">
      <c r="A8" s="1"/>
      <c r="B8" s="6"/>
      <c r="C8" s="7" t="s">
        <v>67</v>
      </c>
      <c r="D8" s="71">
        <v>6.35</v>
      </c>
      <c r="E8" s="71"/>
      <c r="F8" s="68">
        <v>12.7</v>
      </c>
      <c r="G8" s="8"/>
      <c r="H8" s="1"/>
      <c r="I8" s="1"/>
      <c r="J8" s="1"/>
      <c r="K8" s="1"/>
      <c r="L8" s="1"/>
      <c r="M8" s="1"/>
    </row>
    <row r="9" spans="1:13" ht="15">
      <c r="A9" s="1"/>
      <c r="B9" s="6"/>
      <c r="C9" s="7" t="s">
        <v>11</v>
      </c>
      <c r="D9" s="72">
        <v>73000</v>
      </c>
      <c r="E9" s="72"/>
      <c r="F9" s="73">
        <v>146000</v>
      </c>
      <c r="G9" s="8"/>
      <c r="H9" s="1"/>
      <c r="I9" s="1"/>
      <c r="J9" s="1"/>
      <c r="K9" s="1"/>
      <c r="L9" s="1"/>
      <c r="M9" s="1"/>
    </row>
    <row r="10" spans="1:13" ht="15">
      <c r="A10" s="1"/>
      <c r="B10" s="6"/>
      <c r="C10" s="7" t="s">
        <v>68</v>
      </c>
      <c r="D10" s="74">
        <v>230000</v>
      </c>
      <c r="E10" s="74"/>
      <c r="F10" s="70">
        <v>690000</v>
      </c>
      <c r="G10" s="8"/>
      <c r="H10" s="1"/>
      <c r="I10" s="1"/>
      <c r="J10" s="1"/>
      <c r="K10" s="1"/>
      <c r="L10" s="1"/>
      <c r="M10" s="1"/>
    </row>
    <row r="11" spans="1:13" ht="15">
      <c r="A11" s="1"/>
      <c r="B11" s="6"/>
      <c r="C11" s="7"/>
      <c r="D11" s="74"/>
      <c r="E11" s="74"/>
      <c r="F11" s="70"/>
      <c r="G11" s="8"/>
      <c r="H11" s="1"/>
      <c r="I11" s="1"/>
      <c r="J11" s="1"/>
      <c r="K11" s="1"/>
      <c r="L11" s="1"/>
      <c r="M11" s="1"/>
    </row>
    <row r="12" spans="1:13" ht="15">
      <c r="A12" s="1"/>
      <c r="B12" s="6"/>
      <c r="C12" s="7" t="s">
        <v>69</v>
      </c>
      <c r="D12" s="72">
        <v>1</v>
      </c>
      <c r="E12" s="69" t="s">
        <v>70</v>
      </c>
      <c r="F12" s="75">
        <v>3</v>
      </c>
      <c r="G12" s="8"/>
      <c r="H12" s="1"/>
      <c r="I12" s="1"/>
      <c r="J12" s="1"/>
      <c r="K12" s="1"/>
      <c r="L12" s="1"/>
      <c r="M12" s="1"/>
    </row>
    <row r="13" spans="1:13" ht="15.75" thickBot="1">
      <c r="A13" s="1"/>
      <c r="B13" s="9"/>
      <c r="C13" s="10"/>
      <c r="D13" s="10"/>
      <c r="E13" s="10"/>
      <c r="F13" s="13"/>
      <c r="G13" s="11"/>
      <c r="H13" s="1"/>
      <c r="I13" s="1"/>
      <c r="J13" s="1"/>
      <c r="K13" s="1"/>
      <c r="L13" s="1"/>
      <c r="M13" s="1"/>
    </row>
    <row r="14" spans="1:13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>
      <c r="A15" s="1"/>
      <c r="B15" s="1"/>
      <c r="C15" s="2" t="s">
        <v>2</v>
      </c>
      <c r="D15" s="2"/>
      <c r="E15" s="2"/>
      <c r="F15" s="1"/>
      <c r="G15" s="1"/>
      <c r="H15" s="1"/>
      <c r="I15" s="1"/>
      <c r="J15" s="1"/>
      <c r="K15" s="1"/>
      <c r="L15" s="1"/>
      <c r="M15" s="1"/>
    </row>
    <row r="16" spans="1:13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5">
      <c r="A17" s="1"/>
      <c r="B17" s="14"/>
      <c r="C17" s="15"/>
      <c r="D17" s="15"/>
      <c r="E17" s="16"/>
      <c r="F17" s="1"/>
      <c r="G17" s="1"/>
      <c r="H17" s="1"/>
      <c r="I17" s="1"/>
      <c r="J17" s="1"/>
      <c r="K17" s="1"/>
    </row>
    <row r="18" spans="1:13" ht="15.75">
      <c r="A18" s="1"/>
      <c r="B18" s="63" t="s">
        <v>55</v>
      </c>
      <c r="C18" s="18" t="s">
        <v>71</v>
      </c>
      <c r="D18" s="78">
        <f>(D10+F10)/(F9+(D12/F12)*D9)</f>
        <v>5.4011741682974552</v>
      </c>
      <c r="E18" s="19"/>
      <c r="F18" s="1"/>
      <c r="G18" s="1"/>
      <c r="H18" s="1"/>
      <c r="I18" s="1"/>
      <c r="J18" s="1"/>
      <c r="K18" s="1"/>
    </row>
    <row r="19" spans="1:13" ht="15.75">
      <c r="A19" s="1"/>
      <c r="B19" s="63"/>
      <c r="C19" s="18" t="s">
        <v>72</v>
      </c>
      <c r="D19" s="77"/>
      <c r="E19" s="19"/>
      <c r="F19" s="1"/>
      <c r="G19" s="1"/>
      <c r="H19" s="1"/>
      <c r="I19" s="1"/>
      <c r="J19" s="1"/>
      <c r="K19" s="1"/>
    </row>
    <row r="20" spans="1:13" ht="15.75">
      <c r="A20" s="1"/>
      <c r="B20" s="63"/>
      <c r="C20" s="18" t="s">
        <v>73</v>
      </c>
      <c r="D20" s="77"/>
      <c r="E20" s="19"/>
      <c r="F20" s="1"/>
      <c r="G20" s="1"/>
      <c r="H20" s="1"/>
      <c r="I20" s="1"/>
      <c r="J20" s="1"/>
      <c r="K20" s="1"/>
    </row>
    <row r="21" spans="1:13" ht="15">
      <c r="A21" s="1"/>
      <c r="B21" s="63"/>
      <c r="C21" s="18" t="s">
        <v>75</v>
      </c>
      <c r="D21" s="79">
        <f>(F8*F10)/F9</f>
        <v>60.020547945205479</v>
      </c>
      <c r="E21" s="19"/>
      <c r="F21" s="1"/>
      <c r="G21" s="1"/>
      <c r="H21" s="1"/>
      <c r="I21" s="1"/>
      <c r="J21" s="1"/>
      <c r="K21" s="1"/>
    </row>
    <row r="22" spans="1:13" ht="15.75">
      <c r="A22" s="1"/>
      <c r="B22" s="63"/>
      <c r="C22" s="18" t="s">
        <v>76</v>
      </c>
      <c r="D22" s="80">
        <f>D21/D18</f>
        <v>11.112500000000001</v>
      </c>
      <c r="E22" s="19"/>
      <c r="F22" s="1"/>
      <c r="G22" s="1"/>
      <c r="H22" s="1"/>
      <c r="I22" s="1"/>
      <c r="J22" s="1"/>
      <c r="K22" s="1"/>
    </row>
    <row r="23" spans="1:13" ht="15">
      <c r="A23" s="1"/>
      <c r="B23" s="63"/>
      <c r="C23" s="18"/>
      <c r="D23" s="18"/>
      <c r="E23" s="19"/>
      <c r="F23" s="1"/>
      <c r="G23" s="1"/>
      <c r="H23" s="1"/>
      <c r="I23" s="1"/>
      <c r="J23" s="1"/>
      <c r="K23" s="1"/>
    </row>
    <row r="24" spans="1:13" ht="15">
      <c r="A24" s="1"/>
      <c r="B24" s="63" t="s">
        <v>56</v>
      </c>
      <c r="C24" s="18" t="s">
        <v>219</v>
      </c>
      <c r="D24" s="136">
        <f>(D12/F12)*D9*D21</f>
        <v>1460500</v>
      </c>
      <c r="E24" s="19"/>
      <c r="F24" s="1"/>
      <c r="G24" s="1"/>
      <c r="H24" s="1"/>
      <c r="I24" s="1"/>
      <c r="J24" s="1"/>
      <c r="K24" s="1"/>
    </row>
    <row r="25" spans="1:13" ht="15">
      <c r="A25" s="1"/>
      <c r="B25" s="63"/>
      <c r="C25" s="18" t="s">
        <v>220</v>
      </c>
      <c r="D25" s="136">
        <f>(D10*D8)</f>
        <v>1460500</v>
      </c>
      <c r="E25" s="19"/>
      <c r="F25" s="1"/>
      <c r="G25" s="1"/>
      <c r="H25" s="1"/>
      <c r="I25" s="1"/>
      <c r="J25" s="1"/>
      <c r="K25" s="1"/>
    </row>
    <row r="26" spans="1:13" ht="15.75">
      <c r="A26" s="1"/>
      <c r="B26" s="63"/>
      <c r="C26" s="65" t="s">
        <v>77</v>
      </c>
      <c r="D26" s="137">
        <f>D24-D25</f>
        <v>0</v>
      </c>
      <c r="E26" s="19"/>
      <c r="F26" s="1"/>
      <c r="G26" s="1"/>
      <c r="H26" s="1"/>
      <c r="I26" s="1"/>
      <c r="J26" s="1"/>
      <c r="K26" s="1"/>
    </row>
    <row r="27" spans="1:13" ht="15">
      <c r="A27" s="1"/>
      <c r="B27" s="63"/>
      <c r="C27" s="18" t="s">
        <v>78</v>
      </c>
      <c r="D27" s="18"/>
      <c r="E27" s="19"/>
      <c r="F27" s="1"/>
      <c r="G27" s="1"/>
      <c r="H27" s="1"/>
      <c r="I27" s="1"/>
      <c r="J27" s="1"/>
      <c r="K27" s="1"/>
    </row>
    <row r="28" spans="1:13" ht="15">
      <c r="A28" s="1"/>
      <c r="B28" s="63"/>
      <c r="C28" s="18" t="s">
        <v>217</v>
      </c>
      <c r="D28" s="18"/>
      <c r="E28" s="19"/>
      <c r="F28" s="1"/>
      <c r="G28" s="1"/>
      <c r="H28" s="1"/>
      <c r="I28" s="1"/>
      <c r="J28" s="1"/>
      <c r="K28" s="1"/>
    </row>
    <row r="29" spans="1:13" ht="15.75">
      <c r="A29" s="1"/>
      <c r="B29" s="63"/>
      <c r="C29" s="18" t="s">
        <v>218</v>
      </c>
      <c r="D29" s="42"/>
      <c r="E29" s="19"/>
      <c r="F29" s="1"/>
      <c r="G29" s="1"/>
      <c r="H29" s="1"/>
      <c r="I29" s="1"/>
      <c r="J29" s="1"/>
      <c r="K29" s="1"/>
    </row>
    <row r="30" spans="1:13" ht="15.75">
      <c r="A30" s="1"/>
      <c r="B30" s="63"/>
      <c r="C30" s="18" t="s">
        <v>79</v>
      </c>
      <c r="D30" s="42"/>
      <c r="E30" s="19"/>
      <c r="F30" s="1"/>
      <c r="G30" s="1"/>
      <c r="H30" s="1"/>
      <c r="I30" s="1"/>
      <c r="J30" s="1"/>
      <c r="K30" s="1"/>
    </row>
    <row r="31" spans="1:13" ht="15.75" thickBot="1">
      <c r="A31" s="1"/>
      <c r="B31" s="20"/>
      <c r="C31" s="21"/>
      <c r="D31" s="21"/>
      <c r="E31" s="22"/>
      <c r="F31" s="1"/>
      <c r="G31" s="1"/>
      <c r="H31" s="1"/>
      <c r="I31" s="1"/>
      <c r="J31" s="1"/>
      <c r="K31" s="1"/>
    </row>
    <row r="32" spans="1:13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Chapter 29</vt:lpstr>
      <vt:lpstr>#1</vt:lpstr>
      <vt:lpstr>#2</vt:lpstr>
      <vt:lpstr>#3</vt:lpstr>
      <vt:lpstr>#4</vt:lpstr>
      <vt:lpstr>#5</vt:lpstr>
      <vt:lpstr>#6</vt:lpstr>
      <vt:lpstr>#7</vt:lpstr>
      <vt:lpstr>#8</vt:lpstr>
      <vt:lpstr>#10,11</vt:lpstr>
      <vt:lpstr>#12</vt:lpstr>
      <vt:lpstr>#13</vt:lpstr>
      <vt:lpstr>#14</vt:lpstr>
      <vt:lpstr>#15</vt:lpstr>
      <vt:lpstr>#16</vt:lpstr>
      <vt:lpstr>#17</vt:lpstr>
      <vt:lpstr>#18</vt:lpstr>
      <vt:lpstr>'#17'!Print_Area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2005-10-24T18:56:45Z</cp:lastPrinted>
  <dcterms:created xsi:type="dcterms:W3CDTF">2002-05-30T22:47:51Z</dcterms:created>
  <dcterms:modified xsi:type="dcterms:W3CDTF">2012-11-06T11:02:09Z</dcterms:modified>
</cp:coreProperties>
</file>