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75" windowWidth="15480" windowHeight="10230"/>
  </bookViews>
  <sheets>
    <sheet name="Chapter 31" sheetId="16" r:id="rId1"/>
    <sheet name="#1" sheetId="1" r:id="rId2"/>
    <sheet name="#2" sheetId="2" r:id="rId3"/>
    <sheet name="#3" sheetId="3" r:id="rId4"/>
    <sheet name="#4" sheetId="4" r:id="rId5"/>
    <sheet name="#5" sheetId="5" r:id="rId6"/>
    <sheet name="#6" sheetId="6" r:id="rId7"/>
    <sheet name="#7" sheetId="7" r:id="rId8"/>
    <sheet name="#8" sheetId="8" r:id="rId9"/>
    <sheet name="#9" sheetId="9" r:id="rId10"/>
    <sheet name="#10" sheetId="10" r:id="rId11"/>
    <sheet name="#11" sheetId="11" r:id="rId12"/>
    <sheet name="#12" sheetId="12" r:id="rId13"/>
    <sheet name="#13" sheetId="13" r:id="rId14"/>
    <sheet name="#14" sheetId="18" r:id="rId15"/>
    <sheet name="#15" sheetId="14" r:id="rId16"/>
    <sheet name="#16" sheetId="19" r:id="rId17"/>
    <sheet name="#17" sheetId="20" r:id="rId18"/>
    <sheet name="#18" sheetId="15" r:id="rId19"/>
  </sheets>
  <calcPr calcId="114210"/>
</workbook>
</file>

<file path=xl/calcChain.xml><?xml version="1.0" encoding="utf-8"?>
<calcChain xmlns="http://schemas.openxmlformats.org/spreadsheetml/2006/main">
  <c r="D21" i="3"/>
  <c r="D16"/>
  <c r="C24"/>
  <c r="D19" i="2"/>
  <c r="D18"/>
  <c r="D17"/>
  <c r="D22" i="1"/>
  <c r="D19"/>
  <c r="D18"/>
  <c r="D17"/>
  <c r="D9" i="20"/>
  <c r="G19"/>
  <c r="G25"/>
  <c r="D8"/>
  <c r="G18"/>
  <c r="D7"/>
  <c r="D20"/>
  <c r="D26"/>
  <c r="G29" i="19"/>
  <c r="D29"/>
  <c r="G28"/>
  <c r="G27"/>
  <c r="G25"/>
  <c r="D25"/>
  <c r="G24"/>
  <c r="G23"/>
  <c r="G20"/>
  <c r="D20"/>
  <c r="G19"/>
  <c r="G18"/>
  <c r="D20" i="2"/>
  <c r="D25" i="18"/>
  <c r="D23"/>
  <c r="D28"/>
  <c r="D21"/>
  <c r="D26"/>
  <c r="D22"/>
  <c r="D27"/>
  <c r="E15" i="5"/>
  <c r="E17"/>
  <c r="D20" i="12"/>
  <c r="D22"/>
  <c r="D18" i="10"/>
  <c r="C26"/>
  <c r="D17"/>
  <c r="E24" i="3"/>
  <c r="E19"/>
  <c r="C19"/>
  <c r="D34" i="15"/>
  <c r="D28"/>
  <c r="G28"/>
  <c r="D29"/>
  <c r="D30"/>
  <c r="G30"/>
  <c r="D27"/>
  <c r="D35"/>
  <c r="D36"/>
  <c r="F28"/>
  <c r="F29"/>
  <c r="G29"/>
  <c r="F30"/>
  <c r="F27"/>
  <c r="G27"/>
  <c r="G31"/>
  <c r="G32" i="14"/>
  <c r="D25"/>
  <c r="D26"/>
  <c r="D27"/>
  <c r="D28"/>
  <c r="D29"/>
  <c r="D24"/>
  <c r="F25"/>
  <c r="F26"/>
  <c r="G26"/>
  <c r="F27"/>
  <c r="F28"/>
  <c r="G28"/>
  <c r="F29"/>
  <c r="F24"/>
  <c r="G24"/>
  <c r="F21"/>
  <c r="C21"/>
  <c r="F20"/>
  <c r="D20" i="13"/>
  <c r="D19"/>
  <c r="D18"/>
  <c r="C17" i="12"/>
  <c r="C16"/>
  <c r="D19" i="11"/>
  <c r="D18"/>
  <c r="D17"/>
  <c r="D35" i="10"/>
  <c r="D23"/>
  <c r="E21" i="9"/>
  <c r="E22"/>
  <c r="E20"/>
  <c r="D20"/>
  <c r="E19"/>
  <c r="D19"/>
  <c r="E18"/>
  <c r="D15" i="8"/>
  <c r="C19"/>
  <c r="D18" i="7"/>
  <c r="D19"/>
  <c r="D21" i="6"/>
  <c r="D20"/>
  <c r="D19"/>
  <c r="D22" i="4"/>
  <c r="C27"/>
  <c r="D17"/>
  <c r="D15"/>
  <c r="G29" i="14"/>
  <c r="G27"/>
  <c r="G25"/>
  <c r="G30"/>
  <c r="G33"/>
  <c r="G34"/>
  <c r="D29" i="18"/>
  <c r="D30"/>
  <c r="D32"/>
  <c r="C22" i="10"/>
  <c r="D31"/>
  <c r="D20"/>
  <c r="C25"/>
  <c r="C27"/>
  <c r="C30"/>
  <c r="C18" i="8"/>
  <c r="C20" i="7"/>
  <c r="E28" i="3"/>
  <c r="E26"/>
  <c r="G20" i="20"/>
  <c r="G24"/>
  <c r="G26"/>
  <c r="C19" i="5"/>
  <c r="D19"/>
  <c r="D28" i="4"/>
  <c r="C33"/>
  <c r="D23"/>
  <c r="C21" i="10"/>
  <c r="C33"/>
  <c r="C28"/>
  <c r="C29"/>
  <c r="D30"/>
  <c r="D32"/>
  <c r="C22" i="3"/>
  <c r="C17"/>
  <c r="C21" i="5"/>
  <c r="D21"/>
  <c r="D20"/>
  <c r="E24"/>
  <c r="E25"/>
</calcChain>
</file>

<file path=xl/sharedStrings.xml><?xml version="1.0" encoding="utf-8"?>
<sst xmlns="http://schemas.openxmlformats.org/spreadsheetml/2006/main" count="367" uniqueCount="253">
  <si>
    <t>Question 1</t>
  </si>
  <si>
    <t>Input Area:</t>
  </si>
  <si>
    <t>a.</t>
  </si>
  <si>
    <t xml:space="preserve">Cash </t>
  </si>
  <si>
    <t>b.</t>
  </si>
  <si>
    <t>c.</t>
  </si>
  <si>
    <t>Euro amount</t>
  </si>
  <si>
    <t>f.</t>
  </si>
  <si>
    <t>Output Area:</t>
  </si>
  <si>
    <t>Euros</t>
  </si>
  <si>
    <t>One euro</t>
  </si>
  <si>
    <t>Dollar value</t>
  </si>
  <si>
    <t>d.</t>
  </si>
  <si>
    <t>More worth</t>
  </si>
  <si>
    <t>e.</t>
  </si>
  <si>
    <t>Mexican peso</t>
  </si>
  <si>
    <t>This is a cross rate.</t>
  </si>
  <si>
    <t>g.</t>
  </si>
  <si>
    <t>Question 2</t>
  </si>
  <si>
    <t>£</t>
  </si>
  <si>
    <t>US dollars</t>
  </si>
  <si>
    <t>£ 100, since</t>
  </si>
  <si>
    <t>Question 3</t>
  </si>
  <si>
    <t>Spot ¥/$ rate</t>
  </si>
  <si>
    <t>6 month ¥/$ rate</t>
  </si>
  <si>
    <t xml:space="preserve">The yen is selling at a </t>
  </si>
  <si>
    <t>because it is</t>
  </si>
  <si>
    <t>in the forward market than in</t>
  </si>
  <si>
    <t xml:space="preserve">the spot market </t>
  </si>
  <si>
    <t>versus</t>
  </si>
  <si>
    <t xml:space="preserve">The value of the dollar will </t>
  </si>
  <si>
    <t>relative to the yen.</t>
  </si>
  <si>
    <t>Question 4</t>
  </si>
  <si>
    <t>Spot exchange rate for CD</t>
  </si>
  <si>
    <t>6-month forward rate for CD</t>
  </si>
  <si>
    <t>Price of beer in Canada</t>
  </si>
  <si>
    <t>The U.S. dollar, since C$ =</t>
  </si>
  <si>
    <t>Price of beer in U.S.</t>
  </si>
  <si>
    <t>Among the reasons that absolute PPP doesn't hold</t>
  </si>
  <si>
    <t xml:space="preserve">are tariffs and other barriers to trade, transactions </t>
  </si>
  <si>
    <t>costs, taxes, and differential tastes.</t>
  </si>
  <si>
    <t xml:space="preserve">The U.S. dollar is selling at a </t>
  </si>
  <si>
    <t xml:space="preserve">because it is </t>
  </si>
  <si>
    <t>in the forward market than the spot market.</t>
  </si>
  <si>
    <t xml:space="preserve">The Canadian dollar is expected to </t>
  </si>
  <si>
    <t>invalue relative to the</t>
  </si>
  <si>
    <t>dollar, because it takes</t>
  </si>
  <si>
    <t>Canadian dollars to buy one U.S. dollar in the future</t>
  </si>
  <si>
    <t>than it does today.</t>
  </si>
  <si>
    <t xml:space="preserve">Interest rates in the U.S. are probably </t>
  </si>
  <si>
    <t xml:space="preserve">than they are </t>
  </si>
  <si>
    <t>in Canada.</t>
  </si>
  <si>
    <t>Question 5</t>
  </si>
  <si>
    <t xml:space="preserve">The yen is quoted </t>
  </si>
  <si>
    <t xml:space="preserve">relative to the pound. Take out a loan for $1 and buy </t>
  </si>
  <si>
    <t xml:space="preserve">Use the proceeds to </t>
  </si>
  <si>
    <t xml:space="preserve">purchase </t>
  </si>
  <si>
    <t>at the cross rate:</t>
  </si>
  <si>
    <t>Use the pounds to buy back dollars and repay the</t>
  </si>
  <si>
    <t>loan:</t>
  </si>
  <si>
    <t>Arbitrage profit</t>
  </si>
  <si>
    <t>Question 6</t>
  </si>
  <si>
    <t>Spot rate for Japan (¥/$)</t>
  </si>
  <si>
    <t>Forward rate for Japan</t>
  </si>
  <si>
    <t>Spot rate for Switzerland (SFr/$)</t>
  </si>
  <si>
    <t>Forward rate for Switzerland</t>
  </si>
  <si>
    <t>U.S. risk-free rate</t>
  </si>
  <si>
    <t>Japan</t>
  </si>
  <si>
    <t>Switzerland</t>
  </si>
  <si>
    <t>Question 7</t>
  </si>
  <si>
    <t>Spot rate for Great Britain</t>
  </si>
  <si>
    <t>Forward rate for Great Britain</t>
  </si>
  <si>
    <t>Months to invest</t>
  </si>
  <si>
    <t>Monthly British interest rate</t>
  </si>
  <si>
    <t>Amount invested</t>
  </si>
  <si>
    <t>Monthly U.S. interest rate</t>
  </si>
  <si>
    <t>U.S.</t>
  </si>
  <si>
    <t>Great Britain</t>
  </si>
  <si>
    <t>Question 8</t>
  </si>
  <si>
    <t xml:space="preserve">Expected rate </t>
  </si>
  <si>
    <t>Duration (years)</t>
  </si>
  <si>
    <t>Relative PPP</t>
  </si>
  <si>
    <t>that in the U.S. by</t>
  </si>
  <si>
    <t>over this period.</t>
  </si>
  <si>
    <t>Question 9</t>
  </si>
  <si>
    <t>Quantity</t>
  </si>
  <si>
    <t>Cost in Singapore $</t>
  </si>
  <si>
    <t># days until arrival</t>
  </si>
  <si>
    <t>Sales price</t>
  </si>
  <si>
    <t>Exchange rate change</t>
  </si>
  <si>
    <t>Singapore $</t>
  </si>
  <si>
    <t>No change in exchange rate</t>
  </si>
  <si>
    <t>If exchange rate rises by</t>
  </si>
  <si>
    <t>If exchange rate falls</t>
  </si>
  <si>
    <t>Break-even</t>
  </si>
  <si>
    <t xml:space="preserve">Decline of </t>
  </si>
  <si>
    <t>Question 10</t>
  </si>
  <si>
    <t>Risk-free rate (U.S.)</t>
  </si>
  <si>
    <t>Days for contract</t>
  </si>
  <si>
    <r>
      <t>If IRP holds, F</t>
    </r>
    <r>
      <rPr>
        <vertAlign val="subscript"/>
        <sz val="12"/>
        <rFont val="Arial"/>
        <family val="2"/>
      </rPr>
      <t>180</t>
    </r>
  </si>
  <si>
    <r>
      <t>Since given F</t>
    </r>
    <r>
      <rPr>
        <vertAlign val="subscript"/>
        <sz val="12"/>
        <rFont val="Arial"/>
        <family val="2"/>
      </rPr>
      <t>180</t>
    </r>
    <r>
      <rPr>
        <sz val="12"/>
        <rFont val="Arial"/>
        <family val="2"/>
      </rPr>
      <t xml:space="preserve"> =  </t>
    </r>
  </si>
  <si>
    <t>an arbitrage exists; the forward premium is</t>
  </si>
  <si>
    <t>the forward premium is</t>
  </si>
  <si>
    <t xml:space="preserve">today at </t>
  </si>
  <si>
    <t xml:space="preserve">interest. Agree to a </t>
  </si>
  <si>
    <t xml:space="preserve">180-day forward contract at </t>
  </si>
  <si>
    <t>Convert the loan proceeds into</t>
  </si>
  <si>
    <t xml:space="preserve">today for </t>
  </si>
  <si>
    <t>Invest these</t>
  </si>
  <si>
    <t>at</t>
  </si>
  <si>
    <t xml:space="preserve">ending up with </t>
  </si>
  <si>
    <t>Convert these</t>
  </si>
  <si>
    <t>Repay the loan, which costs</t>
  </si>
  <si>
    <t xml:space="preserve">ending with a profit of </t>
  </si>
  <si>
    <t>Question 11</t>
  </si>
  <si>
    <t xml:space="preserve">T-bills </t>
  </si>
  <si>
    <t>Inflation (U.S.)</t>
  </si>
  <si>
    <t>Canadian gov't securities</t>
  </si>
  <si>
    <t>Canadian inflation</t>
  </si>
  <si>
    <t>Question 12</t>
  </si>
  <si>
    <t>Spot on yen</t>
  </si>
  <si>
    <t>Forward on yen</t>
  </si>
  <si>
    <t>Number of months</t>
  </si>
  <si>
    <t>The yen is expected to get stronger, since it will</t>
  </si>
  <si>
    <t xml:space="preserve">since it will take </t>
  </si>
  <si>
    <t>yen to buy one dollar</t>
  </si>
  <si>
    <t>in the future than it does today.</t>
  </si>
  <si>
    <r>
      <t>h</t>
    </r>
    <r>
      <rPr>
        <vertAlign val="subscript"/>
        <sz val="12"/>
        <rFont val="Arial"/>
        <family val="2"/>
      </rPr>
      <t>US</t>
    </r>
    <r>
      <rPr>
        <sz val="12"/>
        <rFont val="Arial"/>
        <family val="2"/>
      </rPr>
      <t>-h</t>
    </r>
    <r>
      <rPr>
        <vertAlign val="subscript"/>
        <sz val="12"/>
        <rFont val="Arial"/>
        <family val="2"/>
      </rPr>
      <t xml:space="preserve">Japan </t>
    </r>
    <r>
      <rPr>
        <sz val="12"/>
        <rFont val="Arial"/>
        <family val="2"/>
      </rPr>
      <t>≈</t>
    </r>
  </si>
  <si>
    <t>The approximate inflation differential between</t>
  </si>
  <si>
    <t xml:space="preserve">the U.S. and Japan is </t>
  </si>
  <si>
    <t>annually.</t>
  </si>
  <si>
    <t>Question 13</t>
  </si>
  <si>
    <t>Spot on HUF</t>
  </si>
  <si>
    <t>U.S. interest rate</t>
  </si>
  <si>
    <t># yrs to predict exchange rate</t>
  </si>
  <si>
    <t>E[S1] (HUF)</t>
  </si>
  <si>
    <t>E[S2] (HUF)</t>
  </si>
  <si>
    <t>E[S5] (HUF)</t>
  </si>
  <si>
    <t>You are relying on relative PPP.</t>
  </si>
  <si>
    <t>Question 14</t>
  </si>
  <si>
    <t>Cost (SF)</t>
  </si>
  <si>
    <t>Cash flows (SF)</t>
  </si>
  <si>
    <t># of years</t>
  </si>
  <si>
    <t>Required return</t>
  </si>
  <si>
    <t>Current exchange rate</t>
  </si>
  <si>
    <t>Eurodollar rate</t>
  </si>
  <si>
    <t>Euroswiss rate</t>
  </si>
  <si>
    <t xml:space="preserve">Implicitly, it is assumed that interest rates won't change over the life of the </t>
  </si>
  <si>
    <t xml:space="preserve">project, but the exchange rate is projected to </t>
  </si>
  <si>
    <t xml:space="preserve">because the </t>
  </si>
  <si>
    <t>is lower than the</t>
  </si>
  <si>
    <t>t</t>
  </si>
  <si>
    <t>SFr</t>
  </si>
  <si>
    <t>E[St]</t>
  </si>
  <si>
    <t>US$</t>
  </si>
  <si>
    <t xml:space="preserve">NPV </t>
  </si>
  <si>
    <t>R(SFr)</t>
  </si>
  <si>
    <t>NPV (SFr)</t>
  </si>
  <si>
    <t>NPV ($)</t>
  </si>
  <si>
    <t>Question 15</t>
  </si>
  <si>
    <t>Cost (€)</t>
  </si>
  <si>
    <t>Cash flows (€)</t>
  </si>
  <si>
    <t>Euro risk-free rate</t>
  </si>
  <si>
    <t>Dollar risk-free rate</t>
  </si>
  <si>
    <r>
      <t>E[S</t>
    </r>
    <r>
      <rPr>
        <vertAlign val="subscript"/>
        <sz val="12"/>
        <rFont val="Arial"/>
        <family val="2"/>
      </rPr>
      <t>T</t>
    </r>
    <r>
      <rPr>
        <sz val="12"/>
        <rFont val="Arial"/>
        <family val="2"/>
      </rPr>
      <t>] = F</t>
    </r>
    <r>
      <rPr>
        <vertAlign val="subscript"/>
        <sz val="12"/>
        <rFont val="Arial"/>
        <family val="2"/>
      </rPr>
      <t>T</t>
    </r>
    <r>
      <rPr>
        <sz val="12"/>
        <rFont val="Arial"/>
        <family val="2"/>
      </rPr>
      <t xml:space="preserve"> = S</t>
    </r>
    <r>
      <rPr>
        <vertAlign val="subscript"/>
        <sz val="12"/>
        <rFont val="Arial"/>
        <family val="2"/>
      </rPr>
      <t>0</t>
    </r>
    <r>
      <rPr>
        <sz val="12"/>
        <rFont val="Arial"/>
        <family val="2"/>
      </rPr>
      <t xml:space="preserve"> [(1+ R</t>
    </r>
    <r>
      <rPr>
        <vertAlign val="subscript"/>
        <sz val="12"/>
        <rFont val="Arial"/>
        <family val="2"/>
      </rPr>
      <t>FC</t>
    </r>
    <r>
      <rPr>
        <sz val="12"/>
        <rFont val="Arial"/>
        <family val="2"/>
      </rPr>
      <t>)/(1+ R</t>
    </r>
    <r>
      <rPr>
        <vertAlign val="subscript"/>
        <sz val="12"/>
        <rFont val="Arial"/>
        <family val="2"/>
      </rPr>
      <t>US</t>
    </r>
    <r>
      <rPr>
        <sz val="12"/>
        <rFont val="Arial"/>
        <family val="2"/>
      </rPr>
      <t>)]</t>
    </r>
    <r>
      <rPr>
        <vertAlign val="superscript"/>
        <sz val="12"/>
        <rFont val="Arial"/>
        <family val="2"/>
      </rPr>
      <t>t</t>
    </r>
  </si>
  <si>
    <r>
      <t>E[S</t>
    </r>
    <r>
      <rPr>
        <vertAlign val="subscript"/>
        <sz val="12"/>
        <rFont val="Arial"/>
        <family val="2"/>
      </rPr>
      <t>T</t>
    </r>
    <r>
      <rPr>
        <sz val="12"/>
        <rFont val="Arial"/>
        <family val="2"/>
      </rPr>
      <t>] = S</t>
    </r>
    <r>
      <rPr>
        <vertAlign val="subscript"/>
        <sz val="12"/>
        <rFont val="Arial"/>
        <family val="2"/>
      </rPr>
      <t xml:space="preserve">0 </t>
    </r>
    <r>
      <rPr>
        <sz val="12"/>
        <rFont val="Arial"/>
        <family val="2"/>
      </rPr>
      <t>[(1+ h</t>
    </r>
    <r>
      <rPr>
        <vertAlign val="subscript"/>
        <sz val="12"/>
        <rFont val="Arial"/>
        <family val="2"/>
      </rPr>
      <t>FC</t>
    </r>
    <r>
      <rPr>
        <sz val="12"/>
        <rFont val="Arial"/>
        <family val="2"/>
      </rPr>
      <t>)/(1+ h</t>
    </r>
    <r>
      <rPr>
        <vertAlign val="subscript"/>
        <sz val="12"/>
        <rFont val="Arial"/>
        <family val="2"/>
      </rPr>
      <t>US</t>
    </r>
    <r>
      <rPr>
        <sz val="12"/>
        <rFont val="Arial"/>
        <family val="2"/>
      </rPr>
      <t>)]</t>
    </r>
    <r>
      <rPr>
        <vertAlign val="superscript"/>
        <sz val="12"/>
        <rFont val="Arial"/>
        <family val="2"/>
      </rPr>
      <t>t</t>
    </r>
  </si>
  <si>
    <t>Home currency approach:</t>
  </si>
  <si>
    <t>Cash flow in €</t>
  </si>
  <si>
    <r>
      <t>E[S</t>
    </r>
    <r>
      <rPr>
        <u/>
        <vertAlign val="subscript"/>
        <sz val="12"/>
        <rFont val="Arial"/>
        <family val="2"/>
      </rPr>
      <t>T</t>
    </r>
    <r>
      <rPr>
        <u/>
        <sz val="12"/>
        <rFont val="Arial"/>
        <family val="2"/>
      </rPr>
      <t>]</t>
    </r>
  </si>
  <si>
    <t>NPV</t>
  </si>
  <si>
    <t>Foreign currency approach:</t>
  </si>
  <si>
    <r>
      <t>R</t>
    </r>
    <r>
      <rPr>
        <vertAlign val="subscript"/>
        <sz val="12"/>
        <rFont val="Arial"/>
        <family val="2"/>
      </rPr>
      <t>FC</t>
    </r>
    <r>
      <rPr>
        <sz val="12"/>
        <rFont val="Arial"/>
        <family val="2"/>
      </rPr>
      <t xml:space="preserve"> = </t>
    </r>
  </si>
  <si>
    <r>
      <t xml:space="preserve">NPV in </t>
    </r>
    <r>
      <rPr>
        <sz val="12"/>
        <rFont val="Arial"/>
        <family val="2"/>
      </rPr>
      <t>€</t>
    </r>
  </si>
  <si>
    <t>NPV in $</t>
  </si>
  <si>
    <t>Input boxes in tan</t>
  </si>
  <si>
    <t>Output boxes in yellow</t>
  </si>
  <si>
    <t>Given data in blue</t>
  </si>
  <si>
    <t>Calculations in red</t>
  </si>
  <si>
    <t>Answers in green</t>
  </si>
  <si>
    <t>Cross rate (¥/£)</t>
  </si>
  <si>
    <t>Exchange rate for ¥/$</t>
  </si>
  <si>
    <t>Exchange rate for $/£</t>
  </si>
  <si>
    <t>Cross rate for ¥/£</t>
  </si>
  <si>
    <t>Hungarian interest rate</t>
  </si>
  <si>
    <t>Pesos per $</t>
  </si>
  <si>
    <t># of Pesos/Euro</t>
  </si>
  <si>
    <t>SF</t>
  </si>
  <si>
    <t>SF value per $</t>
  </si>
  <si>
    <t>£ 100, since (SF)</t>
  </si>
  <si>
    <t>Cross rate SF/£</t>
  </si>
  <si>
    <t>Cross rate £/SF</t>
  </si>
  <si>
    <t>Great Britian</t>
  </si>
  <si>
    <t>Spot rate for U.K. (£/$)</t>
  </si>
  <si>
    <t>Forward rate for Great Britian</t>
  </si>
  <si>
    <t>Spot rate for Poland</t>
  </si>
  <si>
    <t xml:space="preserve">Inflation in Poland is expected to  </t>
  </si>
  <si>
    <t>Spot on krone</t>
  </si>
  <si>
    <t>Forward on krone</t>
  </si>
  <si>
    <t>Risk-free rate (Norway)</t>
  </si>
  <si>
    <r>
      <t>F</t>
    </r>
    <r>
      <rPr>
        <vertAlign val="subscript"/>
        <sz val="12"/>
        <rFont val="Arial"/>
        <family val="2"/>
      </rPr>
      <t xml:space="preserve">180 </t>
    </r>
    <r>
      <rPr>
        <sz val="12"/>
        <rFont val="Arial"/>
        <family val="2"/>
      </rPr>
      <t>(Kr/$)</t>
    </r>
  </si>
  <si>
    <t>Australian gov't securities</t>
  </si>
  <si>
    <t>Tiawanese gov't securities</t>
  </si>
  <si>
    <t>Australian inflation</t>
  </si>
  <si>
    <t>Tiawanese inflation</t>
  </si>
  <si>
    <t xml:space="preserve">The £ is selling at a </t>
  </si>
  <si>
    <t>Project cost</t>
  </si>
  <si>
    <t>Year 1 cash flow</t>
  </si>
  <si>
    <t>Year 2 cash flow</t>
  </si>
  <si>
    <t>Year 3 cash flow</t>
  </si>
  <si>
    <t>Spot rate ($/€)</t>
  </si>
  <si>
    <t>Euroland risk-free rate</t>
  </si>
  <si>
    <t>Cost of capital</t>
  </si>
  <si>
    <t>Sales price in three years</t>
  </si>
  <si>
    <t>Dollar value of CF in year 1</t>
  </si>
  <si>
    <t>Dollar value of CF in year 2</t>
  </si>
  <si>
    <t>Dollar value of sales price in year 3</t>
  </si>
  <si>
    <t>Dollar value of CF in year 3</t>
  </si>
  <si>
    <r>
      <t>E(S</t>
    </r>
    <r>
      <rPr>
        <vertAlign val="subscript"/>
        <sz val="12"/>
        <rFont val="Arial"/>
        <family val="2"/>
      </rPr>
      <t>1</t>
    </r>
    <r>
      <rPr>
        <sz val="12"/>
        <rFont val="Arial"/>
        <family val="2"/>
      </rPr>
      <t>) $/€</t>
    </r>
  </si>
  <si>
    <r>
      <t>E(S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>) $/€</t>
    </r>
  </si>
  <si>
    <r>
      <t>E(S</t>
    </r>
    <r>
      <rPr>
        <vertAlign val="subscript"/>
        <sz val="12"/>
        <rFont val="Arial"/>
        <family val="2"/>
      </rPr>
      <t>3</t>
    </r>
    <r>
      <rPr>
        <sz val="12"/>
        <rFont val="Arial"/>
        <family val="2"/>
      </rPr>
      <t>) $/€</t>
    </r>
  </si>
  <si>
    <t>Project cost in dollars</t>
  </si>
  <si>
    <t>Total dollar value of year 3 CF</t>
  </si>
  <si>
    <t>Chapter 31</t>
  </si>
  <si>
    <t xml:space="preserve">NOTE: Some functions used in these spreadsheets may require that </t>
  </si>
  <si>
    <t>the "Analysis ToolPak" or "Solver Add-in" be installed in Excel.</t>
  </si>
  <si>
    <t xml:space="preserve">To install these, click on "Tools|Add-Ins" and select "Analysis ToolPak" </t>
  </si>
  <si>
    <t>and "Solver Add-In."</t>
  </si>
  <si>
    <t>Problems 1-18</t>
  </si>
  <si>
    <t>Question 18</t>
  </si>
  <si>
    <t>Question 16</t>
  </si>
  <si>
    <t>Assets (solaris)</t>
  </si>
  <si>
    <t>Debt (solaris)</t>
  </si>
  <si>
    <t>Equity (solaris)</t>
  </si>
  <si>
    <t>Exchange rate in one year</t>
  </si>
  <si>
    <t>Liabilities</t>
  </si>
  <si>
    <t>Equity</t>
  </si>
  <si>
    <t>Assets</t>
  </si>
  <si>
    <t>Total liabilities &amp; equity</t>
  </si>
  <si>
    <t>Question 17</t>
  </si>
  <si>
    <t>Retained earnings (solaris)</t>
  </si>
  <si>
    <t>Exchange rate</t>
  </si>
  <si>
    <t>Balance Sheet (solaris)</t>
  </si>
  <si>
    <t>Balance Sheet (dollars)</t>
  </si>
  <si>
    <t xml:space="preserve">relative to the pound. </t>
  </si>
  <si>
    <r>
      <t>1+ r</t>
    </r>
    <r>
      <rPr>
        <vertAlign val="subscript"/>
        <sz val="12"/>
        <rFont val="Arial"/>
        <family val="2"/>
      </rPr>
      <t>US</t>
    </r>
    <r>
      <rPr>
        <sz val="12"/>
        <rFont val="Arial"/>
        <family val="2"/>
      </rPr>
      <t xml:space="preserve"> = (1+ R</t>
    </r>
    <r>
      <rPr>
        <vertAlign val="subscript"/>
        <sz val="12"/>
        <rFont val="Arial"/>
        <family val="2"/>
      </rPr>
      <t>US</t>
    </r>
    <r>
      <rPr>
        <sz val="12"/>
        <rFont val="Arial"/>
        <family val="2"/>
      </rPr>
      <t>)/(1+ h</t>
    </r>
    <r>
      <rPr>
        <vertAlign val="subscript"/>
        <sz val="12"/>
        <rFont val="Arial"/>
        <family val="2"/>
      </rPr>
      <t>US</t>
    </r>
    <r>
      <rPr>
        <sz val="12"/>
        <rFont val="Arial"/>
        <family val="2"/>
      </rPr>
      <t>)=(1+ R</t>
    </r>
    <r>
      <rPr>
        <vertAlign val="subscript"/>
        <sz val="12"/>
        <rFont val="Arial"/>
        <family val="2"/>
      </rPr>
      <t>FC</t>
    </r>
    <r>
      <rPr>
        <sz val="12"/>
        <rFont val="Arial"/>
        <family val="2"/>
      </rPr>
      <t>)/(1+ h</t>
    </r>
    <r>
      <rPr>
        <vertAlign val="subscript"/>
        <sz val="12"/>
        <rFont val="Arial"/>
        <family val="2"/>
      </rPr>
      <t>FC</t>
    </r>
    <r>
      <rPr>
        <sz val="12"/>
        <rFont val="Arial"/>
        <family val="2"/>
      </rPr>
      <t>)=1+ r</t>
    </r>
    <r>
      <rPr>
        <vertAlign val="subscript"/>
        <sz val="12"/>
        <rFont val="Arial"/>
        <family val="2"/>
      </rPr>
      <t>FC</t>
    </r>
  </si>
  <si>
    <t>Dollars per euro</t>
  </si>
  <si>
    <t>Euros per dollar</t>
  </si>
  <si>
    <t>Most valuable = Kuwait Dinar = $3.6360</t>
  </si>
  <si>
    <t>Least valuable = Vietnam dong = $.00004755</t>
  </si>
  <si>
    <t>New Zealand dollar</t>
  </si>
  <si>
    <t>Dollars per pound</t>
  </si>
  <si>
    <t>Spot £/$ rate</t>
  </si>
  <si>
    <t>3 month £/$ rate</t>
  </si>
</sst>
</file>

<file path=xl/styles.xml><?xml version="1.0" encoding="utf-8"?>
<styleSheet xmlns="http://schemas.openxmlformats.org/spreadsheetml/2006/main">
  <numFmts count="30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[$€-2]\ * #,##0.0000_);_([$€-2]\ * \(#,##0.0000\);_([$€-2]\ * &quot;-&quot;????_);_(@_)"/>
    <numFmt numFmtId="165" formatCode="_(&quot;$&quot;* #,##0.0000_);_(&quot;$&quot;* \(#,##0.0000\);_(&quot;$&quot;* &quot;-&quot;????_);_(@_)"/>
    <numFmt numFmtId="166" formatCode="_([$€-2]\ * #,##0_);_([$€-2]\ * \(#,##0\);_([$€-2]\ * &quot;-&quot;_);_(@_)"/>
    <numFmt numFmtId="167" formatCode="_(* #,##0.0000_);_(* \(#,##0.0000\);_(* &quot;-&quot;????_);_(@_)"/>
    <numFmt numFmtId="168" formatCode="#,##0.0000_);\(#,##0.0000\)"/>
    <numFmt numFmtId="169" formatCode="_-[$£-809]* #,##0_-;\-[$£-809]* #,##0_-;_-[$£-809]* &quot;-&quot;_-;_-@_-"/>
    <numFmt numFmtId="170" formatCode="_(&quot;$&quot;* #,##0.000_);_(&quot;$&quot;* \(#,##0.000\);_(&quot;$&quot;* &quot;-&quot;???_);_(@_)"/>
    <numFmt numFmtId="171" formatCode="0.0000_);\(0.0000\)"/>
    <numFmt numFmtId="172" formatCode="&quot;$&quot;#,##0.0000000;[Red]&quot;$&quot;#,##0.0000000"/>
    <numFmt numFmtId="173" formatCode="&quot;$&quot;#,##0.0000000_);\(&quot;$&quot;#,##0.0000000\)"/>
    <numFmt numFmtId="174" formatCode="0_);\(0\)"/>
    <numFmt numFmtId="175" formatCode="0.0000"/>
    <numFmt numFmtId="176" formatCode="0.00_);\(0.00\)"/>
    <numFmt numFmtId="177" formatCode="&quot;$&quot;#,##0"/>
    <numFmt numFmtId="178" formatCode="&quot;$&quot;#,##0.0000"/>
    <numFmt numFmtId="179" formatCode="#,##0.000_);\(#,##0.000\)"/>
    <numFmt numFmtId="180" formatCode="#,##0.00000"/>
    <numFmt numFmtId="181" formatCode="_(* #,##0.000_);_(* \(#,##0.000\);_(* &quot;-&quot;???_);_(@_)"/>
    <numFmt numFmtId="182" formatCode="_([$€-2]\ * #,##0.00_);_([$€-2]\ * \(#,##0.00\);_([$€-2]\ * &quot;-&quot;??_);_(@_)"/>
    <numFmt numFmtId="183" formatCode="_([$€-2]\ * #,##0_);_([$€-2]\ * \(#,##0\);_([$€-2]\ * &quot;-&quot;??_);_(@_)"/>
    <numFmt numFmtId="184" formatCode="_(* #,##0.00_);_(* \(#,##0.00\);_(* &quot;-&quot;???_);_(@_)"/>
    <numFmt numFmtId="185" formatCode="_(* #,##0_);_(* \(#,##0\);_(* &quot;-&quot;???_);_(@_)"/>
    <numFmt numFmtId="186" formatCode="_([$€-2]\ * #,##0.00_);_([$€-2]\ * \(#,##0.00\);_([$€-2]\ * &quot;-&quot;????_);_(@_)"/>
    <numFmt numFmtId="187" formatCode="#,##0.0_);\(#,##0.0\)"/>
    <numFmt numFmtId="188" formatCode="_(* #,##0_);_(* \(#,##0\);_(* &quot;-&quot;??_);_(@_)"/>
  </numFmts>
  <fonts count="3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2"/>
      <color indexed="12"/>
      <name val="Arial"/>
      <family val="2"/>
    </font>
    <font>
      <b/>
      <sz val="12"/>
      <color indexed="57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color indexed="10"/>
      <name val="Arial"/>
      <family val="2"/>
    </font>
    <font>
      <sz val="12"/>
      <color indexed="57"/>
      <name val="Arial"/>
      <family val="2"/>
    </font>
    <font>
      <sz val="12"/>
      <color indexed="10"/>
      <name val="Arial"/>
      <family val="2"/>
    </font>
    <font>
      <sz val="12"/>
      <name val="Arial"/>
      <family val="2"/>
    </font>
    <font>
      <vertAlign val="subscript"/>
      <sz val="12"/>
      <name val="Arial"/>
      <family val="2"/>
    </font>
    <font>
      <u/>
      <sz val="12"/>
      <name val="Arial"/>
      <family val="2"/>
    </font>
    <font>
      <b/>
      <sz val="12"/>
      <color indexed="57"/>
      <name val="Arial"/>
      <family val="2"/>
    </font>
    <font>
      <vertAlign val="superscript"/>
      <sz val="12"/>
      <name val="Arial"/>
      <family val="2"/>
    </font>
    <font>
      <u/>
      <vertAlign val="subscript"/>
      <sz val="12"/>
      <name val="Arial"/>
      <family val="2"/>
    </font>
    <font>
      <sz val="10"/>
      <color indexed="8"/>
      <name val="Arial"/>
      <family val="2"/>
    </font>
    <font>
      <sz val="48"/>
      <color indexed="52"/>
      <name val="Arial"/>
      <family val="2"/>
    </font>
    <font>
      <sz val="10"/>
      <color indexed="19"/>
      <name val="Arial"/>
      <family val="2"/>
    </font>
    <font>
      <sz val="18"/>
      <color indexed="52"/>
      <name val="Arial"/>
      <family val="2"/>
    </font>
    <font>
      <sz val="12"/>
      <color indexed="8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b/>
      <sz val="12"/>
      <color indexed="48"/>
      <name val="Arial"/>
      <family val="2"/>
    </font>
    <font>
      <b/>
      <sz val="12"/>
      <color indexed="10"/>
      <name val="Arial"/>
      <family val="2"/>
    </font>
    <font>
      <b/>
      <sz val="14"/>
      <name val="Arial"/>
      <family val="2"/>
    </font>
    <font>
      <b/>
      <sz val="10"/>
      <color indexed="9"/>
      <name val="Arial"/>
      <family val="2"/>
    </font>
    <font>
      <sz val="12"/>
      <color indexed="10"/>
      <name val="Arial"/>
      <family val="2"/>
    </font>
    <font>
      <sz val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9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4" fillId="2" borderId="4" xfId="0" applyFont="1" applyFill="1" applyBorder="1"/>
    <xf numFmtId="0" fontId="2" fillId="2" borderId="0" xfId="0" applyFont="1" applyFill="1" applyBorder="1"/>
    <xf numFmtId="42" fontId="5" fillId="2" borderId="0" xfId="1" applyNumberFormat="1" applyFont="1" applyFill="1" applyBorder="1"/>
    <xf numFmtId="0" fontId="2" fillId="2" borderId="5" xfId="0" applyFont="1" applyFill="1" applyBorder="1"/>
    <xf numFmtId="164" fontId="5" fillId="2" borderId="0" xfId="0" applyNumberFormat="1" applyFont="1" applyFill="1" applyBorder="1"/>
    <xf numFmtId="165" fontId="5" fillId="2" borderId="0" xfId="1" applyNumberFormat="1" applyFont="1" applyFill="1" applyBorder="1"/>
    <xf numFmtId="166" fontId="5" fillId="2" borderId="0" xfId="0" applyNumberFormat="1" applyFont="1" applyFill="1" applyBorder="1"/>
    <xf numFmtId="167" fontId="5" fillId="2" borderId="0" xfId="0" applyNumberFormat="1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3" borderId="1" xfId="0" applyFont="1" applyFill="1" applyBorder="1"/>
    <xf numFmtId="0" fontId="2" fillId="3" borderId="2" xfId="0" applyFont="1" applyFill="1" applyBorder="1"/>
    <xf numFmtId="0" fontId="2" fillId="3" borderId="3" xfId="0" applyFont="1" applyFill="1" applyBorder="1"/>
    <xf numFmtId="0" fontId="4" fillId="3" borderId="4" xfId="0" applyFont="1" applyFill="1" applyBorder="1"/>
    <xf numFmtId="0" fontId="2" fillId="3" borderId="0" xfId="0" applyFont="1" applyFill="1" applyBorder="1"/>
    <xf numFmtId="0" fontId="2" fillId="3" borderId="5" xfId="0" applyFont="1" applyFill="1" applyBorder="1"/>
    <xf numFmtId="165" fontId="6" fillId="3" borderId="9" xfId="0" applyNumberFormat="1" applyFont="1" applyFill="1" applyBorder="1" applyAlignment="1">
      <alignment horizontal="right"/>
    </xf>
    <xf numFmtId="42" fontId="6" fillId="3" borderId="9" xfId="0" applyNumberFormat="1" applyFont="1" applyFill="1" applyBorder="1" applyAlignment="1">
      <alignment horizontal="right"/>
    </xf>
    <xf numFmtId="0" fontId="7" fillId="3" borderId="9" xfId="0" applyFont="1" applyFill="1" applyBorder="1" applyAlignment="1">
      <alignment horizontal="right"/>
    </xf>
    <xf numFmtId="168" fontId="6" fillId="3" borderId="9" xfId="0" applyNumberFormat="1" applyFont="1" applyFill="1" applyBorder="1" applyAlignment="1">
      <alignment horizontal="right"/>
    </xf>
    <xf numFmtId="168" fontId="2" fillId="3" borderId="0" xfId="0" applyNumberFormat="1" applyFont="1" applyFill="1" applyBorder="1"/>
    <xf numFmtId="0" fontId="2" fillId="3" borderId="5" xfId="0" applyFont="1" applyFill="1" applyBorder="1" applyAlignment="1">
      <alignment horizontal="left"/>
    </xf>
    <xf numFmtId="0" fontId="2" fillId="3" borderId="6" xfId="0" applyFont="1" applyFill="1" applyBorder="1"/>
    <xf numFmtId="0" fontId="2" fillId="3" borderId="7" xfId="0" applyFont="1" applyFill="1" applyBorder="1"/>
    <xf numFmtId="0" fontId="2" fillId="3" borderId="8" xfId="0" applyFont="1" applyFill="1" applyBorder="1"/>
    <xf numFmtId="0" fontId="2" fillId="2" borderId="4" xfId="0" applyFont="1" applyFill="1" applyBorder="1"/>
    <xf numFmtId="41" fontId="5" fillId="2" borderId="0" xfId="0" applyNumberFormat="1" applyFont="1" applyFill="1" applyBorder="1"/>
    <xf numFmtId="169" fontId="5" fillId="2" borderId="0" xfId="0" applyNumberFormat="1" applyFont="1" applyFill="1" applyBorder="1"/>
    <xf numFmtId="168" fontId="5" fillId="2" borderId="0" xfId="1" applyNumberFormat="1" applyFont="1" applyFill="1" applyBorder="1"/>
    <xf numFmtId="0" fontId="2" fillId="3" borderId="4" xfId="0" applyFont="1" applyFill="1" applyBorder="1"/>
    <xf numFmtId="170" fontId="6" fillId="3" borderId="9" xfId="1" applyNumberFormat="1" applyFont="1" applyFill="1" applyBorder="1"/>
    <xf numFmtId="171" fontId="6" fillId="3" borderId="9" xfId="0" applyNumberFormat="1" applyFont="1" applyFill="1" applyBorder="1"/>
    <xf numFmtId="167" fontId="5" fillId="2" borderId="0" xfId="1" applyNumberFormat="1" applyFont="1" applyFill="1" applyBorder="1"/>
    <xf numFmtId="0" fontId="9" fillId="3" borderId="0" xfId="0" applyFont="1" applyFill="1" applyBorder="1"/>
    <xf numFmtId="171" fontId="2" fillId="3" borderId="0" xfId="0" applyNumberFormat="1" applyFont="1" applyFill="1" applyBorder="1"/>
    <xf numFmtId="172" fontId="9" fillId="3" borderId="0" xfId="0" applyNumberFormat="1" applyFont="1" applyFill="1" applyBorder="1" applyAlignment="1">
      <alignment horizontal="center"/>
    </xf>
    <xf numFmtId="173" fontId="9" fillId="3" borderId="0" xfId="0" applyNumberFormat="1" applyFont="1" applyFill="1" applyBorder="1" applyAlignment="1">
      <alignment horizontal="center"/>
    </xf>
    <xf numFmtId="44" fontId="5" fillId="2" borderId="0" xfId="1" applyFont="1" applyFill="1" applyBorder="1"/>
    <xf numFmtId="44" fontId="5" fillId="2" borderId="0" xfId="1" applyNumberFormat="1" applyFont="1" applyFill="1" applyBorder="1"/>
    <xf numFmtId="165" fontId="6" fillId="3" borderId="9" xfId="1" applyNumberFormat="1" applyFont="1" applyFill="1" applyBorder="1"/>
    <xf numFmtId="171" fontId="10" fillId="3" borderId="0" xfId="1" applyNumberFormat="1" applyFont="1" applyFill="1" applyBorder="1"/>
    <xf numFmtId="165" fontId="6" fillId="3" borderId="9" xfId="0" applyNumberFormat="1" applyFont="1" applyFill="1" applyBorder="1"/>
    <xf numFmtId="168" fontId="10" fillId="3" borderId="0" xfId="0" applyNumberFormat="1" applyFont="1" applyFill="1" applyBorder="1"/>
    <xf numFmtId="168" fontId="9" fillId="3" borderId="0" xfId="0" applyNumberFormat="1" applyFont="1" applyFill="1" applyBorder="1"/>
    <xf numFmtId="0" fontId="9" fillId="3" borderId="0" xfId="0" applyFont="1" applyFill="1" applyBorder="1" applyAlignment="1">
      <alignment horizontal="center"/>
    </xf>
    <xf numFmtId="37" fontId="5" fillId="2" borderId="0" xfId="1" applyNumberFormat="1" applyFont="1" applyFill="1" applyBorder="1"/>
    <xf numFmtId="171" fontId="11" fillId="3" borderId="0" xfId="0" applyNumberFormat="1" applyFont="1" applyFill="1" applyBorder="1"/>
    <xf numFmtId="0" fontId="9" fillId="3" borderId="0" xfId="0" applyFont="1" applyFill="1" applyBorder="1" applyAlignment="1">
      <alignment horizontal="right"/>
    </xf>
    <xf numFmtId="175" fontId="9" fillId="3" borderId="0" xfId="0" applyNumberFormat="1" applyFont="1" applyFill="1" applyBorder="1" applyAlignment="1">
      <alignment horizontal="center"/>
    </xf>
    <xf numFmtId="0" fontId="10" fillId="3" borderId="0" xfId="0" applyFont="1" applyFill="1" applyBorder="1"/>
    <xf numFmtId="165" fontId="9" fillId="3" borderId="0" xfId="1" applyNumberFormat="1" applyFont="1" applyFill="1" applyBorder="1"/>
    <xf numFmtId="171" fontId="5" fillId="2" borderId="0" xfId="1" applyNumberFormat="1" applyFont="1" applyFill="1" applyBorder="1"/>
    <xf numFmtId="176" fontId="5" fillId="2" borderId="0" xfId="1" applyNumberFormat="1" applyFont="1" applyFill="1" applyBorder="1"/>
    <xf numFmtId="10" fontId="5" fillId="2" borderId="0" xfId="1" applyNumberFormat="1" applyFont="1" applyFill="1" applyBorder="1"/>
    <xf numFmtId="10" fontId="6" fillId="3" borderId="9" xfId="1" applyNumberFormat="1" applyFont="1" applyFill="1" applyBorder="1"/>
    <xf numFmtId="10" fontId="6" fillId="3" borderId="9" xfId="0" applyNumberFormat="1" applyFont="1" applyFill="1" applyBorder="1"/>
    <xf numFmtId="43" fontId="5" fillId="2" borderId="0" xfId="0" applyNumberFormat="1" applyFont="1" applyFill="1" applyBorder="1"/>
    <xf numFmtId="5" fontId="5" fillId="2" borderId="0" xfId="1" applyNumberFormat="1" applyFont="1" applyFill="1" applyBorder="1"/>
    <xf numFmtId="44" fontId="6" fillId="3" borderId="9" xfId="1" applyNumberFormat="1" applyFont="1" applyFill="1" applyBorder="1"/>
    <xf numFmtId="177" fontId="6" fillId="3" borderId="0" xfId="1" applyNumberFormat="1" applyFont="1" applyFill="1" applyBorder="1"/>
    <xf numFmtId="43" fontId="5" fillId="2" borderId="0" xfId="1" applyNumberFormat="1" applyFont="1" applyFill="1" applyBorder="1"/>
    <xf numFmtId="10" fontId="6" fillId="3" borderId="0" xfId="1" applyNumberFormat="1" applyFont="1" applyFill="1" applyBorder="1"/>
    <xf numFmtId="177" fontId="12" fillId="3" borderId="0" xfId="1" applyNumberFormat="1" applyFont="1" applyFill="1" applyBorder="1"/>
    <xf numFmtId="10" fontId="9" fillId="3" borderId="0" xfId="0" applyNumberFormat="1" applyFont="1" applyFill="1" applyBorder="1" applyAlignment="1">
      <alignment horizontal="left"/>
    </xf>
    <xf numFmtId="41" fontId="5" fillId="2" borderId="0" xfId="1" applyNumberFormat="1" applyFont="1" applyFill="1" applyBorder="1"/>
    <xf numFmtId="9" fontId="5" fillId="2" borderId="0" xfId="1" applyNumberFormat="1" applyFont="1" applyFill="1" applyBorder="1"/>
    <xf numFmtId="44" fontId="6" fillId="3" borderId="9" xfId="1" applyFont="1" applyFill="1" applyBorder="1"/>
    <xf numFmtId="178" fontId="6" fillId="3" borderId="9" xfId="1" applyNumberFormat="1" applyFont="1" applyFill="1" applyBorder="1"/>
    <xf numFmtId="168" fontId="6" fillId="3" borderId="9" xfId="1" applyNumberFormat="1" applyFont="1" applyFill="1" applyBorder="1"/>
    <xf numFmtId="43" fontId="11" fillId="3" borderId="0" xfId="1" applyNumberFormat="1" applyFont="1" applyFill="1" applyBorder="1"/>
    <xf numFmtId="44" fontId="11" fillId="3" borderId="0" xfId="1" applyFont="1" applyFill="1" applyBorder="1"/>
    <xf numFmtId="44" fontId="12" fillId="3" borderId="0" xfId="1" applyFont="1" applyFill="1" applyBorder="1"/>
    <xf numFmtId="10" fontId="9" fillId="3" borderId="0" xfId="0" applyNumberFormat="1" applyFont="1" applyFill="1" applyBorder="1" applyAlignment="1">
      <alignment horizontal="center"/>
    </xf>
    <xf numFmtId="178" fontId="12" fillId="3" borderId="0" xfId="1" applyNumberFormat="1" applyFont="1" applyFill="1" applyBorder="1"/>
    <xf numFmtId="0" fontId="2" fillId="3" borderId="0" xfId="0" applyNumberFormat="1" applyFont="1" applyFill="1" applyBorder="1" applyAlignment="1">
      <alignment horizontal="left"/>
    </xf>
    <xf numFmtId="179" fontId="11" fillId="3" borderId="0" xfId="1" applyNumberFormat="1" applyFont="1" applyFill="1" applyBorder="1" applyAlignment="1">
      <alignment horizontal="center"/>
    </xf>
    <xf numFmtId="180" fontId="9" fillId="3" borderId="0" xfId="0" applyNumberFormat="1" applyFont="1" applyFill="1" applyBorder="1" applyAlignment="1">
      <alignment horizontal="center"/>
    </xf>
    <xf numFmtId="180" fontId="11" fillId="3" borderId="0" xfId="1" applyNumberFormat="1" applyFont="1" applyFill="1" applyBorder="1" applyAlignment="1">
      <alignment horizontal="center"/>
    </xf>
    <xf numFmtId="178" fontId="6" fillId="3" borderId="0" xfId="1" applyNumberFormat="1" applyFont="1" applyFill="1" applyBorder="1"/>
    <xf numFmtId="167" fontId="6" fillId="3" borderId="9" xfId="1" applyNumberFormat="1" applyFont="1" applyFill="1" applyBorder="1"/>
    <xf numFmtId="1" fontId="5" fillId="2" borderId="0" xfId="1" applyNumberFormat="1" applyFont="1" applyFill="1" applyBorder="1"/>
    <xf numFmtId="9" fontId="6" fillId="3" borderId="0" xfId="1" applyNumberFormat="1" applyFont="1" applyFill="1" applyBorder="1"/>
    <xf numFmtId="10" fontId="11" fillId="3" borderId="0" xfId="1" applyNumberFormat="1" applyFont="1" applyFill="1" applyBorder="1"/>
    <xf numFmtId="10" fontId="12" fillId="3" borderId="0" xfId="1" applyNumberFormat="1" applyFont="1" applyFill="1" applyBorder="1"/>
    <xf numFmtId="174" fontId="5" fillId="2" borderId="0" xfId="1" applyNumberFormat="1" applyFont="1" applyFill="1" applyBorder="1"/>
    <xf numFmtId="176" fontId="6" fillId="3" borderId="9" xfId="0" applyNumberFormat="1" applyFont="1" applyFill="1" applyBorder="1"/>
    <xf numFmtId="176" fontId="6" fillId="3" borderId="0" xfId="0" applyNumberFormat="1" applyFont="1" applyFill="1" applyBorder="1"/>
    <xf numFmtId="181" fontId="5" fillId="2" borderId="0" xfId="1" applyNumberFormat="1" applyFont="1" applyFill="1" applyBorder="1"/>
    <xf numFmtId="0" fontId="14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3" fontId="9" fillId="3" borderId="0" xfId="0" applyNumberFormat="1" applyFont="1" applyFill="1" applyBorder="1"/>
    <xf numFmtId="171" fontId="9" fillId="3" borderId="0" xfId="0" applyNumberFormat="1" applyFont="1" applyFill="1" applyBorder="1" applyAlignment="1">
      <alignment horizontal="center"/>
    </xf>
    <xf numFmtId="44" fontId="9" fillId="3" borderId="0" xfId="0" applyNumberFormat="1" applyFont="1" applyFill="1" applyBorder="1" applyAlignment="1">
      <alignment horizontal="center"/>
    </xf>
    <xf numFmtId="37" fontId="9" fillId="3" borderId="0" xfId="0" applyNumberFormat="1" applyFont="1" applyFill="1" applyBorder="1"/>
    <xf numFmtId="43" fontId="9" fillId="3" borderId="0" xfId="0" applyNumberFormat="1" applyFont="1" applyFill="1" applyBorder="1" applyAlignment="1">
      <alignment horizontal="center"/>
    </xf>
    <xf numFmtId="44" fontId="15" fillId="3" borderId="9" xfId="0" applyNumberFormat="1" applyFont="1" applyFill="1" applyBorder="1"/>
    <xf numFmtId="4" fontId="6" fillId="3" borderId="9" xfId="0" applyNumberFormat="1" applyFont="1" applyFill="1" applyBorder="1"/>
    <xf numFmtId="44" fontId="6" fillId="3" borderId="9" xfId="0" applyNumberFormat="1" applyFont="1" applyFill="1" applyBorder="1"/>
    <xf numFmtId="0" fontId="4" fillId="3" borderId="6" xfId="0" applyFont="1" applyFill="1" applyBorder="1"/>
    <xf numFmtId="0" fontId="2" fillId="0" borderId="0" xfId="0" applyFont="1" applyFill="1" applyBorder="1"/>
    <xf numFmtId="0" fontId="0" fillId="3" borderId="0" xfId="0" applyFill="1"/>
    <xf numFmtId="0" fontId="4" fillId="3" borderId="0" xfId="0" applyFont="1" applyFill="1" applyBorder="1"/>
    <xf numFmtId="0" fontId="14" fillId="3" borderId="0" xfId="0" applyFont="1" applyFill="1" applyBorder="1" applyAlignment="1">
      <alignment horizontal="right"/>
    </xf>
    <xf numFmtId="0" fontId="2" fillId="3" borderId="0" xfId="0" applyFont="1" applyFill="1" applyBorder="1" applyAlignment="1">
      <alignment horizontal="right"/>
    </xf>
    <xf numFmtId="3" fontId="9" fillId="3" borderId="0" xfId="0" applyNumberFormat="1" applyFont="1" applyFill="1" applyBorder="1" applyAlignment="1">
      <alignment horizontal="center"/>
    </xf>
    <xf numFmtId="37" fontId="9" fillId="3" borderId="0" xfId="0" applyNumberFormat="1" applyFont="1" applyFill="1" applyBorder="1" applyAlignment="1">
      <alignment horizontal="center"/>
    </xf>
    <xf numFmtId="0" fontId="12" fillId="3" borderId="0" xfId="0" applyFont="1" applyFill="1" applyBorder="1"/>
    <xf numFmtId="182" fontId="6" fillId="3" borderId="9" xfId="1" applyNumberFormat="1" applyFont="1" applyFill="1" applyBorder="1"/>
    <xf numFmtId="164" fontId="6" fillId="3" borderId="0" xfId="0" applyNumberFormat="1" applyFont="1" applyFill="1" applyBorder="1" applyAlignment="1">
      <alignment horizontal="right"/>
    </xf>
    <xf numFmtId="165" fontId="6" fillId="3" borderId="0" xfId="0" applyNumberFormat="1" applyFont="1" applyFill="1" applyBorder="1" applyAlignment="1">
      <alignment horizontal="right"/>
    </xf>
    <xf numFmtId="42" fontId="6" fillId="3" borderId="0" xfId="0" applyNumberFormat="1" applyFont="1" applyFill="1" applyBorder="1" applyAlignment="1">
      <alignment horizontal="right"/>
    </xf>
    <xf numFmtId="0" fontId="7" fillId="3" borderId="0" xfId="0" applyFont="1" applyFill="1" applyBorder="1" applyAlignment="1">
      <alignment horizontal="right"/>
    </xf>
    <xf numFmtId="168" fontId="6" fillId="3" borderId="0" xfId="0" applyNumberFormat="1" applyFont="1" applyFill="1" applyBorder="1" applyAlignment="1">
      <alignment horizontal="right"/>
    </xf>
    <xf numFmtId="0" fontId="18" fillId="4" borderId="0" xfId="0" applyFont="1" applyFill="1" applyBorder="1"/>
    <xf numFmtId="0" fontId="18" fillId="4" borderId="0" xfId="0" applyFont="1" applyFill="1"/>
    <xf numFmtId="0" fontId="0" fillId="4" borderId="0" xfId="0" applyFill="1"/>
    <xf numFmtId="2" fontId="19" fillId="4" borderId="0" xfId="0" applyNumberFormat="1" applyFont="1" applyFill="1" applyBorder="1" applyAlignment="1"/>
    <xf numFmtId="0" fontId="20" fillId="4" borderId="0" xfId="0" applyFont="1" applyFill="1" applyBorder="1"/>
    <xf numFmtId="0" fontId="21" fillId="4" borderId="0" xfId="0" applyFont="1" applyFill="1" applyBorder="1" applyAlignment="1">
      <alignment horizontal="center"/>
    </xf>
    <xf numFmtId="0" fontId="22" fillId="4" borderId="0" xfId="0" applyFont="1" applyFill="1" applyBorder="1"/>
    <xf numFmtId="0" fontId="23" fillId="4" borderId="0" xfId="0" applyFont="1" applyFill="1" applyBorder="1"/>
    <xf numFmtId="0" fontId="24" fillId="4" borderId="0" xfId="0" applyFont="1" applyFill="1" applyBorder="1"/>
    <xf numFmtId="0" fontId="25" fillId="4" borderId="0" xfId="0" applyFont="1" applyFill="1" applyBorder="1"/>
    <xf numFmtId="0" fontId="26" fillId="4" borderId="0" xfId="0" applyFont="1" applyFill="1" applyBorder="1"/>
    <xf numFmtId="0" fontId="6" fillId="4" borderId="0" xfId="0" applyFont="1" applyFill="1" applyBorder="1"/>
    <xf numFmtId="0" fontId="0" fillId="4" borderId="0" xfId="0" applyFill="1" applyBorder="1"/>
    <xf numFmtId="174" fontId="6" fillId="3" borderId="0" xfId="1" applyNumberFormat="1" applyFont="1" applyFill="1" applyBorder="1"/>
    <xf numFmtId="165" fontId="6" fillId="3" borderId="0" xfId="0" applyNumberFormat="1" applyFont="1" applyFill="1" applyBorder="1"/>
    <xf numFmtId="0" fontId="27" fillId="0" borderId="0" xfId="0" applyFont="1"/>
    <xf numFmtId="2" fontId="5" fillId="2" borderId="0" xfId="0" applyNumberFormat="1" applyFont="1" applyFill="1" applyBorder="1"/>
    <xf numFmtId="2" fontId="5" fillId="2" borderId="0" xfId="1" applyNumberFormat="1" applyFont="1" applyFill="1" applyBorder="1"/>
    <xf numFmtId="176" fontId="6" fillId="3" borderId="9" xfId="1" applyNumberFormat="1" applyFont="1" applyFill="1" applyBorder="1"/>
    <xf numFmtId="10" fontId="5" fillId="2" borderId="0" xfId="3" applyNumberFormat="1" applyFont="1" applyFill="1" applyBorder="1"/>
    <xf numFmtId="166" fontId="5" fillId="2" borderId="0" xfId="1" applyNumberFormat="1" applyFont="1" applyFill="1" applyBorder="1"/>
    <xf numFmtId="175" fontId="9" fillId="3" borderId="0" xfId="0" applyNumberFormat="1" applyFont="1" applyFill="1" applyBorder="1"/>
    <xf numFmtId="44" fontId="2" fillId="3" borderId="0" xfId="0" applyNumberFormat="1" applyFont="1" applyFill="1" applyBorder="1"/>
    <xf numFmtId="44" fontId="9" fillId="3" borderId="0" xfId="0" applyNumberFormat="1" applyFont="1" applyFill="1" applyBorder="1"/>
    <xf numFmtId="183" fontId="5" fillId="2" borderId="0" xfId="0" applyNumberFormat="1" applyFont="1" applyFill="1" applyBorder="1"/>
    <xf numFmtId="183" fontId="5" fillId="2" borderId="0" xfId="1" applyNumberFormat="1" applyFont="1" applyFill="1" applyBorder="1"/>
    <xf numFmtId="0" fontId="28" fillId="4" borderId="0" xfId="0" applyFont="1" applyFill="1" applyBorder="1"/>
    <xf numFmtId="0" fontId="2" fillId="0" borderId="0" xfId="2" applyFont="1"/>
    <xf numFmtId="0" fontId="27" fillId="0" borderId="0" xfId="2" applyFont="1"/>
    <xf numFmtId="0" fontId="1" fillId="0" borderId="0" xfId="2"/>
    <xf numFmtId="0" fontId="4" fillId="0" borderId="0" xfId="2" applyFont="1"/>
    <xf numFmtId="0" fontId="2" fillId="2" borderId="1" xfId="2" applyFont="1" applyFill="1" applyBorder="1"/>
    <xf numFmtId="0" fontId="2" fillId="2" borderId="2" xfId="2" applyFont="1" applyFill="1" applyBorder="1"/>
    <xf numFmtId="0" fontId="2" fillId="2" borderId="3" xfId="2" applyFont="1" applyFill="1" applyBorder="1"/>
    <xf numFmtId="0" fontId="2" fillId="2" borderId="4" xfId="2" applyFont="1" applyFill="1" applyBorder="1"/>
    <xf numFmtId="0" fontId="2" fillId="2" borderId="0" xfId="2" applyFont="1" applyFill="1" applyBorder="1"/>
    <xf numFmtId="41" fontId="5" fillId="2" borderId="0" xfId="2" applyNumberFormat="1" applyFont="1" applyFill="1" applyBorder="1"/>
    <xf numFmtId="0" fontId="2" fillId="2" borderId="5" xfId="2" applyFont="1" applyFill="1" applyBorder="1"/>
    <xf numFmtId="184" fontId="5" fillId="2" borderId="0" xfId="1" applyNumberFormat="1" applyFont="1" applyFill="1" applyBorder="1"/>
    <xf numFmtId="0" fontId="4" fillId="2" borderId="4" xfId="2" applyFont="1" applyFill="1" applyBorder="1"/>
    <xf numFmtId="0" fontId="2" fillId="2" borderId="6" xfId="2" applyFont="1" applyFill="1" applyBorder="1"/>
    <xf numFmtId="0" fontId="2" fillId="2" borderId="7" xfId="2" applyFont="1" applyFill="1" applyBorder="1"/>
    <xf numFmtId="0" fontId="2" fillId="2" borderId="8" xfId="2" applyFont="1" applyFill="1" applyBorder="1"/>
    <xf numFmtId="0" fontId="2" fillId="0" borderId="0" xfId="2" applyFont="1" applyFill="1" applyBorder="1"/>
    <xf numFmtId="0" fontId="2" fillId="3" borderId="1" xfId="2" applyFont="1" applyFill="1" applyBorder="1"/>
    <xf numFmtId="0" fontId="2" fillId="3" borderId="2" xfId="2" applyFont="1" applyFill="1" applyBorder="1"/>
    <xf numFmtId="0" fontId="2" fillId="3" borderId="3" xfId="2" applyFont="1" applyFill="1" applyBorder="1"/>
    <xf numFmtId="0" fontId="4" fillId="3" borderId="4" xfId="2" applyFont="1" applyFill="1" applyBorder="1"/>
    <xf numFmtId="0" fontId="2" fillId="3" borderId="0" xfId="2" applyFont="1" applyFill="1" applyBorder="1"/>
    <xf numFmtId="44" fontId="9" fillId="3" borderId="0" xfId="2" applyNumberFormat="1" applyFont="1" applyFill="1" applyBorder="1"/>
    <xf numFmtId="0" fontId="2" fillId="3" borderId="5" xfId="2" applyFont="1" applyFill="1" applyBorder="1"/>
    <xf numFmtId="43" fontId="9" fillId="3" borderId="0" xfId="2" applyNumberFormat="1" applyFont="1" applyFill="1" applyBorder="1"/>
    <xf numFmtId="44" fontId="9" fillId="3" borderId="10" xfId="2" applyNumberFormat="1" applyFont="1" applyFill="1" applyBorder="1"/>
    <xf numFmtId="0" fontId="1" fillId="3" borderId="0" xfId="2" applyFont="1" applyFill="1" applyBorder="1"/>
    <xf numFmtId="0" fontId="2" fillId="3" borderId="0" xfId="2" applyFont="1" applyFill="1" applyBorder="1" applyAlignment="1">
      <alignment horizontal="right"/>
    </xf>
    <xf numFmtId="3" fontId="2" fillId="3" borderId="0" xfId="2" applyNumberFormat="1" applyFont="1" applyFill="1" applyBorder="1" applyAlignment="1">
      <alignment horizontal="center"/>
    </xf>
    <xf numFmtId="171" fontId="2" fillId="3" borderId="0" xfId="2" applyNumberFormat="1" applyFont="1" applyFill="1" applyBorder="1" applyAlignment="1">
      <alignment horizontal="center"/>
    </xf>
    <xf numFmtId="44" fontId="2" fillId="3" borderId="0" xfId="2" applyNumberFormat="1" applyFont="1" applyFill="1" applyBorder="1" applyAlignment="1">
      <alignment horizontal="center"/>
    </xf>
    <xf numFmtId="0" fontId="4" fillId="3" borderId="6" xfId="2" applyFont="1" applyFill="1" applyBorder="1"/>
    <xf numFmtId="0" fontId="2" fillId="3" borderId="7" xfId="2" applyFont="1" applyFill="1" applyBorder="1"/>
    <xf numFmtId="0" fontId="2" fillId="3" borderId="8" xfId="2" applyFont="1" applyFill="1" applyBorder="1"/>
    <xf numFmtId="41" fontId="9" fillId="2" borderId="0" xfId="2" applyNumberFormat="1" applyFont="1" applyFill="1" applyBorder="1"/>
    <xf numFmtId="185" fontId="5" fillId="2" borderId="0" xfId="1" applyNumberFormat="1" applyFont="1" applyFill="1" applyBorder="1"/>
    <xf numFmtId="0" fontId="2" fillId="3" borderId="4" xfId="2" applyFont="1" applyFill="1" applyBorder="1"/>
    <xf numFmtId="186" fontId="6" fillId="3" borderId="9" xfId="0" applyNumberFormat="1" applyFont="1" applyFill="1" applyBorder="1" applyAlignment="1">
      <alignment horizontal="right"/>
    </xf>
    <xf numFmtId="0" fontId="3" fillId="3" borderId="9" xfId="0" applyFont="1" applyFill="1" applyBorder="1" applyAlignment="1">
      <alignment horizontal="right"/>
    </xf>
    <xf numFmtId="9" fontId="29" fillId="3" borderId="0" xfId="0" applyNumberFormat="1" applyFont="1" applyFill="1" applyBorder="1" applyAlignment="1">
      <alignment horizontal="left"/>
    </xf>
    <xf numFmtId="187" fontId="5" fillId="2" borderId="0" xfId="1" applyNumberFormat="1" applyFont="1" applyFill="1" applyBorder="1"/>
    <xf numFmtId="188" fontId="5" fillId="2" borderId="0" xfId="1" applyNumberFormat="1" applyFont="1" applyFill="1" applyBorder="1"/>
    <xf numFmtId="0" fontId="27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3" borderId="0" xfId="2" applyFont="1" applyFill="1" applyBorder="1" applyAlignment="1">
      <alignment horizontal="center"/>
    </xf>
  </cellXfs>
  <cellStyles count="4">
    <cellStyle name="Currency" xfId="1" builtinId="4"/>
    <cellStyle name="Normal" xfId="0" builtinId="0"/>
    <cellStyle name="Normal 2" xfId="2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106"/>
  <sheetViews>
    <sheetView tabSelected="1" workbookViewId="0"/>
  </sheetViews>
  <sheetFormatPr defaultRowHeight="12.75"/>
  <cols>
    <col min="1" max="3" width="9.140625" style="123"/>
    <col min="4" max="4" width="42.5703125" style="123" customWidth="1"/>
    <col min="5" max="16384" width="9.140625" style="123"/>
  </cols>
  <sheetData>
    <row r="1" spans="1:29">
      <c r="A1" s="121"/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</row>
    <row r="2" spans="1:29">
      <c r="A2" s="121"/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</row>
    <row r="3" spans="1:29">
      <c r="A3" s="121"/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</row>
    <row r="4" spans="1:29">
      <c r="A4" s="121"/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22"/>
      <c r="Z4" s="122"/>
      <c r="AA4" s="122"/>
      <c r="AB4" s="122"/>
      <c r="AC4" s="122"/>
    </row>
    <row r="5" spans="1:29">
      <c r="A5" s="121"/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2"/>
      <c r="N5" s="122"/>
      <c r="O5" s="122"/>
      <c r="P5" s="122"/>
      <c r="Q5" s="122"/>
      <c r="R5" s="122"/>
      <c r="S5" s="122"/>
      <c r="T5" s="122"/>
      <c r="U5" s="122"/>
      <c r="V5" s="122"/>
      <c r="W5" s="122"/>
      <c r="X5" s="122"/>
      <c r="Y5" s="122"/>
      <c r="Z5" s="122"/>
      <c r="AA5" s="122"/>
      <c r="AB5" s="122"/>
      <c r="AC5" s="122"/>
    </row>
    <row r="6" spans="1:29">
      <c r="A6" s="121"/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</row>
    <row r="7" spans="1:29">
      <c r="A7" s="121"/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2"/>
      <c r="N7" s="122"/>
      <c r="O7" s="122"/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  <c r="AA7" s="122"/>
      <c r="AB7" s="122"/>
      <c r="AC7" s="122"/>
    </row>
    <row r="8" spans="1:29">
      <c r="A8" s="121"/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2"/>
      <c r="N8" s="122"/>
      <c r="O8" s="122"/>
      <c r="P8" s="122"/>
      <c r="Q8" s="122"/>
      <c r="R8" s="122"/>
      <c r="S8" s="122"/>
      <c r="T8" s="122"/>
      <c r="U8" s="122"/>
      <c r="V8" s="122"/>
      <c r="W8" s="122"/>
      <c r="X8" s="122"/>
      <c r="Y8" s="122"/>
      <c r="Z8" s="122"/>
      <c r="AA8" s="122"/>
      <c r="AB8" s="122"/>
      <c r="AC8" s="122"/>
    </row>
    <row r="9" spans="1:29">
      <c r="A9" s="121"/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  <c r="AB9" s="122"/>
      <c r="AC9" s="122"/>
    </row>
    <row r="10" spans="1:29">
      <c r="A10" s="121"/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2"/>
      <c r="N10" s="122"/>
      <c r="O10" s="122"/>
      <c r="P10" s="122"/>
      <c r="Q10" s="122"/>
      <c r="R10" s="122"/>
      <c r="S10" s="122"/>
      <c r="T10" s="122"/>
      <c r="U10" s="122"/>
      <c r="V10" s="122"/>
      <c r="W10" s="122"/>
      <c r="X10" s="122"/>
      <c r="Y10" s="122"/>
      <c r="Z10" s="122"/>
      <c r="AA10" s="122"/>
      <c r="AB10" s="122"/>
      <c r="AC10" s="122"/>
    </row>
    <row r="11" spans="1:29">
      <c r="A11" s="121"/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2"/>
      <c r="N11" s="122"/>
      <c r="O11" s="122"/>
      <c r="P11" s="122"/>
      <c r="Q11" s="122"/>
      <c r="R11" s="122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122"/>
    </row>
    <row r="12" spans="1:29" ht="59.25">
      <c r="A12" s="121"/>
      <c r="B12" s="121"/>
      <c r="C12" s="121"/>
      <c r="D12" s="124" t="s">
        <v>222</v>
      </c>
      <c r="E12" s="121"/>
      <c r="F12" s="125"/>
      <c r="G12" s="121"/>
      <c r="H12" s="121"/>
      <c r="I12" s="121"/>
      <c r="J12" s="121"/>
      <c r="K12" s="121"/>
      <c r="L12" s="121"/>
      <c r="M12" s="122"/>
      <c r="N12" s="122"/>
      <c r="O12" s="122"/>
      <c r="P12" s="122"/>
      <c r="Q12" s="122"/>
      <c r="R12" s="122"/>
      <c r="S12" s="122"/>
      <c r="T12" s="122"/>
      <c r="U12" s="122"/>
      <c r="V12" s="122"/>
      <c r="W12" s="122"/>
      <c r="X12" s="122"/>
      <c r="Y12" s="122"/>
      <c r="Z12" s="122"/>
      <c r="AA12" s="122"/>
      <c r="AB12" s="122"/>
      <c r="AC12" s="122"/>
    </row>
    <row r="13" spans="1:29">
      <c r="A13" s="121"/>
      <c r="B13" s="121"/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2"/>
      <c r="N13" s="122"/>
      <c r="O13" s="122"/>
      <c r="P13" s="122"/>
      <c r="Q13" s="122"/>
      <c r="R13" s="122"/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</row>
    <row r="14" spans="1:29" ht="23.25">
      <c r="A14" s="121"/>
      <c r="B14" s="121"/>
      <c r="C14" s="121"/>
      <c r="D14" s="126" t="s">
        <v>227</v>
      </c>
      <c r="E14" s="121"/>
      <c r="F14" s="121"/>
      <c r="G14" s="121"/>
      <c r="H14" s="121"/>
      <c r="I14" s="121"/>
      <c r="J14" s="121"/>
      <c r="K14" s="121"/>
      <c r="L14" s="121"/>
      <c r="M14" s="122"/>
      <c r="N14" s="122"/>
      <c r="O14" s="122"/>
      <c r="P14" s="122"/>
      <c r="Q14" s="122"/>
      <c r="R14" s="122"/>
      <c r="S14" s="122"/>
      <c r="T14" s="122"/>
      <c r="U14" s="122"/>
      <c r="V14" s="122"/>
      <c r="W14" s="122"/>
      <c r="X14" s="122"/>
      <c r="Y14" s="122"/>
      <c r="Z14" s="122"/>
      <c r="AA14" s="122"/>
      <c r="AB14" s="122"/>
      <c r="AC14" s="122"/>
    </row>
    <row r="15" spans="1:29">
      <c r="A15" s="121"/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2"/>
      <c r="N15" s="122"/>
      <c r="O15" s="122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122"/>
    </row>
    <row r="16" spans="1:29">
      <c r="A16" s="121"/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2"/>
      <c r="N16" s="122"/>
      <c r="O16" s="122"/>
      <c r="P16" s="122"/>
      <c r="Q16" s="122"/>
      <c r="R16" s="122"/>
      <c r="S16" s="122"/>
      <c r="T16" s="122"/>
      <c r="U16" s="122"/>
      <c r="V16" s="122"/>
      <c r="W16" s="122"/>
      <c r="X16" s="122"/>
      <c r="Y16" s="122"/>
      <c r="Z16" s="122"/>
      <c r="AA16" s="122"/>
      <c r="AB16" s="122"/>
      <c r="AC16" s="122"/>
    </row>
    <row r="17" spans="1:29" ht="15">
      <c r="A17" s="121"/>
      <c r="B17" s="121"/>
      <c r="C17" s="121"/>
      <c r="D17" s="127"/>
      <c r="E17" s="121"/>
      <c r="F17" s="121"/>
      <c r="G17" s="121"/>
      <c r="H17" s="121"/>
      <c r="I17" s="121"/>
      <c r="J17" s="121"/>
      <c r="K17" s="121"/>
      <c r="L17" s="121"/>
      <c r="M17" s="122"/>
      <c r="N17" s="122"/>
      <c r="O17" s="122"/>
      <c r="P17" s="122"/>
      <c r="Q17" s="122"/>
      <c r="R17" s="122"/>
      <c r="S17" s="122"/>
      <c r="T17" s="122"/>
      <c r="U17" s="122"/>
      <c r="V17" s="122"/>
      <c r="W17" s="122"/>
      <c r="X17" s="122"/>
      <c r="Y17" s="122"/>
      <c r="Z17" s="122"/>
      <c r="AA17" s="122"/>
      <c r="AB17" s="122"/>
      <c r="AC17" s="122"/>
    </row>
    <row r="18" spans="1:29" ht="15.75">
      <c r="A18" s="121"/>
      <c r="B18" s="121"/>
      <c r="C18" s="121"/>
      <c r="D18" s="128" t="s">
        <v>174</v>
      </c>
      <c r="E18" s="121"/>
      <c r="F18" s="121"/>
      <c r="G18" s="121"/>
      <c r="H18" s="121"/>
      <c r="I18" s="121"/>
      <c r="J18" s="121"/>
      <c r="K18" s="121"/>
      <c r="L18" s="121"/>
      <c r="M18" s="122"/>
      <c r="N18" s="122"/>
      <c r="O18" s="122"/>
      <c r="P18" s="122"/>
      <c r="Q18" s="122"/>
      <c r="R18" s="122"/>
      <c r="S18" s="122"/>
      <c r="T18" s="122"/>
      <c r="U18" s="122"/>
      <c r="V18" s="122"/>
      <c r="W18" s="122"/>
      <c r="X18" s="122"/>
      <c r="Y18" s="122"/>
      <c r="Z18" s="122"/>
      <c r="AA18" s="122"/>
      <c r="AB18" s="122"/>
      <c r="AC18" s="122"/>
    </row>
    <row r="19" spans="1:29" ht="15.75">
      <c r="A19" s="121"/>
      <c r="B19" s="121"/>
      <c r="C19" s="121"/>
      <c r="D19" s="129" t="s">
        <v>175</v>
      </c>
      <c r="E19" s="121"/>
      <c r="F19" s="121"/>
      <c r="G19" s="121"/>
      <c r="H19" s="121"/>
      <c r="I19" s="121"/>
      <c r="J19" s="121"/>
      <c r="K19" s="121"/>
      <c r="L19" s="121"/>
      <c r="M19" s="122"/>
      <c r="N19" s="122"/>
      <c r="O19" s="122"/>
      <c r="P19" s="122"/>
      <c r="Q19" s="122"/>
      <c r="R19" s="122"/>
      <c r="S19" s="122"/>
      <c r="T19" s="122"/>
      <c r="U19" s="122"/>
      <c r="V19" s="122"/>
      <c r="W19" s="122"/>
      <c r="X19" s="122"/>
      <c r="Y19" s="122"/>
      <c r="Z19" s="122"/>
      <c r="AA19" s="122"/>
      <c r="AB19" s="122"/>
      <c r="AC19" s="122"/>
    </row>
    <row r="20" spans="1:29" ht="15.75">
      <c r="A20" s="121"/>
      <c r="B20" s="121"/>
      <c r="C20" s="121"/>
      <c r="D20" s="130" t="s">
        <v>176</v>
      </c>
      <c r="E20" s="121"/>
      <c r="F20" s="121"/>
      <c r="G20" s="121"/>
      <c r="H20" s="121"/>
      <c r="I20" s="121"/>
      <c r="J20" s="121"/>
      <c r="K20" s="121"/>
      <c r="L20" s="121"/>
      <c r="M20" s="122"/>
      <c r="N20" s="122"/>
      <c r="O20" s="122"/>
      <c r="P20" s="122"/>
      <c r="Q20" s="122"/>
      <c r="R20" s="122"/>
      <c r="S20" s="122"/>
      <c r="T20" s="122"/>
      <c r="U20" s="122"/>
      <c r="V20" s="122"/>
      <c r="W20" s="122"/>
      <c r="X20" s="122"/>
      <c r="Y20" s="122"/>
      <c r="Z20" s="122"/>
      <c r="AA20" s="122"/>
      <c r="AB20" s="122"/>
      <c r="AC20" s="122"/>
    </row>
    <row r="21" spans="1:29" ht="15.75">
      <c r="A21" s="121"/>
      <c r="B21" s="121"/>
      <c r="C21" s="121"/>
      <c r="D21" s="131" t="s">
        <v>177</v>
      </c>
      <c r="E21" s="121"/>
      <c r="F21" s="121"/>
      <c r="G21" s="121"/>
      <c r="H21" s="121"/>
      <c r="I21" s="121"/>
      <c r="J21" s="121"/>
      <c r="K21" s="121"/>
      <c r="L21" s="121"/>
      <c r="M21" s="122"/>
      <c r="N21" s="122"/>
      <c r="O21" s="122"/>
      <c r="P21" s="122"/>
      <c r="Q21" s="122"/>
      <c r="R21" s="122"/>
      <c r="S21" s="122"/>
      <c r="T21" s="122"/>
      <c r="U21" s="122"/>
      <c r="V21" s="122"/>
      <c r="W21" s="122"/>
      <c r="X21" s="122"/>
      <c r="Y21" s="122"/>
      <c r="Z21" s="122"/>
      <c r="AA21" s="122"/>
      <c r="AB21" s="122"/>
      <c r="AC21" s="122"/>
    </row>
    <row r="22" spans="1:29" ht="15.75">
      <c r="A22" s="121"/>
      <c r="B22" s="121"/>
      <c r="C22" s="121"/>
      <c r="D22" s="132" t="s">
        <v>178</v>
      </c>
      <c r="E22" s="121"/>
      <c r="F22" s="121"/>
      <c r="G22" s="121"/>
      <c r="H22" s="121"/>
      <c r="I22" s="121"/>
      <c r="J22" s="121"/>
      <c r="K22" s="121"/>
      <c r="L22" s="121"/>
      <c r="M22" s="122"/>
      <c r="N22" s="122"/>
      <c r="O22" s="122"/>
      <c r="P22" s="122"/>
      <c r="Q22" s="122"/>
      <c r="R22" s="122"/>
      <c r="S22" s="122"/>
      <c r="T22" s="122"/>
      <c r="U22" s="122"/>
      <c r="V22" s="122"/>
      <c r="W22" s="122"/>
      <c r="X22" s="122"/>
      <c r="Y22" s="122"/>
      <c r="Z22" s="122"/>
      <c r="AA22" s="122"/>
      <c r="AB22" s="122"/>
      <c r="AC22" s="122"/>
    </row>
    <row r="23" spans="1:29" ht="15">
      <c r="A23" s="121"/>
      <c r="B23" s="121"/>
      <c r="C23" s="121"/>
      <c r="D23" s="127"/>
      <c r="E23" s="121"/>
      <c r="F23" s="121"/>
      <c r="G23" s="121"/>
      <c r="H23" s="121"/>
      <c r="I23" s="121"/>
      <c r="J23" s="121"/>
      <c r="K23" s="121"/>
      <c r="L23" s="121"/>
      <c r="M23" s="122"/>
      <c r="N23" s="122"/>
      <c r="O23" s="122"/>
      <c r="P23" s="122"/>
      <c r="Q23" s="122"/>
      <c r="R23" s="122"/>
      <c r="S23" s="122"/>
      <c r="T23" s="122"/>
      <c r="U23" s="122"/>
      <c r="V23" s="122"/>
      <c r="W23" s="122"/>
      <c r="X23" s="122"/>
      <c r="Y23" s="122"/>
      <c r="Z23" s="122"/>
      <c r="AA23" s="122"/>
      <c r="AB23" s="122"/>
      <c r="AC23" s="122"/>
    </row>
    <row r="24" spans="1:29">
      <c r="A24" s="121"/>
      <c r="B24" s="121"/>
      <c r="C24" s="121"/>
      <c r="D24" s="147" t="s">
        <v>223</v>
      </c>
      <c r="E24" s="121"/>
      <c r="F24" s="121"/>
      <c r="G24" s="121"/>
      <c r="H24" s="121"/>
      <c r="I24" s="121"/>
      <c r="J24" s="121"/>
      <c r="K24" s="121"/>
      <c r="L24" s="121"/>
      <c r="M24" s="122"/>
      <c r="N24" s="122"/>
      <c r="O24" s="122"/>
      <c r="P24" s="122"/>
      <c r="Q24" s="122"/>
      <c r="R24" s="122"/>
      <c r="S24" s="122"/>
      <c r="T24" s="122"/>
      <c r="U24" s="122"/>
      <c r="V24" s="122"/>
      <c r="W24" s="122"/>
      <c r="X24" s="122"/>
      <c r="Y24" s="122"/>
      <c r="Z24" s="122"/>
      <c r="AA24" s="122"/>
      <c r="AB24" s="122"/>
      <c r="AC24" s="122"/>
    </row>
    <row r="25" spans="1:29">
      <c r="A25" s="121"/>
      <c r="B25" s="121"/>
      <c r="C25" s="121"/>
      <c r="D25" s="147" t="s">
        <v>224</v>
      </c>
      <c r="E25" s="121"/>
      <c r="F25" s="121"/>
      <c r="G25" s="121"/>
      <c r="H25" s="121"/>
      <c r="I25" s="121"/>
      <c r="J25" s="121"/>
      <c r="K25" s="121"/>
      <c r="L25" s="121"/>
      <c r="M25" s="122"/>
      <c r="N25" s="122"/>
      <c r="O25" s="122"/>
      <c r="P25" s="122"/>
      <c r="Q25" s="122"/>
      <c r="R25" s="122"/>
      <c r="S25" s="122"/>
      <c r="T25" s="122"/>
      <c r="U25" s="122"/>
      <c r="V25" s="122"/>
      <c r="W25" s="122"/>
      <c r="X25" s="122"/>
      <c r="Y25" s="122"/>
      <c r="Z25" s="122"/>
      <c r="AA25" s="122"/>
      <c r="AB25" s="122"/>
      <c r="AC25" s="122"/>
    </row>
    <row r="26" spans="1:29">
      <c r="A26" s="121"/>
      <c r="B26" s="121"/>
      <c r="C26" s="121"/>
      <c r="D26" s="147" t="s">
        <v>225</v>
      </c>
      <c r="E26" s="121"/>
      <c r="F26" s="121"/>
      <c r="G26" s="121"/>
      <c r="H26" s="121"/>
      <c r="I26" s="121"/>
      <c r="J26" s="121"/>
      <c r="K26" s="121"/>
      <c r="L26" s="121"/>
      <c r="M26" s="122"/>
      <c r="N26" s="122"/>
      <c r="O26" s="122"/>
      <c r="P26" s="122"/>
      <c r="Q26" s="122"/>
      <c r="R26" s="122"/>
      <c r="S26" s="122"/>
      <c r="T26" s="122"/>
      <c r="U26" s="122"/>
      <c r="V26" s="122"/>
      <c r="W26" s="122"/>
      <c r="X26" s="122"/>
      <c r="Y26" s="122"/>
      <c r="Z26" s="122"/>
      <c r="AA26" s="122"/>
      <c r="AB26" s="122"/>
      <c r="AC26" s="122"/>
    </row>
    <row r="27" spans="1:29">
      <c r="A27" s="121"/>
      <c r="B27" s="121"/>
      <c r="C27" s="121"/>
      <c r="D27" s="147" t="s">
        <v>226</v>
      </c>
      <c r="E27" s="121"/>
      <c r="F27" s="121"/>
      <c r="G27" s="121"/>
      <c r="H27" s="121"/>
      <c r="I27" s="121"/>
      <c r="J27" s="121"/>
      <c r="K27" s="121"/>
      <c r="L27" s="121"/>
      <c r="M27" s="122"/>
      <c r="N27" s="122"/>
      <c r="O27" s="122"/>
      <c r="P27" s="122"/>
      <c r="Q27" s="122"/>
      <c r="R27" s="122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</row>
    <row r="28" spans="1:29">
      <c r="A28" s="121"/>
      <c r="B28" s="121"/>
      <c r="C28" s="121"/>
      <c r="D28" s="121"/>
      <c r="E28" s="121"/>
      <c r="F28" s="121"/>
      <c r="G28" s="121"/>
      <c r="H28" s="121"/>
      <c r="I28" s="121"/>
      <c r="J28" s="121"/>
      <c r="K28" s="121"/>
      <c r="L28" s="121"/>
      <c r="M28" s="122"/>
      <c r="N28" s="122"/>
      <c r="O28" s="122"/>
      <c r="P28" s="122"/>
      <c r="Q28" s="122"/>
      <c r="R28" s="122"/>
      <c r="S28" s="122"/>
      <c r="T28" s="122"/>
      <c r="U28" s="122"/>
      <c r="V28" s="122"/>
      <c r="W28" s="122"/>
      <c r="X28" s="122"/>
      <c r="Y28" s="122"/>
      <c r="Z28" s="122"/>
      <c r="AA28" s="122"/>
      <c r="AB28" s="122"/>
      <c r="AC28" s="122"/>
    </row>
    <row r="29" spans="1:29">
      <c r="A29" s="121"/>
      <c r="B29" s="121"/>
      <c r="C29" s="121"/>
      <c r="D29" s="121"/>
      <c r="E29" s="121"/>
      <c r="F29" s="121"/>
      <c r="G29" s="121"/>
      <c r="H29" s="121"/>
      <c r="I29" s="121"/>
      <c r="J29" s="121"/>
      <c r="K29" s="121"/>
      <c r="L29" s="121"/>
      <c r="M29" s="122"/>
      <c r="N29" s="122"/>
      <c r="O29" s="122"/>
      <c r="P29" s="122"/>
      <c r="Q29" s="122"/>
      <c r="R29" s="122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</row>
    <row r="30" spans="1:29">
      <c r="A30" s="121"/>
      <c r="B30" s="121"/>
      <c r="C30" s="121"/>
      <c r="D30" s="121"/>
      <c r="E30" s="121"/>
      <c r="F30" s="121"/>
      <c r="G30" s="121"/>
      <c r="H30" s="121"/>
      <c r="I30" s="121"/>
      <c r="J30" s="121"/>
      <c r="K30" s="121"/>
      <c r="L30" s="121"/>
      <c r="M30" s="122"/>
      <c r="N30" s="122"/>
      <c r="O30" s="122"/>
      <c r="P30" s="122"/>
      <c r="Q30" s="122"/>
      <c r="R30" s="122"/>
      <c r="S30" s="122"/>
      <c r="T30" s="122"/>
      <c r="U30" s="122"/>
      <c r="V30" s="122"/>
      <c r="W30" s="122"/>
      <c r="X30" s="122"/>
      <c r="Y30" s="122"/>
      <c r="Z30" s="122"/>
      <c r="AA30" s="122"/>
      <c r="AB30" s="122"/>
      <c r="AC30" s="122"/>
    </row>
    <row r="31" spans="1:29">
      <c r="A31" s="121"/>
      <c r="B31" s="121"/>
      <c r="C31" s="121"/>
      <c r="D31" s="121"/>
      <c r="E31" s="121"/>
      <c r="F31" s="121"/>
      <c r="G31" s="121"/>
      <c r="H31" s="121"/>
      <c r="I31" s="121"/>
      <c r="J31" s="121"/>
      <c r="K31" s="121"/>
      <c r="L31" s="121"/>
      <c r="M31" s="122"/>
      <c r="N31" s="122"/>
      <c r="O31" s="122"/>
      <c r="P31" s="122"/>
      <c r="Q31" s="122"/>
      <c r="R31" s="122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</row>
    <row r="32" spans="1:29">
      <c r="A32" s="121"/>
      <c r="B32" s="121"/>
      <c r="C32" s="121"/>
      <c r="D32" s="121"/>
      <c r="E32" s="121"/>
      <c r="F32" s="121"/>
      <c r="G32" s="121"/>
      <c r="H32" s="121"/>
      <c r="I32" s="121"/>
      <c r="J32" s="121"/>
      <c r="K32" s="121"/>
      <c r="L32" s="121"/>
      <c r="M32" s="122"/>
      <c r="N32" s="122"/>
      <c r="O32" s="122"/>
      <c r="P32" s="122"/>
      <c r="Q32" s="122"/>
      <c r="R32" s="122"/>
      <c r="S32" s="122"/>
      <c r="T32" s="122"/>
      <c r="U32" s="122"/>
      <c r="V32" s="122"/>
      <c r="W32" s="122"/>
      <c r="X32" s="122"/>
      <c r="Y32" s="122"/>
      <c r="Z32" s="122"/>
      <c r="AA32" s="122"/>
      <c r="AB32" s="122"/>
      <c r="AC32" s="122"/>
    </row>
    <row r="33" spans="1:29">
      <c r="A33" s="121"/>
      <c r="B33" s="121"/>
      <c r="C33" s="121"/>
      <c r="D33" s="121"/>
      <c r="E33" s="121"/>
      <c r="F33" s="121"/>
      <c r="G33" s="121"/>
      <c r="H33" s="121"/>
      <c r="I33" s="121"/>
      <c r="J33" s="121"/>
      <c r="K33" s="121"/>
      <c r="L33" s="121"/>
      <c r="M33" s="122"/>
      <c r="N33" s="122"/>
      <c r="O33" s="122"/>
      <c r="P33" s="122"/>
      <c r="Q33" s="122"/>
      <c r="R33" s="122"/>
      <c r="S33" s="122"/>
      <c r="T33" s="122"/>
      <c r="U33" s="122"/>
      <c r="V33" s="122"/>
      <c r="W33" s="122"/>
      <c r="X33" s="122"/>
      <c r="Y33" s="122"/>
      <c r="Z33" s="122"/>
      <c r="AA33" s="122"/>
      <c r="AB33" s="122"/>
      <c r="AC33" s="122"/>
    </row>
    <row r="34" spans="1:29">
      <c r="A34" s="121"/>
      <c r="B34" s="121"/>
      <c r="C34" s="121"/>
      <c r="D34" s="121"/>
      <c r="E34" s="121"/>
      <c r="F34" s="121"/>
      <c r="G34" s="121"/>
      <c r="H34" s="121"/>
      <c r="I34" s="121"/>
      <c r="J34" s="121"/>
      <c r="K34" s="121"/>
      <c r="L34" s="121"/>
      <c r="M34" s="122"/>
      <c r="N34" s="122"/>
      <c r="O34" s="122"/>
      <c r="P34" s="122"/>
      <c r="Q34" s="122"/>
      <c r="R34" s="122"/>
      <c r="S34" s="122"/>
      <c r="T34" s="122"/>
      <c r="U34" s="122"/>
      <c r="V34" s="122"/>
      <c r="W34" s="122"/>
      <c r="X34" s="122"/>
      <c r="Y34" s="122"/>
      <c r="Z34" s="122"/>
      <c r="AA34" s="122"/>
      <c r="AB34" s="122"/>
      <c r="AC34" s="122"/>
    </row>
    <row r="35" spans="1:29">
      <c r="A35" s="121"/>
      <c r="B35" s="121"/>
      <c r="C35" s="121"/>
      <c r="D35" s="121"/>
      <c r="E35" s="121"/>
      <c r="F35" s="121"/>
      <c r="G35" s="121"/>
      <c r="H35" s="121"/>
      <c r="I35" s="121"/>
      <c r="J35" s="121"/>
      <c r="K35" s="121"/>
      <c r="L35" s="121"/>
      <c r="M35" s="122"/>
      <c r="N35" s="122"/>
      <c r="O35" s="122"/>
      <c r="P35" s="122"/>
      <c r="Q35" s="122"/>
      <c r="R35" s="122"/>
      <c r="S35" s="122"/>
      <c r="T35" s="122"/>
      <c r="U35" s="122"/>
      <c r="V35" s="122"/>
      <c r="W35" s="122"/>
      <c r="X35" s="122"/>
      <c r="Y35" s="122"/>
      <c r="Z35" s="122"/>
      <c r="AA35" s="122"/>
      <c r="AB35" s="122"/>
      <c r="AC35" s="122"/>
    </row>
    <row r="36" spans="1:29">
      <c r="A36" s="121"/>
      <c r="B36" s="121"/>
      <c r="C36" s="121"/>
      <c r="D36" s="121"/>
      <c r="E36" s="121"/>
      <c r="F36" s="121"/>
      <c r="G36" s="121"/>
      <c r="H36" s="121"/>
      <c r="I36" s="121"/>
      <c r="J36" s="121"/>
      <c r="K36" s="121"/>
      <c r="L36" s="121"/>
      <c r="M36" s="122"/>
      <c r="N36" s="122"/>
      <c r="O36" s="122"/>
      <c r="P36" s="122"/>
      <c r="Q36" s="122"/>
      <c r="R36" s="122"/>
      <c r="S36" s="122"/>
      <c r="T36" s="122"/>
      <c r="U36" s="122"/>
      <c r="V36" s="122"/>
      <c r="W36" s="122"/>
      <c r="X36" s="122"/>
      <c r="Y36" s="122"/>
      <c r="Z36" s="122"/>
      <c r="AA36" s="122"/>
      <c r="AB36" s="122"/>
      <c r="AC36" s="122"/>
    </row>
    <row r="37" spans="1:29">
      <c r="A37" s="121"/>
      <c r="B37" s="121"/>
      <c r="C37" s="121"/>
      <c r="D37" s="121"/>
      <c r="E37" s="121"/>
      <c r="F37" s="121"/>
      <c r="G37" s="121"/>
      <c r="H37" s="121"/>
      <c r="I37" s="121"/>
      <c r="J37" s="121"/>
      <c r="K37" s="121"/>
      <c r="L37" s="121"/>
      <c r="M37" s="122"/>
      <c r="N37" s="122"/>
      <c r="O37" s="122"/>
      <c r="P37" s="122"/>
      <c r="Q37" s="122"/>
      <c r="R37" s="122"/>
      <c r="S37" s="122"/>
      <c r="T37" s="122"/>
      <c r="U37" s="122"/>
      <c r="V37" s="122"/>
      <c r="W37" s="122"/>
      <c r="X37" s="122"/>
      <c r="Y37" s="122"/>
      <c r="Z37" s="122"/>
      <c r="AA37" s="122"/>
      <c r="AB37" s="122"/>
      <c r="AC37" s="122"/>
    </row>
    <row r="38" spans="1:29">
      <c r="A38" s="121"/>
      <c r="B38" s="121"/>
      <c r="C38" s="121"/>
      <c r="D38" s="121"/>
      <c r="E38" s="121"/>
      <c r="F38" s="121"/>
      <c r="G38" s="121"/>
      <c r="H38" s="121"/>
      <c r="I38" s="121"/>
      <c r="J38" s="121"/>
      <c r="K38" s="121"/>
      <c r="L38" s="121"/>
      <c r="M38" s="122"/>
      <c r="N38" s="122"/>
      <c r="O38" s="122"/>
      <c r="P38" s="122"/>
      <c r="Q38" s="122"/>
      <c r="R38" s="122"/>
      <c r="S38" s="122"/>
      <c r="T38" s="122"/>
      <c r="U38" s="122"/>
      <c r="V38" s="122"/>
      <c r="W38" s="122"/>
      <c r="X38" s="122"/>
      <c r="Y38" s="122"/>
      <c r="Z38" s="122"/>
      <c r="AA38" s="122"/>
      <c r="AB38" s="122"/>
      <c r="AC38" s="122"/>
    </row>
    <row r="39" spans="1:29">
      <c r="A39" s="121"/>
      <c r="B39" s="121"/>
      <c r="C39" s="121"/>
      <c r="D39" s="121"/>
      <c r="E39" s="121"/>
      <c r="F39" s="121"/>
      <c r="G39" s="121"/>
      <c r="H39" s="121"/>
      <c r="I39" s="121"/>
      <c r="J39" s="121"/>
      <c r="K39" s="121"/>
      <c r="L39" s="121"/>
      <c r="M39" s="122"/>
      <c r="N39" s="122"/>
      <c r="O39" s="122"/>
      <c r="P39" s="122"/>
      <c r="Q39" s="122"/>
      <c r="R39" s="122"/>
      <c r="S39" s="122"/>
      <c r="T39" s="122"/>
      <c r="U39" s="122"/>
      <c r="V39" s="122"/>
      <c r="W39" s="122"/>
      <c r="X39" s="122"/>
      <c r="Y39" s="122"/>
      <c r="Z39" s="122"/>
      <c r="AA39" s="122"/>
      <c r="AB39" s="122"/>
      <c r="AC39" s="122"/>
    </row>
    <row r="40" spans="1:29">
      <c r="A40" s="121"/>
      <c r="B40" s="121"/>
      <c r="C40" s="121"/>
      <c r="D40" s="121"/>
      <c r="E40" s="121"/>
      <c r="F40" s="121"/>
      <c r="G40" s="121"/>
      <c r="H40" s="121"/>
      <c r="I40" s="121"/>
      <c r="J40" s="121"/>
      <c r="K40" s="121"/>
      <c r="L40" s="121"/>
      <c r="M40" s="122"/>
      <c r="N40" s="122"/>
      <c r="O40" s="122"/>
      <c r="P40" s="122"/>
      <c r="Q40" s="122"/>
      <c r="R40" s="122"/>
      <c r="S40" s="122"/>
      <c r="T40" s="122"/>
      <c r="U40" s="122"/>
      <c r="V40" s="122"/>
      <c r="W40" s="122"/>
      <c r="X40" s="122"/>
      <c r="Y40" s="122"/>
      <c r="Z40" s="122"/>
      <c r="AA40" s="122"/>
      <c r="AB40" s="122"/>
      <c r="AC40" s="122"/>
    </row>
    <row r="41" spans="1:29">
      <c r="A41" s="133"/>
      <c r="B41" s="133"/>
      <c r="C41" s="133"/>
      <c r="D41" s="133"/>
      <c r="E41" s="133"/>
      <c r="F41" s="133"/>
      <c r="G41" s="133"/>
      <c r="H41" s="133"/>
      <c r="I41" s="133"/>
      <c r="J41" s="133"/>
      <c r="K41" s="133"/>
      <c r="L41" s="133"/>
    </row>
    <row r="42" spans="1:29">
      <c r="A42" s="133"/>
      <c r="B42" s="133"/>
      <c r="C42" s="133"/>
      <c r="D42" s="133"/>
      <c r="E42" s="133"/>
      <c r="F42" s="133"/>
      <c r="G42" s="133"/>
      <c r="H42" s="133"/>
      <c r="I42" s="133"/>
      <c r="J42" s="133"/>
      <c r="K42" s="133"/>
      <c r="L42" s="133"/>
    </row>
    <row r="43" spans="1:29">
      <c r="A43" s="133"/>
      <c r="B43" s="133"/>
      <c r="C43" s="133"/>
      <c r="D43" s="133"/>
      <c r="E43" s="133"/>
      <c r="F43" s="133"/>
      <c r="G43" s="133"/>
      <c r="H43" s="133"/>
      <c r="I43" s="133"/>
      <c r="J43" s="133"/>
      <c r="K43" s="133"/>
      <c r="L43" s="133"/>
    </row>
    <row r="44" spans="1:29">
      <c r="A44" s="133"/>
      <c r="B44" s="133"/>
      <c r="C44" s="133"/>
      <c r="D44" s="133"/>
      <c r="E44" s="133"/>
      <c r="F44" s="133"/>
      <c r="G44" s="133"/>
      <c r="H44" s="133"/>
      <c r="I44" s="133"/>
      <c r="J44" s="133"/>
      <c r="K44" s="133"/>
      <c r="L44" s="133"/>
    </row>
    <row r="45" spans="1:29">
      <c r="A45" s="133"/>
      <c r="B45" s="133"/>
      <c r="C45" s="133"/>
      <c r="D45" s="133"/>
      <c r="E45" s="133"/>
      <c r="F45" s="133"/>
      <c r="G45" s="133"/>
      <c r="H45" s="133"/>
      <c r="I45" s="133"/>
      <c r="J45" s="133"/>
      <c r="K45" s="133"/>
      <c r="L45" s="133"/>
    </row>
    <row r="46" spans="1:29">
      <c r="A46" s="133"/>
      <c r="B46" s="133"/>
      <c r="C46" s="133"/>
      <c r="D46" s="133"/>
      <c r="E46" s="133"/>
      <c r="F46" s="133"/>
      <c r="G46" s="133"/>
      <c r="H46" s="133"/>
      <c r="I46" s="133"/>
      <c r="J46" s="133"/>
      <c r="K46" s="133"/>
      <c r="L46" s="133"/>
    </row>
    <row r="47" spans="1:29">
      <c r="A47" s="133"/>
      <c r="B47" s="133"/>
      <c r="C47" s="133"/>
      <c r="D47" s="133"/>
      <c r="E47" s="133"/>
      <c r="F47" s="133"/>
      <c r="G47" s="133"/>
      <c r="H47" s="133"/>
      <c r="I47" s="133"/>
      <c r="J47" s="133"/>
      <c r="K47" s="133"/>
      <c r="L47" s="133"/>
    </row>
    <row r="48" spans="1:29">
      <c r="A48" s="133"/>
      <c r="B48" s="133"/>
      <c r="C48" s="133"/>
      <c r="D48" s="133"/>
      <c r="E48" s="133"/>
      <c r="F48" s="133"/>
      <c r="G48" s="133"/>
      <c r="H48" s="133"/>
      <c r="I48" s="133"/>
      <c r="J48" s="133"/>
      <c r="K48" s="133"/>
      <c r="L48" s="133"/>
    </row>
    <row r="49" spans="1:12">
      <c r="A49" s="133"/>
      <c r="B49" s="133"/>
      <c r="C49" s="133"/>
      <c r="D49" s="133"/>
      <c r="E49" s="133"/>
      <c r="F49" s="133"/>
      <c r="G49" s="133"/>
      <c r="H49" s="133"/>
      <c r="I49" s="133"/>
      <c r="J49" s="133"/>
      <c r="K49" s="133"/>
      <c r="L49" s="133"/>
    </row>
    <row r="50" spans="1:12">
      <c r="A50" s="133"/>
      <c r="B50" s="133"/>
      <c r="C50" s="133"/>
      <c r="D50" s="133"/>
      <c r="E50" s="133"/>
      <c r="F50" s="133"/>
      <c r="G50" s="133"/>
      <c r="H50" s="133"/>
      <c r="I50" s="133"/>
      <c r="J50" s="133"/>
      <c r="K50" s="133"/>
      <c r="L50" s="133"/>
    </row>
    <row r="51" spans="1:12">
      <c r="A51" s="133"/>
      <c r="B51" s="133"/>
      <c r="C51" s="133"/>
      <c r="D51" s="133"/>
      <c r="E51" s="133"/>
      <c r="F51" s="133"/>
      <c r="G51" s="133"/>
      <c r="H51" s="133"/>
      <c r="I51" s="133"/>
      <c r="J51" s="133"/>
      <c r="K51" s="133"/>
      <c r="L51" s="133"/>
    </row>
    <row r="52" spans="1:12">
      <c r="A52" s="133"/>
      <c r="B52" s="133"/>
      <c r="C52" s="133"/>
      <c r="D52" s="133"/>
      <c r="E52" s="133"/>
      <c r="F52" s="133"/>
      <c r="G52" s="133"/>
      <c r="H52" s="133"/>
      <c r="I52" s="133"/>
      <c r="J52" s="133"/>
      <c r="K52" s="133"/>
      <c r="L52" s="133"/>
    </row>
    <row r="53" spans="1:12">
      <c r="A53" s="133"/>
      <c r="B53" s="133"/>
      <c r="C53" s="133"/>
      <c r="D53" s="133"/>
      <c r="E53" s="133"/>
      <c r="F53" s="133"/>
      <c r="G53" s="133"/>
      <c r="H53" s="133"/>
      <c r="I53" s="133"/>
      <c r="J53" s="133"/>
      <c r="K53" s="133"/>
      <c r="L53" s="133"/>
    </row>
    <row r="54" spans="1:12">
      <c r="A54" s="133"/>
      <c r="B54" s="133"/>
      <c r="C54" s="133"/>
      <c r="D54" s="133"/>
      <c r="E54" s="133"/>
      <c r="F54" s="133"/>
      <c r="G54" s="133"/>
      <c r="H54" s="133"/>
      <c r="I54" s="133"/>
      <c r="J54" s="133"/>
      <c r="K54" s="133"/>
      <c r="L54" s="133"/>
    </row>
    <row r="55" spans="1:12">
      <c r="A55" s="133"/>
      <c r="B55" s="133"/>
      <c r="C55" s="133"/>
      <c r="D55" s="133"/>
      <c r="E55" s="133"/>
      <c r="F55" s="133"/>
      <c r="G55" s="133"/>
      <c r="H55" s="133"/>
      <c r="I55" s="133"/>
      <c r="J55" s="133"/>
      <c r="K55" s="133"/>
      <c r="L55" s="133"/>
    </row>
    <row r="56" spans="1:12">
      <c r="A56" s="133"/>
      <c r="B56" s="133"/>
      <c r="C56" s="133"/>
      <c r="D56" s="133"/>
      <c r="E56" s="133"/>
      <c r="F56" s="133"/>
      <c r="G56" s="133"/>
      <c r="H56" s="133"/>
      <c r="I56" s="133"/>
      <c r="J56" s="133"/>
      <c r="K56" s="133"/>
      <c r="L56" s="133"/>
    </row>
    <row r="57" spans="1:12">
      <c r="A57" s="133"/>
      <c r="B57" s="133"/>
      <c r="C57" s="133"/>
      <c r="D57" s="133"/>
      <c r="E57" s="133"/>
      <c r="F57" s="133"/>
      <c r="G57" s="133"/>
      <c r="H57" s="133"/>
      <c r="I57" s="133"/>
      <c r="J57" s="133"/>
      <c r="K57" s="133"/>
      <c r="L57" s="133"/>
    </row>
    <row r="58" spans="1:12">
      <c r="A58" s="133"/>
      <c r="B58" s="133"/>
      <c r="C58" s="133"/>
      <c r="D58" s="133"/>
      <c r="E58" s="133"/>
      <c r="F58" s="133"/>
      <c r="G58" s="133"/>
      <c r="H58" s="133"/>
      <c r="I58" s="133"/>
      <c r="J58" s="133"/>
      <c r="K58" s="133"/>
      <c r="L58" s="133"/>
    </row>
    <row r="59" spans="1:12">
      <c r="A59" s="133"/>
      <c r="B59" s="133"/>
      <c r="C59" s="133"/>
      <c r="D59" s="133"/>
      <c r="E59" s="133"/>
      <c r="F59" s="133"/>
      <c r="G59" s="133"/>
      <c r="H59" s="133"/>
      <c r="I59" s="133"/>
      <c r="J59" s="133"/>
      <c r="K59" s="133"/>
      <c r="L59" s="133"/>
    </row>
    <row r="60" spans="1:12">
      <c r="A60" s="133"/>
      <c r="B60" s="133"/>
      <c r="C60" s="133"/>
      <c r="D60" s="133"/>
      <c r="E60" s="133"/>
      <c r="F60" s="133"/>
      <c r="G60" s="133"/>
      <c r="H60" s="133"/>
      <c r="I60" s="133"/>
      <c r="J60" s="133"/>
      <c r="K60" s="133"/>
      <c r="L60" s="133"/>
    </row>
    <row r="61" spans="1:12">
      <c r="A61" s="133"/>
      <c r="B61" s="133"/>
      <c r="C61" s="133"/>
      <c r="D61" s="133"/>
      <c r="E61" s="133"/>
      <c r="F61" s="133"/>
      <c r="G61" s="133"/>
      <c r="H61" s="133"/>
      <c r="I61" s="133"/>
      <c r="J61" s="133"/>
      <c r="K61" s="133"/>
      <c r="L61" s="133"/>
    </row>
    <row r="62" spans="1:12">
      <c r="A62" s="133"/>
      <c r="B62" s="133"/>
      <c r="C62" s="133"/>
      <c r="D62" s="133"/>
      <c r="E62" s="133"/>
      <c r="F62" s="133"/>
      <c r="G62" s="133"/>
      <c r="H62" s="133"/>
      <c r="I62" s="133"/>
      <c r="J62" s="133"/>
      <c r="K62" s="133"/>
      <c r="L62" s="133"/>
    </row>
    <row r="63" spans="1:12">
      <c r="A63" s="133"/>
      <c r="B63" s="133"/>
      <c r="C63" s="133"/>
      <c r="D63" s="133"/>
      <c r="E63" s="133"/>
      <c r="F63" s="133"/>
      <c r="G63" s="133"/>
      <c r="H63" s="133"/>
      <c r="I63" s="133"/>
      <c r="J63" s="133"/>
      <c r="K63" s="133"/>
      <c r="L63" s="133"/>
    </row>
    <row r="64" spans="1:12">
      <c r="A64" s="133"/>
      <c r="B64" s="133"/>
      <c r="C64" s="133"/>
      <c r="D64" s="133"/>
      <c r="E64" s="133"/>
      <c r="F64" s="133"/>
      <c r="G64" s="133"/>
      <c r="H64" s="133"/>
      <c r="I64" s="133"/>
      <c r="J64" s="133"/>
      <c r="K64" s="133"/>
      <c r="L64" s="133"/>
    </row>
    <row r="65" spans="1:12">
      <c r="A65" s="133"/>
      <c r="B65" s="133"/>
      <c r="C65" s="133"/>
      <c r="D65" s="133"/>
      <c r="E65" s="133"/>
      <c r="F65" s="133"/>
      <c r="G65" s="133"/>
      <c r="H65" s="133"/>
      <c r="I65" s="133"/>
      <c r="J65" s="133"/>
      <c r="K65" s="133"/>
      <c r="L65" s="133"/>
    </row>
    <row r="66" spans="1:12">
      <c r="A66" s="133"/>
      <c r="B66" s="133"/>
      <c r="C66" s="133"/>
      <c r="D66" s="133"/>
      <c r="E66" s="133"/>
      <c r="F66" s="133"/>
      <c r="G66" s="133"/>
      <c r="H66" s="133"/>
      <c r="I66" s="133"/>
      <c r="J66" s="133"/>
      <c r="K66" s="133"/>
      <c r="L66" s="133"/>
    </row>
    <row r="67" spans="1:12">
      <c r="A67" s="133"/>
      <c r="B67" s="133"/>
      <c r="C67" s="133"/>
      <c r="D67" s="133"/>
      <c r="E67" s="133"/>
      <c r="F67" s="133"/>
      <c r="G67" s="133"/>
      <c r="H67" s="133"/>
      <c r="I67" s="133"/>
      <c r="J67" s="133"/>
      <c r="K67" s="133"/>
      <c r="L67" s="133"/>
    </row>
    <row r="68" spans="1:12">
      <c r="A68" s="133"/>
      <c r="B68" s="133"/>
      <c r="C68" s="133"/>
      <c r="D68" s="133"/>
      <c r="E68" s="133"/>
      <c r="F68" s="133"/>
      <c r="G68" s="133"/>
      <c r="H68" s="133"/>
      <c r="I68" s="133"/>
      <c r="J68" s="133"/>
      <c r="K68" s="133"/>
      <c r="L68" s="133"/>
    </row>
    <row r="69" spans="1:12">
      <c r="A69" s="133"/>
      <c r="B69" s="133"/>
      <c r="C69" s="133"/>
      <c r="D69" s="133"/>
      <c r="E69" s="133"/>
      <c r="F69" s="133"/>
      <c r="G69" s="133"/>
      <c r="H69" s="133"/>
      <c r="I69" s="133"/>
      <c r="J69" s="133"/>
      <c r="K69" s="133"/>
      <c r="L69" s="133"/>
    </row>
    <row r="70" spans="1:12">
      <c r="A70" s="133"/>
      <c r="B70" s="133"/>
      <c r="C70" s="133"/>
      <c r="D70" s="133"/>
      <c r="E70" s="133"/>
      <c r="F70" s="133"/>
      <c r="G70" s="133"/>
      <c r="H70" s="133"/>
      <c r="I70" s="133"/>
      <c r="J70" s="133"/>
      <c r="K70" s="133"/>
      <c r="L70" s="133"/>
    </row>
    <row r="71" spans="1:12">
      <c r="A71" s="133"/>
      <c r="B71" s="133"/>
      <c r="C71" s="133"/>
      <c r="D71" s="133"/>
      <c r="E71" s="133"/>
      <c r="F71" s="133"/>
      <c r="G71" s="133"/>
      <c r="H71" s="133"/>
      <c r="I71" s="133"/>
      <c r="J71" s="133"/>
      <c r="K71" s="133"/>
      <c r="L71" s="133"/>
    </row>
    <row r="72" spans="1:12">
      <c r="A72" s="133"/>
      <c r="B72" s="133"/>
      <c r="C72" s="133"/>
      <c r="D72" s="133"/>
      <c r="E72" s="133"/>
      <c r="F72" s="133"/>
      <c r="G72" s="133"/>
      <c r="H72" s="133"/>
      <c r="I72" s="133"/>
      <c r="J72" s="133"/>
      <c r="K72" s="133"/>
      <c r="L72" s="133"/>
    </row>
    <row r="73" spans="1:12">
      <c r="A73" s="133"/>
      <c r="B73" s="133"/>
      <c r="C73" s="133"/>
      <c r="D73" s="133"/>
      <c r="E73" s="133"/>
      <c r="F73" s="133"/>
      <c r="G73" s="133"/>
      <c r="H73" s="133"/>
      <c r="I73" s="133"/>
      <c r="J73" s="133"/>
      <c r="K73" s="133"/>
      <c r="L73" s="133"/>
    </row>
    <row r="74" spans="1:12">
      <c r="A74" s="133"/>
      <c r="B74" s="133"/>
      <c r="C74" s="133"/>
      <c r="D74" s="133"/>
      <c r="E74" s="133"/>
      <c r="F74" s="133"/>
      <c r="G74" s="133"/>
      <c r="H74" s="133"/>
      <c r="I74" s="133"/>
      <c r="J74" s="133"/>
      <c r="K74" s="133"/>
      <c r="L74" s="133"/>
    </row>
    <row r="75" spans="1:12">
      <c r="A75" s="133"/>
      <c r="B75" s="133"/>
      <c r="C75" s="133"/>
      <c r="D75" s="133"/>
      <c r="E75" s="133"/>
      <c r="F75" s="133"/>
      <c r="G75" s="133"/>
      <c r="H75" s="133"/>
      <c r="I75" s="133"/>
      <c r="J75" s="133"/>
      <c r="K75" s="133"/>
      <c r="L75" s="133"/>
    </row>
    <row r="76" spans="1:12">
      <c r="A76" s="133"/>
      <c r="B76" s="133"/>
      <c r="C76" s="133"/>
      <c r="D76" s="133"/>
      <c r="E76" s="133"/>
      <c r="F76" s="133"/>
      <c r="G76" s="133"/>
      <c r="H76" s="133"/>
      <c r="I76" s="133"/>
      <c r="J76" s="133"/>
      <c r="K76" s="133"/>
      <c r="L76" s="133"/>
    </row>
    <row r="77" spans="1:12">
      <c r="A77" s="133"/>
      <c r="B77" s="133"/>
      <c r="C77" s="133"/>
      <c r="D77" s="133"/>
      <c r="E77" s="133"/>
      <c r="F77" s="133"/>
      <c r="G77" s="133"/>
      <c r="H77" s="133"/>
      <c r="I77" s="133"/>
      <c r="J77" s="133"/>
      <c r="K77" s="133"/>
      <c r="L77" s="133"/>
    </row>
    <row r="78" spans="1:12">
      <c r="A78" s="133"/>
      <c r="B78" s="133"/>
      <c r="C78" s="133"/>
      <c r="D78" s="133"/>
      <c r="E78" s="133"/>
      <c r="F78" s="133"/>
      <c r="G78" s="133"/>
      <c r="H78" s="133"/>
      <c r="I78" s="133"/>
      <c r="J78" s="133"/>
      <c r="K78" s="133"/>
      <c r="L78" s="133"/>
    </row>
    <row r="79" spans="1:12">
      <c r="A79" s="133"/>
      <c r="B79" s="133"/>
      <c r="C79" s="133"/>
      <c r="D79" s="133"/>
      <c r="E79" s="133"/>
      <c r="F79" s="133"/>
      <c r="G79" s="133"/>
      <c r="H79" s="133"/>
      <c r="I79" s="133"/>
      <c r="J79" s="133"/>
      <c r="K79" s="133"/>
      <c r="L79" s="133"/>
    </row>
    <row r="80" spans="1:12">
      <c r="A80" s="133"/>
      <c r="B80" s="133"/>
      <c r="C80" s="133"/>
      <c r="D80" s="133"/>
      <c r="E80" s="133"/>
      <c r="F80" s="133"/>
      <c r="G80" s="133"/>
      <c r="H80" s="133"/>
      <c r="I80" s="133"/>
      <c r="J80" s="133"/>
      <c r="K80" s="133"/>
      <c r="L80" s="133"/>
    </row>
    <row r="81" spans="1:12">
      <c r="A81" s="133"/>
      <c r="B81" s="133"/>
      <c r="C81" s="133"/>
      <c r="D81" s="133"/>
      <c r="E81" s="133"/>
      <c r="F81" s="133"/>
      <c r="G81" s="133"/>
      <c r="H81" s="133"/>
      <c r="I81" s="133"/>
      <c r="J81" s="133"/>
      <c r="K81" s="133"/>
      <c r="L81" s="133"/>
    </row>
    <row r="82" spans="1:12">
      <c r="A82" s="133"/>
      <c r="B82" s="133"/>
      <c r="C82" s="133"/>
      <c r="D82" s="133"/>
      <c r="E82" s="133"/>
      <c r="F82" s="133"/>
      <c r="G82" s="133"/>
      <c r="H82" s="133"/>
      <c r="I82" s="133"/>
      <c r="J82" s="133"/>
      <c r="K82" s="133"/>
      <c r="L82" s="133"/>
    </row>
    <row r="83" spans="1:12">
      <c r="A83" s="133"/>
      <c r="B83" s="133"/>
      <c r="C83" s="133"/>
      <c r="D83" s="133"/>
      <c r="E83" s="133"/>
      <c r="F83" s="133"/>
      <c r="G83" s="133"/>
      <c r="H83" s="133"/>
      <c r="I83" s="133"/>
      <c r="J83" s="133"/>
      <c r="K83" s="133"/>
      <c r="L83" s="133"/>
    </row>
    <row r="84" spans="1:12">
      <c r="A84" s="133"/>
      <c r="B84" s="133"/>
      <c r="C84" s="133"/>
      <c r="D84" s="133"/>
      <c r="E84" s="133"/>
      <c r="F84" s="133"/>
      <c r="G84" s="133"/>
      <c r="H84" s="133"/>
      <c r="I84" s="133"/>
      <c r="J84" s="133"/>
      <c r="K84" s="133"/>
      <c r="L84" s="133"/>
    </row>
    <row r="85" spans="1:12">
      <c r="A85" s="133"/>
      <c r="B85" s="133"/>
      <c r="C85" s="133"/>
      <c r="D85" s="133"/>
      <c r="E85" s="133"/>
      <c r="F85" s="133"/>
      <c r="G85" s="133"/>
      <c r="H85" s="133"/>
      <c r="I85" s="133"/>
      <c r="J85" s="133"/>
      <c r="K85" s="133"/>
      <c r="L85" s="133"/>
    </row>
    <row r="86" spans="1:12">
      <c r="A86" s="133"/>
      <c r="B86" s="133"/>
      <c r="C86" s="133"/>
      <c r="D86" s="133"/>
      <c r="E86" s="133"/>
      <c r="F86" s="133"/>
      <c r="G86" s="133"/>
      <c r="H86" s="133"/>
      <c r="I86" s="133"/>
      <c r="J86" s="133"/>
      <c r="K86" s="133"/>
      <c r="L86" s="133"/>
    </row>
    <row r="87" spans="1:12">
      <c r="A87" s="133"/>
      <c r="B87" s="133"/>
      <c r="C87" s="133"/>
      <c r="D87" s="133"/>
      <c r="E87" s="133"/>
      <c r="F87" s="133"/>
      <c r="G87" s="133"/>
      <c r="H87" s="133"/>
      <c r="I87" s="133"/>
      <c r="J87" s="133"/>
      <c r="K87" s="133"/>
      <c r="L87" s="133"/>
    </row>
    <row r="88" spans="1:12">
      <c r="A88" s="133"/>
      <c r="B88" s="133"/>
      <c r="C88" s="133"/>
      <c r="D88" s="133"/>
      <c r="E88" s="133"/>
      <c r="F88" s="133"/>
      <c r="G88" s="133"/>
      <c r="H88" s="133"/>
      <c r="I88" s="133"/>
      <c r="J88" s="133"/>
      <c r="K88" s="133"/>
      <c r="L88" s="133"/>
    </row>
    <row r="89" spans="1:12">
      <c r="A89" s="133"/>
      <c r="B89" s="133"/>
      <c r="C89" s="133"/>
      <c r="D89" s="133"/>
      <c r="E89" s="133"/>
      <c r="F89" s="133"/>
      <c r="G89" s="133"/>
      <c r="H89" s="133"/>
      <c r="I89" s="133"/>
      <c r="J89" s="133"/>
      <c r="K89" s="133"/>
      <c r="L89" s="133"/>
    </row>
    <row r="90" spans="1:12">
      <c r="A90" s="133"/>
      <c r="B90" s="133"/>
      <c r="C90" s="133"/>
      <c r="D90" s="133"/>
      <c r="E90" s="133"/>
      <c r="F90" s="133"/>
      <c r="G90" s="133"/>
      <c r="H90" s="133"/>
      <c r="I90" s="133"/>
      <c r="J90" s="133"/>
      <c r="K90" s="133"/>
      <c r="L90" s="133"/>
    </row>
    <row r="91" spans="1:12">
      <c r="A91" s="133"/>
      <c r="B91" s="133"/>
      <c r="C91" s="133"/>
      <c r="D91" s="133"/>
      <c r="E91" s="133"/>
      <c r="F91" s="133"/>
      <c r="G91" s="133"/>
      <c r="H91" s="133"/>
      <c r="I91" s="133"/>
      <c r="J91" s="133"/>
      <c r="K91" s="133"/>
      <c r="L91" s="133"/>
    </row>
    <row r="92" spans="1:12">
      <c r="A92" s="133"/>
      <c r="B92" s="133"/>
      <c r="C92" s="133"/>
      <c r="D92" s="133"/>
      <c r="E92" s="133"/>
      <c r="F92" s="133"/>
      <c r="G92" s="133"/>
      <c r="H92" s="133"/>
      <c r="I92" s="133"/>
      <c r="J92" s="133"/>
      <c r="K92" s="133"/>
      <c r="L92" s="133"/>
    </row>
    <row r="93" spans="1:12">
      <c r="A93" s="133"/>
      <c r="B93" s="133"/>
      <c r="C93" s="133"/>
      <c r="D93" s="133"/>
      <c r="E93" s="133"/>
      <c r="F93" s="133"/>
      <c r="G93" s="133"/>
      <c r="H93" s="133"/>
      <c r="I93" s="133"/>
      <c r="J93" s="133"/>
      <c r="K93" s="133"/>
      <c r="L93" s="133"/>
    </row>
    <row r="94" spans="1:12">
      <c r="A94" s="133"/>
      <c r="B94" s="133"/>
      <c r="C94" s="133"/>
      <c r="D94" s="133"/>
      <c r="E94" s="133"/>
      <c r="F94" s="133"/>
      <c r="G94" s="133"/>
      <c r="H94" s="133"/>
      <c r="I94" s="133"/>
      <c r="J94" s="133"/>
      <c r="K94" s="133"/>
      <c r="L94" s="133"/>
    </row>
    <row r="95" spans="1:12">
      <c r="A95" s="133"/>
      <c r="B95" s="133"/>
      <c r="C95" s="133"/>
      <c r="D95" s="133"/>
      <c r="E95" s="133"/>
      <c r="F95" s="133"/>
      <c r="G95" s="133"/>
      <c r="H95" s="133"/>
      <c r="I95" s="133"/>
      <c r="J95" s="133"/>
      <c r="K95" s="133"/>
      <c r="L95" s="133"/>
    </row>
    <row r="96" spans="1:12">
      <c r="A96" s="133"/>
      <c r="B96" s="133"/>
      <c r="C96" s="133"/>
      <c r="D96" s="133"/>
      <c r="E96" s="133"/>
      <c r="F96" s="133"/>
      <c r="G96" s="133"/>
      <c r="H96" s="133"/>
      <c r="I96" s="133"/>
      <c r="J96" s="133"/>
      <c r="K96" s="133"/>
      <c r="L96" s="133"/>
    </row>
    <row r="97" spans="1:12">
      <c r="A97" s="133"/>
      <c r="B97" s="133"/>
      <c r="C97" s="133"/>
      <c r="D97" s="133"/>
      <c r="E97" s="133"/>
      <c r="F97" s="133"/>
      <c r="G97" s="133"/>
      <c r="H97" s="133"/>
      <c r="I97" s="133"/>
      <c r="J97" s="133"/>
      <c r="K97" s="133"/>
      <c r="L97" s="133"/>
    </row>
    <row r="98" spans="1:12">
      <c r="A98" s="133"/>
      <c r="B98" s="133"/>
      <c r="C98" s="133"/>
      <c r="D98" s="133"/>
      <c r="E98" s="133"/>
      <c r="F98" s="133"/>
      <c r="G98" s="133"/>
      <c r="H98" s="133"/>
      <c r="I98" s="133"/>
      <c r="J98" s="133"/>
      <c r="K98" s="133"/>
      <c r="L98" s="133"/>
    </row>
    <row r="99" spans="1:12">
      <c r="A99" s="133"/>
      <c r="B99" s="133"/>
      <c r="C99" s="133"/>
      <c r="D99" s="133"/>
      <c r="E99" s="133"/>
      <c r="F99" s="133"/>
      <c r="G99" s="133"/>
      <c r="H99" s="133"/>
      <c r="I99" s="133"/>
      <c r="J99" s="133"/>
      <c r="K99" s="133"/>
      <c r="L99" s="133"/>
    </row>
    <row r="100" spans="1:12">
      <c r="A100" s="133"/>
      <c r="B100" s="133"/>
      <c r="C100" s="133"/>
      <c r="D100" s="133"/>
      <c r="E100" s="133"/>
      <c r="F100" s="133"/>
      <c r="G100" s="133"/>
      <c r="H100" s="133"/>
      <c r="I100" s="133"/>
      <c r="J100" s="133"/>
      <c r="K100" s="133"/>
      <c r="L100" s="133"/>
    </row>
    <row r="101" spans="1:12">
      <c r="A101" s="133"/>
      <c r="B101" s="133"/>
      <c r="C101" s="133"/>
      <c r="D101" s="133"/>
      <c r="E101" s="133"/>
      <c r="F101" s="133"/>
      <c r="G101" s="133"/>
      <c r="H101" s="133"/>
      <c r="I101" s="133"/>
      <c r="J101" s="133"/>
      <c r="K101" s="133"/>
      <c r="L101" s="133"/>
    </row>
    <row r="102" spans="1:12">
      <c r="A102" s="133"/>
      <c r="B102" s="133"/>
      <c r="C102" s="133"/>
      <c r="D102" s="133"/>
      <c r="E102" s="133"/>
      <c r="F102" s="133"/>
      <c r="G102" s="133"/>
      <c r="H102" s="133"/>
      <c r="I102" s="133"/>
      <c r="J102" s="133"/>
      <c r="K102" s="133"/>
      <c r="L102" s="133"/>
    </row>
    <row r="103" spans="1:12">
      <c r="A103" s="133"/>
      <c r="B103" s="133"/>
      <c r="C103" s="133"/>
      <c r="D103" s="133"/>
      <c r="E103" s="133"/>
      <c r="F103" s="133"/>
      <c r="G103" s="133"/>
      <c r="H103" s="133"/>
      <c r="I103" s="133"/>
      <c r="J103" s="133"/>
      <c r="K103" s="133"/>
      <c r="L103" s="133"/>
    </row>
    <row r="104" spans="1:12">
      <c r="A104" s="133"/>
      <c r="B104" s="133"/>
      <c r="C104" s="133"/>
      <c r="D104" s="133"/>
      <c r="E104" s="133"/>
      <c r="F104" s="133"/>
      <c r="G104" s="133"/>
      <c r="H104" s="133"/>
      <c r="I104" s="133"/>
      <c r="J104" s="133"/>
      <c r="K104" s="133"/>
      <c r="L104" s="133"/>
    </row>
    <row r="105" spans="1:12">
      <c r="A105" s="133"/>
      <c r="B105" s="133"/>
      <c r="C105" s="133"/>
      <c r="D105" s="133"/>
      <c r="E105" s="133"/>
      <c r="F105" s="133"/>
      <c r="G105" s="133"/>
      <c r="H105" s="133"/>
      <c r="I105" s="133"/>
      <c r="J105" s="133"/>
      <c r="K105" s="133"/>
      <c r="L105" s="133"/>
    </row>
    <row r="106" spans="1:12">
      <c r="A106" s="133"/>
      <c r="B106" s="133"/>
      <c r="C106" s="133"/>
      <c r="D106" s="133"/>
      <c r="E106" s="133"/>
      <c r="F106" s="133"/>
      <c r="G106" s="133"/>
      <c r="H106" s="133"/>
      <c r="I106" s="133"/>
      <c r="J106" s="133"/>
      <c r="K106" s="133"/>
      <c r="L106" s="133"/>
    </row>
  </sheetData>
  <phoneticPr fontId="0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7"/>
  <dimension ref="A1:F26"/>
  <sheetViews>
    <sheetView workbookViewId="0"/>
  </sheetViews>
  <sheetFormatPr defaultRowHeight="12.75"/>
  <cols>
    <col min="2" max="2" width="3.140625" customWidth="1"/>
    <col min="3" max="3" width="22.140625" customWidth="1"/>
    <col min="4" max="4" width="7.7109375" customWidth="1"/>
    <col min="5" max="5" width="17.5703125" bestFit="1" customWidth="1"/>
    <col min="6" max="6" width="3.140625" customWidth="1"/>
  </cols>
  <sheetData>
    <row r="1" spans="1:6" ht="18">
      <c r="A1" s="1"/>
      <c r="B1" s="1"/>
      <c r="C1" s="136" t="s">
        <v>222</v>
      </c>
      <c r="D1" s="2"/>
      <c r="E1" s="1"/>
      <c r="F1" s="1"/>
    </row>
    <row r="2" spans="1:6" ht="15">
      <c r="A2" s="1"/>
      <c r="B2" s="1"/>
      <c r="C2" s="1" t="s">
        <v>84</v>
      </c>
      <c r="D2" s="1"/>
      <c r="E2" s="1"/>
      <c r="F2" s="1"/>
    </row>
    <row r="3" spans="1:6" ht="15">
      <c r="A3" s="1"/>
      <c r="B3" s="1"/>
      <c r="C3" s="1"/>
      <c r="D3" s="1"/>
      <c r="E3" s="1"/>
      <c r="F3" s="1"/>
    </row>
    <row r="4" spans="1:6" ht="15">
      <c r="A4" s="1"/>
      <c r="B4" s="1"/>
      <c r="C4" s="3" t="s">
        <v>1</v>
      </c>
      <c r="D4" s="3"/>
      <c r="E4" s="1"/>
      <c r="F4" s="1"/>
    </row>
    <row r="5" spans="1:6" ht="15.75" thickBot="1">
      <c r="A5" s="1"/>
      <c r="B5" s="1"/>
      <c r="C5" s="1"/>
      <c r="D5" s="1"/>
      <c r="E5" s="1"/>
      <c r="F5" s="1"/>
    </row>
    <row r="6" spans="1:6" ht="15">
      <c r="A6" s="1"/>
      <c r="B6" s="4"/>
      <c r="C6" s="5"/>
      <c r="D6" s="5"/>
      <c r="E6" s="5"/>
      <c r="F6" s="6"/>
    </row>
    <row r="7" spans="1:6" ht="15">
      <c r="A7" s="1"/>
      <c r="B7" s="33"/>
      <c r="C7" s="8" t="s">
        <v>85</v>
      </c>
      <c r="D7" s="8"/>
      <c r="E7" s="34">
        <v>30000</v>
      </c>
      <c r="F7" s="10"/>
    </row>
    <row r="8" spans="1:6" ht="15">
      <c r="A8" s="1"/>
      <c r="B8" s="33"/>
      <c r="C8" s="8" t="s">
        <v>86</v>
      </c>
      <c r="D8" s="8"/>
      <c r="E8" s="60">
        <v>141.30000000000001</v>
      </c>
      <c r="F8" s="10"/>
    </row>
    <row r="9" spans="1:6" ht="15">
      <c r="A9" s="1"/>
      <c r="B9" s="33"/>
      <c r="C9" s="8" t="s">
        <v>87</v>
      </c>
      <c r="D9" s="8"/>
      <c r="E9" s="72">
        <v>90</v>
      </c>
      <c r="F9" s="10"/>
    </row>
    <row r="10" spans="1:6" ht="15">
      <c r="A10" s="1"/>
      <c r="B10" s="33"/>
      <c r="C10" s="8" t="s">
        <v>88</v>
      </c>
      <c r="D10" s="8"/>
      <c r="E10" s="45">
        <v>125</v>
      </c>
      <c r="F10" s="10"/>
    </row>
    <row r="11" spans="1:6" ht="15">
      <c r="A11" s="1"/>
      <c r="B11" s="33"/>
      <c r="C11" s="8" t="s">
        <v>89</v>
      </c>
      <c r="D11" s="8"/>
      <c r="E11" s="73">
        <v>0.1</v>
      </c>
      <c r="F11" s="10"/>
    </row>
    <row r="12" spans="1:6" ht="15">
      <c r="A12" s="1"/>
      <c r="B12" s="33"/>
      <c r="C12" s="8" t="s">
        <v>90</v>
      </c>
      <c r="D12" s="8"/>
      <c r="E12" s="59">
        <v>1.2347999999999999</v>
      </c>
      <c r="F12" s="10"/>
    </row>
    <row r="13" spans="1:6" ht="15.75" thickBot="1">
      <c r="A13" s="1"/>
      <c r="B13" s="15"/>
      <c r="C13" s="16"/>
      <c r="D13" s="16"/>
      <c r="E13" s="16"/>
      <c r="F13" s="17"/>
    </row>
    <row r="14" spans="1:6" ht="15">
      <c r="A14" s="1"/>
      <c r="B14" s="1"/>
      <c r="C14" s="1"/>
      <c r="D14" s="1"/>
      <c r="E14" s="1"/>
      <c r="F14" s="1"/>
    </row>
    <row r="15" spans="1:6" ht="15">
      <c r="A15" s="1"/>
      <c r="B15" s="1"/>
      <c r="C15" s="3" t="s">
        <v>8</v>
      </c>
      <c r="D15" s="3"/>
      <c r="E15" s="1"/>
      <c r="F15" s="1"/>
    </row>
    <row r="16" spans="1:6" ht="15.75" thickBot="1">
      <c r="A16" s="1"/>
      <c r="B16" s="1"/>
      <c r="C16" s="1"/>
      <c r="D16" s="1"/>
      <c r="E16" s="1"/>
      <c r="F16" s="1"/>
    </row>
    <row r="17" spans="1:6" ht="15">
      <c r="A17" s="1"/>
      <c r="B17" s="18"/>
      <c r="C17" s="19"/>
      <c r="D17" s="19"/>
      <c r="E17" s="19"/>
      <c r="F17" s="20"/>
    </row>
    <row r="18" spans="1:6" ht="15.75">
      <c r="A18" s="1"/>
      <c r="B18" s="37"/>
      <c r="C18" s="22" t="s">
        <v>91</v>
      </c>
      <c r="D18" s="22"/>
      <c r="E18" s="74">
        <f>$E$7*(($E$10-($E$8/$E$12)))</f>
        <v>317055.3935860052</v>
      </c>
      <c r="F18" s="23"/>
    </row>
    <row r="19" spans="1:6" ht="15.75">
      <c r="A19" s="1"/>
      <c r="B19" s="37"/>
      <c r="C19" s="22" t="s">
        <v>92</v>
      </c>
      <c r="D19" s="187">
        <f>E11</f>
        <v>0.1</v>
      </c>
      <c r="E19" s="74">
        <f>$E$7*($E$10-($E$8/((1+$E$11)*$E$12)))</f>
        <v>629141.2668963687</v>
      </c>
      <c r="F19" s="23"/>
    </row>
    <row r="20" spans="1:6" ht="15.75">
      <c r="A20" s="1"/>
      <c r="B20" s="37"/>
      <c r="C20" s="22" t="s">
        <v>93</v>
      </c>
      <c r="D20" s="187">
        <f>E11</f>
        <v>0.1</v>
      </c>
      <c r="E20" s="74">
        <f>$E$7*($E$10-($E$8/((1-$E$11)*$E$12)))</f>
        <v>-64382.89601554985</v>
      </c>
      <c r="F20" s="23"/>
    </row>
    <row r="21" spans="1:6" ht="15.75">
      <c r="A21" s="1"/>
      <c r="B21" s="37"/>
      <c r="C21" s="22" t="s">
        <v>94</v>
      </c>
      <c r="D21" s="22"/>
      <c r="E21" s="75">
        <f>E8/E10</f>
        <v>1.1304000000000001</v>
      </c>
      <c r="F21" s="23"/>
    </row>
    <row r="22" spans="1:6" ht="15.75">
      <c r="A22" s="1"/>
      <c r="B22" s="37"/>
      <c r="C22" s="22" t="s">
        <v>95</v>
      </c>
      <c r="D22" s="22"/>
      <c r="E22" s="62">
        <f>(E21-E12)/E12</f>
        <v>-8.4548104956268091E-2</v>
      </c>
      <c r="F22" s="23"/>
    </row>
    <row r="23" spans="1:6" ht="15.75" thickBot="1">
      <c r="A23" s="1"/>
      <c r="B23" s="30"/>
      <c r="C23" s="31"/>
      <c r="D23" s="31"/>
      <c r="E23" s="31"/>
      <c r="F23" s="32"/>
    </row>
    <row r="24" spans="1:6" ht="15">
      <c r="A24" s="1"/>
      <c r="B24" s="1"/>
      <c r="C24" s="1"/>
      <c r="D24" s="1"/>
      <c r="E24" s="1"/>
      <c r="F24" s="1"/>
    </row>
    <row r="25" spans="1:6" ht="15">
      <c r="A25" s="1"/>
      <c r="B25" s="1"/>
      <c r="C25" s="1"/>
      <c r="D25" s="1"/>
      <c r="E25" s="1"/>
      <c r="F25" s="1"/>
    </row>
    <row r="26" spans="1:6" ht="15">
      <c r="A26" s="1"/>
      <c r="B26" s="1"/>
      <c r="C26" s="1"/>
      <c r="D26" s="1"/>
      <c r="E26" s="1"/>
      <c r="F26" s="1"/>
    </row>
  </sheetData>
  <phoneticPr fontId="8" type="noConversion"/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6"/>
  <dimension ref="A1:E50"/>
  <sheetViews>
    <sheetView workbookViewId="0"/>
  </sheetViews>
  <sheetFormatPr defaultRowHeight="12.75"/>
  <cols>
    <col min="2" max="2" width="3.28515625" customWidth="1"/>
    <col min="3" max="3" width="28.140625" customWidth="1"/>
    <col min="4" max="4" width="21.28515625" customWidth="1"/>
    <col min="5" max="5" width="3.7109375" customWidth="1"/>
  </cols>
  <sheetData>
    <row r="1" spans="1:5" ht="18">
      <c r="A1" s="1"/>
      <c r="B1" s="1"/>
      <c r="C1" s="136" t="s">
        <v>222</v>
      </c>
      <c r="D1" s="1"/>
      <c r="E1" s="1"/>
    </row>
    <row r="2" spans="1:5" ht="15">
      <c r="A2" s="1"/>
      <c r="B2" s="1"/>
      <c r="C2" s="1" t="s">
        <v>96</v>
      </c>
      <c r="D2" s="1"/>
      <c r="E2" s="1"/>
    </row>
    <row r="3" spans="1:5" ht="15">
      <c r="A3" s="1"/>
      <c r="B3" s="1"/>
      <c r="C3" s="1"/>
      <c r="D3" s="1"/>
      <c r="E3" s="1"/>
    </row>
    <row r="4" spans="1:5" ht="15">
      <c r="A4" s="1"/>
      <c r="B4" s="1"/>
      <c r="C4" s="3" t="s">
        <v>1</v>
      </c>
      <c r="D4" s="1"/>
      <c r="E4" s="1"/>
    </row>
    <row r="5" spans="1:5" ht="15.75" thickBot="1">
      <c r="A5" s="1"/>
      <c r="B5" s="1"/>
      <c r="C5" s="1"/>
      <c r="D5" s="1"/>
      <c r="E5" s="1"/>
    </row>
    <row r="6" spans="1:5" ht="15">
      <c r="A6" s="1"/>
      <c r="B6" s="4"/>
      <c r="C6" s="5"/>
      <c r="D6" s="5"/>
      <c r="E6" s="6"/>
    </row>
    <row r="7" spans="1:5" ht="15">
      <c r="A7" s="1"/>
      <c r="B7" s="33"/>
      <c r="C7" s="8" t="s">
        <v>196</v>
      </c>
      <c r="D7" s="64">
        <v>5.61</v>
      </c>
      <c r="E7" s="10"/>
    </row>
    <row r="8" spans="1:5" ht="15">
      <c r="A8" s="1"/>
      <c r="B8" s="33"/>
      <c r="C8" s="8" t="s">
        <v>197</v>
      </c>
      <c r="D8" s="60">
        <v>5.72</v>
      </c>
      <c r="E8" s="10"/>
    </row>
    <row r="9" spans="1:5" ht="15">
      <c r="A9" s="1"/>
      <c r="B9" s="33"/>
      <c r="C9" s="8" t="s">
        <v>97</v>
      </c>
      <c r="D9" s="73">
        <v>0.03</v>
      </c>
      <c r="E9" s="10"/>
    </row>
    <row r="10" spans="1:5" ht="15">
      <c r="A10" s="1"/>
      <c r="B10" s="33"/>
      <c r="C10" s="8" t="s">
        <v>198</v>
      </c>
      <c r="D10" s="73">
        <v>0.05</v>
      </c>
      <c r="E10" s="10"/>
    </row>
    <row r="11" spans="1:5" ht="15">
      <c r="A11" s="1"/>
      <c r="B11" s="33"/>
      <c r="C11" s="8" t="s">
        <v>98</v>
      </c>
      <c r="D11" s="34">
        <v>180</v>
      </c>
      <c r="E11" s="10"/>
    </row>
    <row r="12" spans="1:5" ht="15.75" thickBot="1">
      <c r="A12" s="1"/>
      <c r="B12" s="15"/>
      <c r="C12" s="16"/>
      <c r="D12" s="16"/>
      <c r="E12" s="17"/>
    </row>
    <row r="13" spans="1:5" ht="15">
      <c r="A13" s="1"/>
      <c r="B13" s="1"/>
      <c r="C13" s="1"/>
      <c r="D13" s="1"/>
      <c r="E13" s="1"/>
    </row>
    <row r="14" spans="1:5" ht="15">
      <c r="A14" s="1"/>
      <c r="B14" s="1"/>
      <c r="C14" s="3" t="s">
        <v>8</v>
      </c>
      <c r="D14" s="1"/>
      <c r="E14" s="1"/>
    </row>
    <row r="15" spans="1:5" ht="15.75" thickBot="1">
      <c r="A15" s="1"/>
      <c r="B15" s="1"/>
      <c r="C15" s="1"/>
      <c r="D15" s="1"/>
      <c r="E15" s="1"/>
    </row>
    <row r="16" spans="1:5" ht="15">
      <c r="A16" s="1"/>
      <c r="B16" s="18"/>
      <c r="C16" s="19"/>
      <c r="D16" s="19"/>
      <c r="E16" s="20"/>
    </row>
    <row r="17" spans="1:5" ht="19.5">
      <c r="A17" s="1"/>
      <c r="B17" s="21" t="s">
        <v>2</v>
      </c>
      <c r="C17" s="22" t="s">
        <v>99</v>
      </c>
      <c r="D17" s="76">
        <f>D7*POWER(1+(D10-D9),1/2)</f>
        <v>5.6658222704211259</v>
      </c>
      <c r="E17" s="23"/>
    </row>
    <row r="18" spans="1:5" ht="19.5">
      <c r="A18" s="1"/>
      <c r="B18" s="37"/>
      <c r="C18" s="22" t="s">
        <v>100</v>
      </c>
      <c r="D18" s="77">
        <f>D8</f>
        <v>5.72</v>
      </c>
      <c r="E18" s="23"/>
    </row>
    <row r="19" spans="1:5" ht="15">
      <c r="A19" s="1"/>
      <c r="B19" s="37"/>
      <c r="C19" s="22" t="s">
        <v>101</v>
      </c>
      <c r="D19" s="77"/>
      <c r="E19" s="23"/>
    </row>
    <row r="20" spans="1:5" ht="15">
      <c r="A20" s="1"/>
      <c r="B20" s="37"/>
      <c r="C20" s="22" t="s">
        <v>102</v>
      </c>
      <c r="D20" s="78" t="str">
        <f>IF(D18&gt;D17,"too high.","too low.")</f>
        <v>too high.</v>
      </c>
      <c r="E20" s="23"/>
    </row>
    <row r="21" spans="1:5" ht="15">
      <c r="A21" s="1"/>
      <c r="B21" s="37"/>
      <c r="C21" s="41" t="str">
        <f>IF(D18&gt;D17,"Borrow 1 krone","Borrow $1")</f>
        <v>Borrow 1 krone</v>
      </c>
      <c r="D21" s="79" t="s">
        <v>103</v>
      </c>
      <c r="E21" s="23"/>
    </row>
    <row r="22" spans="1:5" ht="15">
      <c r="A22" s="1"/>
      <c r="B22" s="37"/>
      <c r="C22" s="80">
        <f>IF(D18&gt;D17,D10,D9)</f>
        <v>0.05</v>
      </c>
      <c r="D22" s="81" t="s">
        <v>104</v>
      </c>
      <c r="E22" s="23"/>
    </row>
    <row r="23" spans="1:5" ht="15">
      <c r="A23" s="1"/>
      <c r="B23" s="37"/>
      <c r="C23" s="82" t="s">
        <v>105</v>
      </c>
      <c r="D23" s="83">
        <f>D8</f>
        <v>5.72</v>
      </c>
      <c r="E23" s="23"/>
    </row>
    <row r="24" spans="1:5" ht="15">
      <c r="A24" s="1"/>
      <c r="B24" s="37"/>
      <c r="C24" s="82" t="s">
        <v>106</v>
      </c>
      <c r="D24" s="81"/>
      <c r="E24" s="23"/>
    </row>
    <row r="25" spans="1:5" ht="15">
      <c r="A25" s="1"/>
      <c r="B25" s="37"/>
      <c r="C25" s="52" t="str">
        <f>IF(D18&gt;D17,"dollars","krone")</f>
        <v>dollars</v>
      </c>
      <c r="D25" s="81" t="s">
        <v>107</v>
      </c>
      <c r="E25" s="23"/>
    </row>
    <row r="26" spans="1:5" ht="15">
      <c r="A26" s="1"/>
      <c r="B26" s="37"/>
      <c r="C26" s="84">
        <f>IF(D18&gt;D17,1/D7,D7)</f>
        <v>0.17825311942959002</v>
      </c>
      <c r="D26" s="81" t="s">
        <v>108</v>
      </c>
      <c r="E26" s="23"/>
    </row>
    <row r="27" spans="1:5" ht="15">
      <c r="A27" s="1"/>
      <c r="B27" s="37"/>
      <c r="C27" s="84" t="str">
        <f>IF(C25="dollars","dollars","krone")</f>
        <v>dollars</v>
      </c>
      <c r="D27" s="81" t="s">
        <v>109</v>
      </c>
      <c r="E27" s="23"/>
    </row>
    <row r="28" spans="1:5" ht="15">
      <c r="A28" s="1"/>
      <c r="B28" s="37"/>
      <c r="C28" s="80">
        <f>IF(C27="dollars",D9,D10)</f>
        <v>0.03</v>
      </c>
      <c r="D28" s="81" t="s">
        <v>110</v>
      </c>
      <c r="E28" s="23"/>
    </row>
    <row r="29" spans="1:5" ht="15">
      <c r="A29" s="1"/>
      <c r="B29" s="37"/>
      <c r="C29" s="84">
        <f>IF(C27="dollars",C26*(1+C28)^(D11/365),C26*(1+D10)^(D11/365))</f>
        <v>0.18087053571047276</v>
      </c>
      <c r="D29" s="81" t="s">
        <v>111</v>
      </c>
      <c r="E29" s="23"/>
    </row>
    <row r="30" spans="1:5" ht="15">
      <c r="A30" s="1"/>
      <c r="B30" s="37"/>
      <c r="C30" s="52" t="str">
        <f>IF(C27="dollars","dollars back to krone as","krone back to dollars as")</f>
        <v>dollars back to krone as</v>
      </c>
      <c r="D30" s="85">
        <f>IF(C27="dollars",C29*D18,C29/D18)</f>
        <v>1.0345794642639041</v>
      </c>
      <c r="E30" s="23"/>
    </row>
    <row r="31" spans="1:5" ht="15">
      <c r="A31" s="1"/>
      <c r="B31" s="37"/>
      <c r="C31" s="22" t="s">
        <v>112</v>
      </c>
      <c r="D31" s="85">
        <f>(1+C22)^(180/365)</f>
        <v>1.0243527020186338</v>
      </c>
      <c r="E31" s="23"/>
    </row>
    <row r="32" spans="1:5" ht="15">
      <c r="A32" s="1"/>
      <c r="B32" s="37"/>
      <c r="C32" s="22" t="s">
        <v>113</v>
      </c>
      <c r="D32" s="85">
        <f>D30-D31</f>
        <v>1.0226762245270304E-2</v>
      </c>
      <c r="E32" s="23"/>
    </row>
    <row r="33" spans="1:5" ht="15.75">
      <c r="A33" s="1"/>
      <c r="B33" s="37"/>
      <c r="C33" s="41" t="str">
        <f>IF(C27="dollars","krone.","dollars.")</f>
        <v>krone.</v>
      </c>
      <c r="D33" s="86"/>
      <c r="E33" s="23"/>
    </row>
    <row r="34" spans="1:5" ht="15.75">
      <c r="A34" s="1"/>
      <c r="B34" s="37"/>
      <c r="C34" s="22"/>
      <c r="D34" s="86"/>
      <c r="E34" s="23"/>
    </row>
    <row r="35" spans="1:5" ht="19.5">
      <c r="A35" s="1"/>
      <c r="B35" s="21" t="s">
        <v>4</v>
      </c>
      <c r="C35" s="22" t="s">
        <v>199</v>
      </c>
      <c r="D35" s="87">
        <f>D7*POWER(1+(D10-D9),1/2)</f>
        <v>5.6658222704211259</v>
      </c>
      <c r="E35" s="23"/>
    </row>
    <row r="36" spans="1:5" ht="15.75" thickBot="1">
      <c r="A36" s="1"/>
      <c r="B36" s="30"/>
      <c r="C36" s="31"/>
      <c r="D36" s="31"/>
      <c r="E36" s="32"/>
    </row>
    <row r="37" spans="1:5" ht="15.75" customHeight="1">
      <c r="A37" s="1"/>
      <c r="B37" s="1"/>
      <c r="C37" s="1"/>
      <c r="D37" s="1"/>
      <c r="E37" s="1"/>
    </row>
    <row r="38" spans="1:5" ht="15.75" customHeight="1"/>
    <row r="39" spans="1:5" ht="15.75" customHeight="1"/>
    <row r="40" spans="1:5" ht="15.75" customHeight="1"/>
    <row r="41" spans="1:5" ht="15.75" customHeight="1"/>
    <row r="42" spans="1:5" ht="15.75" customHeight="1"/>
    <row r="43" spans="1:5" ht="15.75" customHeight="1"/>
    <row r="44" spans="1:5" ht="15.75" customHeight="1"/>
    <row r="45" spans="1:5" ht="15.75" customHeight="1"/>
    <row r="46" spans="1:5" ht="15.75" customHeight="1"/>
    <row r="47" spans="1:5" ht="15.75" customHeight="1"/>
    <row r="48" spans="1:5" ht="15.75" customHeight="1"/>
    <row r="49" ht="15.75" customHeight="1"/>
    <row r="50" ht="15.75" customHeight="1"/>
  </sheetData>
  <phoneticPr fontId="8" type="noConversion"/>
  <pageMargins left="0.75" right="0.75" top="1" bottom="1" header="0.5" footer="0.5"/>
  <pageSetup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5"/>
  <dimension ref="A1:F22"/>
  <sheetViews>
    <sheetView workbookViewId="0"/>
  </sheetViews>
  <sheetFormatPr defaultRowHeight="12.75"/>
  <cols>
    <col min="2" max="2" width="3.28515625" customWidth="1"/>
    <col min="3" max="3" width="28" bestFit="1" customWidth="1"/>
    <col min="4" max="4" width="14.140625" customWidth="1"/>
    <col min="5" max="5" width="3.7109375" customWidth="1"/>
    <col min="6" max="6" width="18" customWidth="1"/>
  </cols>
  <sheetData>
    <row r="1" spans="1:6" ht="18">
      <c r="A1" s="1"/>
      <c r="B1" s="1"/>
      <c r="C1" s="136" t="s">
        <v>222</v>
      </c>
      <c r="D1" s="1"/>
      <c r="E1" s="1"/>
      <c r="F1" s="1"/>
    </row>
    <row r="2" spans="1:6" ht="15">
      <c r="A2" s="1"/>
      <c r="B2" s="1"/>
      <c r="C2" s="1" t="s">
        <v>114</v>
      </c>
      <c r="D2" s="1"/>
      <c r="E2" s="1"/>
      <c r="F2" s="1"/>
    </row>
    <row r="3" spans="1:6" ht="15">
      <c r="A3" s="1"/>
      <c r="B3" s="1"/>
      <c r="C3" s="1"/>
      <c r="D3" s="1"/>
      <c r="E3" s="1"/>
      <c r="F3" s="1"/>
    </row>
    <row r="4" spans="1:6" ht="15">
      <c r="A4" s="1"/>
      <c r="B4" s="1"/>
      <c r="C4" s="3" t="s">
        <v>1</v>
      </c>
      <c r="D4" s="1"/>
      <c r="E4" s="1"/>
      <c r="F4" s="1"/>
    </row>
    <row r="5" spans="1:6" ht="15.75" thickBot="1">
      <c r="A5" s="1"/>
      <c r="B5" s="1"/>
      <c r="C5" s="1"/>
      <c r="D5" s="1"/>
      <c r="E5" s="1"/>
      <c r="F5" s="1"/>
    </row>
    <row r="6" spans="1:6" ht="15">
      <c r="A6" s="1"/>
      <c r="B6" s="4"/>
      <c r="C6" s="5"/>
      <c r="D6" s="5"/>
      <c r="E6" s="6"/>
      <c r="F6" s="1"/>
    </row>
    <row r="7" spans="1:6" ht="15">
      <c r="A7" s="1"/>
      <c r="B7" s="33"/>
      <c r="C7" s="8" t="s">
        <v>115</v>
      </c>
      <c r="D7" s="61">
        <v>1.7999999999999999E-2</v>
      </c>
      <c r="E7" s="10"/>
      <c r="F7" s="1"/>
    </row>
    <row r="8" spans="1:6" ht="15">
      <c r="A8" s="1"/>
      <c r="B8" s="33"/>
      <c r="C8" s="8" t="s">
        <v>116</v>
      </c>
      <c r="D8" s="61">
        <v>2.3E-2</v>
      </c>
      <c r="E8" s="10"/>
      <c r="F8" s="1"/>
    </row>
    <row r="9" spans="1:6" ht="15">
      <c r="A9" s="1"/>
      <c r="B9" s="33"/>
      <c r="C9" s="8" t="s">
        <v>200</v>
      </c>
      <c r="D9" s="61">
        <v>0.04</v>
      </c>
      <c r="E9" s="10"/>
      <c r="F9" s="1"/>
    </row>
    <row r="10" spans="1:6" ht="15">
      <c r="A10" s="1"/>
      <c r="B10" s="33"/>
      <c r="C10" s="8" t="s">
        <v>117</v>
      </c>
      <c r="D10" s="61">
        <v>0.06</v>
      </c>
      <c r="E10" s="10"/>
      <c r="F10" s="1"/>
    </row>
    <row r="11" spans="1:6" ht="15">
      <c r="A11" s="1"/>
      <c r="B11" s="33"/>
      <c r="C11" s="8" t="s">
        <v>201</v>
      </c>
      <c r="D11" s="61">
        <v>0.09</v>
      </c>
      <c r="E11" s="10"/>
      <c r="F11" s="1"/>
    </row>
    <row r="12" spans="1:6" ht="15.75" thickBot="1">
      <c r="A12" s="1"/>
      <c r="B12" s="15"/>
      <c r="C12" s="16"/>
      <c r="D12" s="16"/>
      <c r="E12" s="17"/>
      <c r="F12" s="1"/>
    </row>
    <row r="13" spans="1:6" ht="15">
      <c r="A13" s="1"/>
      <c r="B13" s="1"/>
      <c r="C13" s="1"/>
      <c r="D13" s="1"/>
      <c r="E13" s="1"/>
      <c r="F13" s="1"/>
    </row>
    <row r="14" spans="1:6" ht="15">
      <c r="A14" s="1"/>
      <c r="B14" s="1"/>
      <c r="C14" s="3" t="s">
        <v>8</v>
      </c>
      <c r="D14" s="1"/>
      <c r="E14" s="1"/>
      <c r="F14" s="1"/>
    </row>
    <row r="15" spans="1:6" ht="15.75" thickBot="1">
      <c r="A15" s="1"/>
      <c r="B15" s="1"/>
      <c r="C15" s="1"/>
      <c r="D15" s="1"/>
      <c r="E15" s="1"/>
      <c r="F15" s="1"/>
    </row>
    <row r="16" spans="1:6" ht="15">
      <c r="A16" s="1"/>
      <c r="B16" s="18"/>
      <c r="C16" s="19"/>
      <c r="D16" s="19"/>
      <c r="E16" s="20"/>
      <c r="F16" s="1"/>
    </row>
    <row r="17" spans="1:6" ht="15.75">
      <c r="A17" s="1"/>
      <c r="B17" s="37"/>
      <c r="C17" s="22" t="s">
        <v>202</v>
      </c>
      <c r="D17" s="62">
        <f>D9+D8-D7</f>
        <v>4.4999999999999998E-2</v>
      </c>
      <c r="E17" s="23"/>
      <c r="F17" s="1"/>
    </row>
    <row r="18" spans="1:6" ht="15.75">
      <c r="A18" s="1"/>
      <c r="B18" s="37"/>
      <c r="C18" s="22" t="s">
        <v>118</v>
      </c>
      <c r="D18" s="62">
        <f>D10+D8-D7</f>
        <v>6.4999999999999988E-2</v>
      </c>
      <c r="E18" s="23"/>
      <c r="F18" s="1"/>
    </row>
    <row r="19" spans="1:6" ht="15.75">
      <c r="A19" s="1"/>
      <c r="B19" s="37"/>
      <c r="C19" s="22" t="s">
        <v>203</v>
      </c>
      <c r="D19" s="62">
        <f>D11+D8-D7</f>
        <v>9.4999999999999987E-2</v>
      </c>
      <c r="E19" s="23"/>
      <c r="F19" s="1"/>
    </row>
    <row r="20" spans="1:6" ht="15.75" thickBot="1">
      <c r="A20" s="1"/>
      <c r="B20" s="30"/>
      <c r="C20" s="31"/>
      <c r="D20" s="31"/>
      <c r="E20" s="32"/>
      <c r="F20" s="1"/>
    </row>
    <row r="21" spans="1:6" ht="15">
      <c r="A21" s="1"/>
      <c r="B21" s="1"/>
      <c r="C21" s="1"/>
      <c r="D21" s="1"/>
      <c r="E21" s="1"/>
      <c r="F21" s="1"/>
    </row>
    <row r="22" spans="1:6" ht="15">
      <c r="A22" s="1"/>
      <c r="B22" s="1"/>
      <c r="C22" s="1"/>
      <c r="D22" s="1"/>
      <c r="E22" s="1"/>
      <c r="F22" s="1"/>
    </row>
  </sheetData>
  <phoneticPr fontId="8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4"/>
  <dimension ref="A1:E27"/>
  <sheetViews>
    <sheetView workbookViewId="0"/>
  </sheetViews>
  <sheetFormatPr defaultRowHeight="12.75"/>
  <cols>
    <col min="2" max="2" width="3.28515625" customWidth="1"/>
    <col min="3" max="3" width="23.7109375" customWidth="1"/>
    <col min="4" max="4" width="21.28515625" customWidth="1"/>
    <col min="5" max="5" width="3.7109375" customWidth="1"/>
  </cols>
  <sheetData>
    <row r="1" spans="1:5" ht="18">
      <c r="A1" s="1"/>
      <c r="B1" s="1"/>
      <c r="C1" s="136" t="s">
        <v>222</v>
      </c>
      <c r="D1" s="1"/>
      <c r="E1" s="1"/>
    </row>
    <row r="2" spans="1:5" ht="15">
      <c r="A2" s="1"/>
      <c r="B2" s="1"/>
      <c r="C2" s="1" t="s">
        <v>119</v>
      </c>
      <c r="D2" s="1"/>
      <c r="E2" s="1"/>
    </row>
    <row r="3" spans="1:5" ht="15">
      <c r="A3" s="1"/>
      <c r="B3" s="1"/>
      <c r="C3" s="1"/>
      <c r="D3" s="1"/>
      <c r="E3" s="1"/>
    </row>
    <row r="4" spans="1:5" ht="15">
      <c r="A4" s="1"/>
      <c r="B4" s="1"/>
      <c r="C4" s="3" t="s">
        <v>1</v>
      </c>
      <c r="D4" s="1"/>
      <c r="E4" s="1"/>
    </row>
    <row r="5" spans="1:5" ht="15.75" thickBot="1">
      <c r="A5" s="1"/>
      <c r="B5" s="1"/>
      <c r="C5" s="1"/>
      <c r="D5" s="1"/>
      <c r="E5" s="1"/>
    </row>
    <row r="6" spans="1:5" ht="15">
      <c r="A6" s="1"/>
      <c r="B6" s="4"/>
      <c r="C6" s="5"/>
      <c r="D6" s="5"/>
      <c r="E6" s="6"/>
    </row>
    <row r="7" spans="1:5" ht="15">
      <c r="A7" s="1"/>
      <c r="B7" s="33"/>
      <c r="C7" s="8" t="s">
        <v>120</v>
      </c>
      <c r="D7" s="137">
        <v>80.13</v>
      </c>
      <c r="E7" s="10"/>
    </row>
    <row r="8" spans="1:5" ht="15">
      <c r="A8" s="1"/>
      <c r="B8" s="33"/>
      <c r="C8" s="8" t="s">
        <v>121</v>
      </c>
      <c r="D8" s="138">
        <v>78.959999999999994</v>
      </c>
      <c r="E8" s="10"/>
    </row>
    <row r="9" spans="1:5" ht="15">
      <c r="A9" s="1"/>
      <c r="B9" s="33"/>
      <c r="C9" s="8" t="s">
        <v>122</v>
      </c>
      <c r="D9" s="88">
        <v>3</v>
      </c>
      <c r="E9" s="10"/>
    </row>
    <row r="10" spans="1:5" ht="15.75" thickBot="1">
      <c r="A10" s="1"/>
      <c r="B10" s="15"/>
      <c r="C10" s="16"/>
      <c r="D10" s="16"/>
      <c r="E10" s="17"/>
    </row>
    <row r="11" spans="1:5" ht="15">
      <c r="A11" s="1"/>
      <c r="B11" s="1"/>
      <c r="C11" s="1"/>
      <c r="D11" s="1"/>
      <c r="E11" s="1"/>
    </row>
    <row r="12" spans="1:5" ht="15">
      <c r="A12" s="1"/>
      <c r="B12" s="1"/>
      <c r="C12" s="3" t="s">
        <v>8</v>
      </c>
      <c r="D12" s="1"/>
      <c r="E12" s="1"/>
    </row>
    <row r="13" spans="1:5" ht="15.75" thickBot="1">
      <c r="A13" s="1"/>
      <c r="B13" s="1"/>
      <c r="C13" s="1"/>
      <c r="D13" s="1"/>
      <c r="E13" s="1"/>
    </row>
    <row r="14" spans="1:5" ht="15">
      <c r="A14" s="1"/>
      <c r="B14" s="18"/>
      <c r="C14" s="19"/>
      <c r="D14" s="19"/>
      <c r="E14" s="20"/>
    </row>
    <row r="15" spans="1:5" ht="15">
      <c r="A15" s="1"/>
      <c r="B15" s="21" t="s">
        <v>2</v>
      </c>
      <c r="C15" s="22" t="s">
        <v>123</v>
      </c>
      <c r="D15" s="22"/>
      <c r="E15" s="23"/>
    </row>
    <row r="16" spans="1:5" ht="15">
      <c r="A16" s="1"/>
      <c r="B16" s="21"/>
      <c r="C16" s="52" t="str">
        <f>IF(D7&gt;D8,"stronger","weaker")</f>
        <v>stronger</v>
      </c>
      <c r="D16" s="22" t="s">
        <v>124</v>
      </c>
      <c r="E16" s="23"/>
    </row>
    <row r="17" spans="1:5" ht="15">
      <c r="A17" s="1"/>
      <c r="B17" s="21"/>
      <c r="C17" s="52" t="str">
        <f>IF(D7&gt;D8,"fewer","more")</f>
        <v>fewer</v>
      </c>
      <c r="D17" s="22" t="s">
        <v>125</v>
      </c>
      <c r="E17" s="23"/>
    </row>
    <row r="18" spans="1:5" ht="15">
      <c r="A18" s="1"/>
      <c r="B18" s="21"/>
      <c r="C18" s="22" t="s">
        <v>126</v>
      </c>
      <c r="D18" s="22"/>
      <c r="E18" s="23"/>
    </row>
    <row r="19" spans="1:5" ht="15.75">
      <c r="A19" s="1"/>
      <c r="B19" s="21"/>
      <c r="C19" s="22"/>
      <c r="D19" s="89"/>
      <c r="E19" s="23"/>
    </row>
    <row r="20" spans="1:5" ht="19.5">
      <c r="A20" s="1"/>
      <c r="B20" s="21" t="s">
        <v>4</v>
      </c>
      <c r="C20" s="22" t="s">
        <v>127</v>
      </c>
      <c r="D20" s="90">
        <f>(D8-D7)/D7</f>
        <v>-1.4601272931486357E-2</v>
      </c>
      <c r="E20" s="23"/>
    </row>
    <row r="21" spans="1:5" ht="15">
      <c r="A21" s="1"/>
      <c r="B21" s="21"/>
      <c r="C21" s="22" t="s">
        <v>128</v>
      </c>
      <c r="D21" s="91"/>
      <c r="E21" s="23"/>
    </row>
    <row r="22" spans="1:5" ht="15.75">
      <c r="A22" s="1"/>
      <c r="B22" s="21"/>
      <c r="C22" s="22" t="s">
        <v>129</v>
      </c>
      <c r="D22" s="62">
        <f>((1+D20)^(12/D9))-1</f>
        <v>-5.713831504593414E-2</v>
      </c>
      <c r="E22" s="23"/>
    </row>
    <row r="23" spans="1:5" ht="15.75">
      <c r="A23" s="1"/>
      <c r="B23" s="21"/>
      <c r="C23" s="22" t="s">
        <v>130</v>
      </c>
      <c r="D23" s="69"/>
      <c r="E23" s="23"/>
    </row>
    <row r="24" spans="1:5" ht="15.75" thickBot="1">
      <c r="A24" s="1"/>
      <c r="B24" s="30"/>
      <c r="C24" s="31"/>
      <c r="D24" s="31"/>
      <c r="E24" s="32"/>
    </row>
    <row r="25" spans="1:5" ht="15">
      <c r="A25" s="1"/>
      <c r="B25" s="1"/>
      <c r="C25" s="1"/>
      <c r="D25" s="1"/>
      <c r="E25" s="1"/>
    </row>
    <row r="26" spans="1:5" ht="15">
      <c r="A26" s="1"/>
      <c r="B26" s="1"/>
      <c r="C26" s="1"/>
      <c r="D26" s="1"/>
      <c r="E26" s="1"/>
    </row>
    <row r="27" spans="1:5" ht="15">
      <c r="A27" s="1"/>
      <c r="B27" s="1"/>
      <c r="C27" s="1"/>
      <c r="D27" s="1"/>
      <c r="E27" s="1"/>
    </row>
  </sheetData>
  <phoneticPr fontId="8" type="noConversion"/>
  <pageMargins left="0.75" right="0.75" top="1" bottom="1" header="0.5" footer="0.5"/>
  <pageSetup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3"/>
  <dimension ref="A1:E26"/>
  <sheetViews>
    <sheetView workbookViewId="0"/>
  </sheetViews>
  <sheetFormatPr defaultRowHeight="12.75"/>
  <cols>
    <col min="2" max="2" width="3.28515625" customWidth="1"/>
    <col min="3" max="3" width="36.5703125" customWidth="1"/>
    <col min="4" max="4" width="15.42578125" customWidth="1"/>
    <col min="5" max="5" width="3.7109375" customWidth="1"/>
  </cols>
  <sheetData>
    <row r="1" spans="1:5" ht="18">
      <c r="A1" s="1"/>
      <c r="B1" s="1"/>
      <c r="C1" s="136" t="s">
        <v>222</v>
      </c>
      <c r="D1" s="1"/>
      <c r="E1" s="1"/>
    </row>
    <row r="2" spans="1:5" ht="15">
      <c r="A2" s="1"/>
      <c r="B2" s="1"/>
      <c r="C2" s="1" t="s">
        <v>131</v>
      </c>
      <c r="D2" s="1"/>
      <c r="E2" s="1"/>
    </row>
    <row r="3" spans="1:5" ht="15">
      <c r="A3" s="1"/>
      <c r="B3" s="1"/>
      <c r="C3" s="1"/>
      <c r="D3" s="1"/>
      <c r="E3" s="1"/>
    </row>
    <row r="4" spans="1:5" ht="15">
      <c r="A4" s="1"/>
      <c r="B4" s="1"/>
      <c r="C4" s="3" t="s">
        <v>1</v>
      </c>
      <c r="D4" s="1"/>
      <c r="E4" s="1"/>
    </row>
    <row r="5" spans="1:5" ht="15.75" thickBot="1">
      <c r="A5" s="1"/>
      <c r="B5" s="1"/>
      <c r="C5" s="1"/>
      <c r="D5" s="1"/>
      <c r="E5" s="1"/>
    </row>
    <row r="6" spans="1:5" ht="15">
      <c r="A6" s="1"/>
      <c r="B6" s="4"/>
      <c r="C6" s="5"/>
      <c r="D6" s="5"/>
      <c r="E6" s="6"/>
    </row>
    <row r="7" spans="1:5" ht="15">
      <c r="A7" s="1"/>
      <c r="B7" s="33"/>
      <c r="C7" s="8" t="s">
        <v>132</v>
      </c>
      <c r="D7" s="34">
        <v>206</v>
      </c>
      <c r="E7" s="10"/>
    </row>
    <row r="8" spans="1:5" ht="15">
      <c r="A8" s="1"/>
      <c r="B8" s="33"/>
      <c r="C8" s="8" t="s">
        <v>133</v>
      </c>
      <c r="D8" s="61">
        <v>2.8000000000000001E-2</v>
      </c>
      <c r="E8" s="10"/>
    </row>
    <row r="9" spans="1:5" ht="15">
      <c r="A9" s="1"/>
      <c r="B9" s="33"/>
      <c r="C9" s="8" t="s">
        <v>183</v>
      </c>
      <c r="D9" s="61">
        <v>3.6999999999999998E-2</v>
      </c>
      <c r="E9" s="10"/>
    </row>
    <row r="10" spans="1:5" ht="15">
      <c r="A10" s="1"/>
      <c r="B10" s="33"/>
      <c r="C10" s="8" t="s">
        <v>134</v>
      </c>
      <c r="D10" s="92">
        <v>1</v>
      </c>
      <c r="E10" s="10"/>
    </row>
    <row r="11" spans="1:5" ht="15">
      <c r="A11" s="1"/>
      <c r="B11" s="33"/>
      <c r="C11" s="8"/>
      <c r="D11" s="92">
        <v>2</v>
      </c>
      <c r="E11" s="10"/>
    </row>
    <row r="12" spans="1:5" ht="15">
      <c r="A12" s="1"/>
      <c r="B12" s="33"/>
      <c r="C12" s="8"/>
      <c r="D12" s="92">
        <v>5</v>
      </c>
      <c r="E12" s="10"/>
    </row>
    <row r="13" spans="1:5" ht="15.75" thickBot="1">
      <c r="A13" s="1"/>
      <c r="B13" s="15"/>
      <c r="C13" s="16"/>
      <c r="D13" s="16"/>
      <c r="E13" s="17"/>
    </row>
    <row r="14" spans="1:5" ht="15">
      <c r="A14" s="1"/>
      <c r="B14" s="1"/>
      <c r="C14" s="1"/>
      <c r="D14" s="1"/>
      <c r="E14" s="1"/>
    </row>
    <row r="15" spans="1:5" ht="15">
      <c r="A15" s="1"/>
      <c r="B15" s="1"/>
      <c r="C15" s="3" t="s">
        <v>8</v>
      </c>
      <c r="D15" s="1"/>
      <c r="E15" s="1"/>
    </row>
    <row r="16" spans="1:5" ht="15.75" thickBot="1">
      <c r="A16" s="1"/>
      <c r="B16" s="1"/>
      <c r="C16" s="1"/>
      <c r="D16" s="1"/>
      <c r="E16" s="1"/>
    </row>
    <row r="17" spans="1:5" ht="15">
      <c r="A17" s="1"/>
      <c r="B17" s="18"/>
      <c r="C17" s="19"/>
      <c r="D17" s="19"/>
      <c r="E17" s="20"/>
    </row>
    <row r="18" spans="1:5" ht="15.75">
      <c r="A18" s="1"/>
      <c r="B18" s="37"/>
      <c r="C18" s="22" t="s">
        <v>135</v>
      </c>
      <c r="D18" s="93">
        <f>$D$7*POWER(1+($D$9-$D$8),D10)</f>
        <v>207.85399999999998</v>
      </c>
      <c r="E18" s="23"/>
    </row>
    <row r="19" spans="1:5" ht="15.75">
      <c r="A19" s="1"/>
      <c r="B19" s="37"/>
      <c r="C19" s="22" t="s">
        <v>136</v>
      </c>
      <c r="D19" s="93">
        <f>$D$7*POWER(1+($D$9-$D$8),D11)</f>
        <v>209.72468599999996</v>
      </c>
      <c r="E19" s="23"/>
    </row>
    <row r="20" spans="1:5" ht="15.75">
      <c r="A20" s="1"/>
      <c r="B20" s="37"/>
      <c r="C20" s="22" t="s">
        <v>137</v>
      </c>
      <c r="D20" s="93">
        <f>$D$7*POWER(1+($D$9-$D$8),D12)</f>
        <v>215.43836850999401</v>
      </c>
      <c r="E20" s="23"/>
    </row>
    <row r="21" spans="1:5" ht="15.75">
      <c r="A21" s="1"/>
      <c r="B21" s="37"/>
      <c r="C21" s="22" t="s">
        <v>138</v>
      </c>
      <c r="D21" s="94"/>
      <c r="E21" s="23"/>
    </row>
    <row r="22" spans="1:5" ht="15.75" thickBot="1">
      <c r="A22" s="1"/>
      <c r="B22" s="30"/>
      <c r="C22" s="31"/>
      <c r="D22" s="31"/>
      <c r="E22" s="32"/>
    </row>
    <row r="23" spans="1:5" ht="15">
      <c r="A23" s="1"/>
      <c r="B23" s="1"/>
      <c r="C23" s="1"/>
      <c r="D23" s="1"/>
      <c r="E23" s="1"/>
    </row>
    <row r="24" spans="1:5" ht="15">
      <c r="A24" s="1"/>
      <c r="B24" s="1"/>
      <c r="C24" s="1"/>
      <c r="D24" s="1"/>
      <c r="E24" s="1"/>
    </row>
    <row r="25" spans="1:5" ht="15">
      <c r="A25" s="1"/>
      <c r="B25" s="1"/>
      <c r="C25" s="1"/>
      <c r="D25" s="1"/>
      <c r="E25" s="1"/>
    </row>
    <row r="26" spans="1:5" ht="15">
      <c r="A26" s="1"/>
      <c r="B26" s="1"/>
      <c r="C26" s="1"/>
      <c r="D26" s="1"/>
      <c r="E26" s="1"/>
    </row>
  </sheetData>
  <phoneticPr fontId="8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E37"/>
  <sheetViews>
    <sheetView workbookViewId="0"/>
  </sheetViews>
  <sheetFormatPr defaultRowHeight="12.75"/>
  <cols>
    <col min="2" max="2" width="3.28515625" customWidth="1"/>
    <col min="3" max="3" width="36.5703125" customWidth="1"/>
    <col min="4" max="4" width="21.85546875" customWidth="1"/>
    <col min="5" max="5" width="3.7109375" customWidth="1"/>
  </cols>
  <sheetData>
    <row r="1" spans="1:5" ht="18">
      <c r="A1" s="1"/>
      <c r="B1" s="1"/>
      <c r="C1" s="136" t="s">
        <v>222</v>
      </c>
      <c r="D1" s="1"/>
      <c r="E1" s="1"/>
    </row>
    <row r="2" spans="1:5" ht="15">
      <c r="A2" s="1"/>
      <c r="B2" s="1"/>
      <c r="C2" s="1" t="s">
        <v>139</v>
      </c>
      <c r="D2" s="1"/>
      <c r="E2" s="1"/>
    </row>
    <row r="3" spans="1:5" ht="15">
      <c r="A3" s="1"/>
      <c r="B3" s="1"/>
      <c r="C3" s="1"/>
      <c r="D3" s="1"/>
      <c r="E3" s="1"/>
    </row>
    <row r="4" spans="1:5" ht="15">
      <c r="A4" s="1"/>
      <c r="B4" s="1"/>
      <c r="C4" s="3" t="s">
        <v>1</v>
      </c>
      <c r="D4" s="1"/>
      <c r="E4" s="1"/>
    </row>
    <row r="5" spans="1:5" ht="15.75" thickBot="1">
      <c r="A5" s="1"/>
      <c r="B5" s="1"/>
      <c r="C5" s="1"/>
      <c r="D5" s="1"/>
      <c r="E5" s="1"/>
    </row>
    <row r="6" spans="1:5" ht="15">
      <c r="A6" s="1"/>
      <c r="B6" s="4"/>
      <c r="C6" s="5"/>
      <c r="D6" s="5"/>
      <c r="E6" s="6"/>
    </row>
    <row r="7" spans="1:5" ht="15">
      <c r="A7" s="1"/>
      <c r="B7" s="33"/>
      <c r="C7" s="8" t="s">
        <v>205</v>
      </c>
      <c r="D7" s="145">
        <v>19000000</v>
      </c>
      <c r="E7" s="10"/>
    </row>
    <row r="8" spans="1:5" ht="15">
      <c r="A8" s="1"/>
      <c r="B8" s="33"/>
      <c r="C8" s="8" t="s">
        <v>206</v>
      </c>
      <c r="D8" s="146">
        <v>3600000</v>
      </c>
      <c r="E8" s="10"/>
    </row>
    <row r="9" spans="1:5" ht="15">
      <c r="A9" s="1"/>
      <c r="B9" s="33"/>
      <c r="C9" s="8" t="s">
        <v>207</v>
      </c>
      <c r="D9" s="146">
        <v>4100000</v>
      </c>
      <c r="E9" s="10"/>
    </row>
    <row r="10" spans="1:5" ht="15">
      <c r="A10" s="1"/>
      <c r="B10" s="33"/>
      <c r="C10" s="8" t="s">
        <v>208</v>
      </c>
      <c r="D10" s="146">
        <v>5100000</v>
      </c>
      <c r="E10" s="10"/>
    </row>
    <row r="11" spans="1:5" ht="15">
      <c r="A11" s="1"/>
      <c r="B11" s="33"/>
      <c r="C11" s="8" t="s">
        <v>209</v>
      </c>
      <c r="D11" s="60">
        <v>1.0900000000000001</v>
      </c>
      <c r="E11" s="10"/>
    </row>
    <row r="12" spans="1:5" ht="15">
      <c r="A12" s="1"/>
      <c r="B12" s="33"/>
      <c r="C12" s="8" t="s">
        <v>66</v>
      </c>
      <c r="D12" s="140">
        <v>3.1E-2</v>
      </c>
      <c r="E12" s="10"/>
    </row>
    <row r="13" spans="1:5" ht="15">
      <c r="A13" s="1"/>
      <c r="B13" s="33"/>
      <c r="C13" s="8" t="s">
        <v>210</v>
      </c>
      <c r="D13" s="140">
        <v>2.9000000000000001E-2</v>
      </c>
      <c r="E13" s="10"/>
    </row>
    <row r="14" spans="1:5" ht="15">
      <c r="A14" s="1"/>
      <c r="B14" s="33"/>
      <c r="C14" s="8" t="s">
        <v>211</v>
      </c>
      <c r="D14" s="140">
        <v>0.105</v>
      </c>
      <c r="E14" s="10"/>
    </row>
    <row r="15" spans="1:5" ht="15">
      <c r="A15" s="1"/>
      <c r="B15" s="33"/>
      <c r="C15" s="8" t="s">
        <v>212</v>
      </c>
      <c r="D15" s="141">
        <v>12700000</v>
      </c>
      <c r="E15" s="10"/>
    </row>
    <row r="16" spans="1:5" ht="15.75" thickBot="1">
      <c r="A16" s="1"/>
      <c r="B16" s="15"/>
      <c r="C16" s="16"/>
      <c r="D16" s="16"/>
      <c r="E16" s="17"/>
    </row>
    <row r="17" spans="1:5" ht="15">
      <c r="A17" s="1"/>
      <c r="B17" s="1"/>
      <c r="C17" s="1"/>
      <c r="D17" s="1"/>
      <c r="E17" s="1"/>
    </row>
    <row r="18" spans="1:5" ht="15">
      <c r="A18" s="1"/>
      <c r="B18" s="1"/>
      <c r="C18" s="3" t="s">
        <v>8</v>
      </c>
      <c r="D18" s="1"/>
      <c r="E18" s="1"/>
    </row>
    <row r="19" spans="1:5" ht="15.75" thickBot="1">
      <c r="A19" s="1"/>
      <c r="B19" s="1"/>
      <c r="C19" s="1"/>
      <c r="D19" s="1"/>
      <c r="E19" s="1"/>
    </row>
    <row r="20" spans="1:5" ht="15">
      <c r="A20" s="1"/>
      <c r="B20" s="18"/>
      <c r="C20" s="19"/>
      <c r="D20" s="19"/>
      <c r="E20" s="20"/>
    </row>
    <row r="21" spans="1:5" ht="19.5">
      <c r="A21" s="1"/>
      <c r="B21" s="37"/>
      <c r="C21" s="22" t="s">
        <v>217</v>
      </c>
      <c r="D21" s="142">
        <f>((1+D12)/(1+D13))*D11</f>
        <v>1.0921185617103986</v>
      </c>
      <c r="E21" s="23"/>
    </row>
    <row r="22" spans="1:5" ht="19.5">
      <c r="A22" s="1"/>
      <c r="B22" s="37"/>
      <c r="C22" s="22" t="s">
        <v>218</v>
      </c>
      <c r="D22" s="142">
        <f>(((1+D12)/(1+D13))^2)*D11</f>
        <v>1.0942412411306328</v>
      </c>
      <c r="E22" s="23"/>
    </row>
    <row r="23" spans="1:5" ht="19.5">
      <c r="A23" s="1"/>
      <c r="B23" s="37"/>
      <c r="C23" s="22" t="s">
        <v>219</v>
      </c>
      <c r="D23" s="142">
        <f>(((1+D12)/(1+D13))^3)*D11</f>
        <v>1.0963680462640257</v>
      </c>
      <c r="E23" s="23"/>
    </row>
    <row r="24" spans="1:5" ht="15">
      <c r="A24" s="1"/>
      <c r="B24" s="37"/>
      <c r="C24" s="22"/>
      <c r="D24" s="142"/>
      <c r="E24" s="23"/>
    </row>
    <row r="25" spans="1:5" ht="15">
      <c r="A25" s="1"/>
      <c r="B25" s="37"/>
      <c r="C25" s="22" t="s">
        <v>220</v>
      </c>
      <c r="D25" s="144">
        <f>D7*D11</f>
        <v>20710000</v>
      </c>
      <c r="E25" s="23"/>
    </row>
    <row r="26" spans="1:5" ht="15">
      <c r="A26" s="1"/>
      <c r="B26" s="37"/>
      <c r="C26" s="22" t="s">
        <v>213</v>
      </c>
      <c r="D26" s="144">
        <f>D8*D21</f>
        <v>3931626.8221574347</v>
      </c>
      <c r="E26" s="23"/>
    </row>
    <row r="27" spans="1:5" ht="15">
      <c r="A27" s="1"/>
      <c r="B27" s="37"/>
      <c r="C27" s="22" t="s">
        <v>214</v>
      </c>
      <c r="D27" s="144">
        <f>D22*D9</f>
        <v>4486389.0886355946</v>
      </c>
      <c r="E27" s="23"/>
    </row>
    <row r="28" spans="1:5" ht="15">
      <c r="A28" s="1"/>
      <c r="B28" s="37"/>
      <c r="C28" s="22" t="s">
        <v>216</v>
      </c>
      <c r="D28" s="144">
        <f>D10*D23</f>
        <v>5591477.0359465312</v>
      </c>
      <c r="E28" s="23"/>
    </row>
    <row r="29" spans="1:5" ht="15">
      <c r="A29" s="1"/>
      <c r="B29" s="37"/>
      <c r="C29" s="22" t="s">
        <v>215</v>
      </c>
      <c r="D29" s="144">
        <f>D15*D23</f>
        <v>13923874.187553126</v>
      </c>
      <c r="E29" s="23"/>
    </row>
    <row r="30" spans="1:5" ht="15">
      <c r="A30" s="1"/>
      <c r="B30" s="37"/>
      <c r="C30" s="22" t="s">
        <v>221</v>
      </c>
      <c r="D30" s="144">
        <f>D28+D29</f>
        <v>19515351.223499656</v>
      </c>
      <c r="E30" s="23"/>
    </row>
    <row r="31" spans="1:5" ht="15">
      <c r="A31" s="1"/>
      <c r="B31" s="37"/>
      <c r="C31" s="22"/>
      <c r="D31" s="143"/>
      <c r="E31" s="23"/>
    </row>
    <row r="32" spans="1:5" ht="15.75">
      <c r="A32" s="1"/>
      <c r="B32" s="37"/>
      <c r="C32" s="22" t="s">
        <v>169</v>
      </c>
      <c r="D32" s="105">
        <f>-D25+NPV(D14,D26,D27,D30)</f>
        <v>986351.88518122584</v>
      </c>
      <c r="E32" s="23"/>
    </row>
    <row r="33" spans="1:5" ht="15.75" thickBot="1">
      <c r="A33" s="1"/>
      <c r="B33" s="30"/>
      <c r="C33" s="31"/>
      <c r="D33" s="31"/>
      <c r="E33" s="32"/>
    </row>
    <row r="34" spans="1:5" ht="15">
      <c r="A34" s="1"/>
      <c r="B34" s="1"/>
      <c r="C34" s="1"/>
      <c r="D34" s="1"/>
      <c r="E34" s="1"/>
    </row>
    <row r="35" spans="1:5" ht="15">
      <c r="A35" s="1"/>
      <c r="B35" s="1"/>
      <c r="C35" s="1"/>
      <c r="D35" s="1"/>
      <c r="E35" s="1"/>
    </row>
    <row r="36" spans="1:5" ht="15">
      <c r="A36" s="1"/>
      <c r="B36" s="1"/>
      <c r="C36" s="1"/>
      <c r="D36" s="1"/>
      <c r="E36" s="1"/>
    </row>
    <row r="37" spans="1:5" ht="15">
      <c r="A37" s="1"/>
      <c r="B37" s="1"/>
      <c r="C37" s="1"/>
      <c r="D37" s="1"/>
      <c r="E37" s="1"/>
    </row>
  </sheetData>
  <phoneticPr fontId="8" type="noConversion"/>
  <pageMargins left="0.75" right="0.75" top="1" bottom="1" header="0.5" footer="0.5"/>
  <pageSetup orientation="portrait" r:id="rId1"/>
  <headerFooter alignWithMargins="0"/>
  <ignoredErrors>
    <ignoredError sqref="D27" formula="1"/>
  </ignoredErrors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2"/>
  <dimension ref="A1:I37"/>
  <sheetViews>
    <sheetView zoomScaleNormal="100" workbookViewId="0"/>
  </sheetViews>
  <sheetFormatPr defaultRowHeight="12.75"/>
  <cols>
    <col min="2" max="2" width="3.28515625" customWidth="1"/>
    <col min="3" max="3" width="23" customWidth="1"/>
    <col min="4" max="4" width="15" customWidth="1"/>
    <col min="5" max="5" width="3.7109375" customWidth="1"/>
    <col min="6" max="6" width="16.7109375" customWidth="1"/>
    <col min="7" max="7" width="19.140625" customWidth="1"/>
    <col min="8" max="8" width="3.28515625" customWidth="1"/>
  </cols>
  <sheetData>
    <row r="1" spans="1:8" ht="18">
      <c r="A1" s="1"/>
      <c r="B1" s="1"/>
      <c r="C1" s="136" t="s">
        <v>222</v>
      </c>
      <c r="D1" s="1"/>
      <c r="E1" s="1"/>
      <c r="F1" s="1"/>
      <c r="G1" s="1"/>
      <c r="H1" s="1"/>
    </row>
    <row r="2" spans="1:8" ht="15">
      <c r="A2" s="1"/>
      <c r="B2" s="1"/>
      <c r="C2" s="1" t="s">
        <v>159</v>
      </c>
      <c r="D2" s="1"/>
      <c r="E2" s="1"/>
      <c r="F2" s="1"/>
      <c r="G2" s="1"/>
      <c r="H2" s="1"/>
    </row>
    <row r="3" spans="1:8" ht="15">
      <c r="A3" s="1"/>
      <c r="B3" s="1"/>
      <c r="C3" s="1"/>
      <c r="D3" s="1"/>
      <c r="E3" s="1"/>
      <c r="F3" s="1"/>
      <c r="G3" s="1"/>
      <c r="H3" s="1"/>
    </row>
    <row r="4" spans="1:8" ht="15">
      <c r="A4" s="1"/>
      <c r="B4" s="1"/>
      <c r="C4" s="3" t="s">
        <v>1</v>
      </c>
      <c r="D4" s="1"/>
      <c r="E4" s="1"/>
      <c r="F4" s="1"/>
      <c r="G4" s="1"/>
      <c r="H4" s="1"/>
    </row>
    <row r="5" spans="1:8" ht="15.75" thickBot="1">
      <c r="A5" s="1"/>
      <c r="B5" s="1"/>
      <c r="C5" s="1"/>
      <c r="D5" s="1"/>
      <c r="E5" s="1"/>
      <c r="F5" s="1"/>
      <c r="G5" s="1"/>
      <c r="H5" s="1"/>
    </row>
    <row r="6" spans="1:8" ht="15">
      <c r="A6" s="1"/>
      <c r="B6" s="4"/>
      <c r="C6" s="5"/>
      <c r="D6" s="5"/>
      <c r="E6" s="6"/>
      <c r="F6" s="1"/>
      <c r="G6" s="1"/>
      <c r="H6" s="1"/>
    </row>
    <row r="7" spans="1:8" ht="15">
      <c r="A7" s="1"/>
      <c r="B7" s="33"/>
      <c r="C7" s="8" t="s">
        <v>140</v>
      </c>
      <c r="D7" s="34">
        <v>25000000</v>
      </c>
      <c r="E7" s="10"/>
      <c r="F7" s="1"/>
      <c r="G7" s="1"/>
      <c r="H7" s="1"/>
    </row>
    <row r="8" spans="1:8" ht="15">
      <c r="A8" s="1"/>
      <c r="B8" s="33"/>
      <c r="C8" s="8" t="s">
        <v>141</v>
      </c>
      <c r="D8" s="72">
        <v>6900000</v>
      </c>
      <c r="E8" s="10"/>
      <c r="F8" s="1"/>
      <c r="G8" s="1"/>
      <c r="H8" s="1"/>
    </row>
    <row r="9" spans="1:8" ht="15">
      <c r="A9" s="1"/>
      <c r="B9" s="33"/>
      <c r="C9" s="8" t="s">
        <v>142</v>
      </c>
      <c r="D9" s="72">
        <v>5</v>
      </c>
      <c r="E9" s="10"/>
      <c r="F9" s="1"/>
      <c r="G9" s="1"/>
      <c r="H9" s="1"/>
    </row>
    <row r="10" spans="1:8" ht="15">
      <c r="A10" s="1"/>
      <c r="B10" s="33"/>
      <c r="C10" s="8" t="s">
        <v>143</v>
      </c>
      <c r="D10" s="73">
        <v>0.12</v>
      </c>
      <c r="E10" s="10"/>
      <c r="F10" s="1"/>
      <c r="G10" s="1"/>
      <c r="H10" s="1"/>
    </row>
    <row r="11" spans="1:8" ht="15">
      <c r="A11" s="1"/>
      <c r="B11" s="33"/>
      <c r="C11" s="8" t="s">
        <v>144</v>
      </c>
      <c r="D11" s="95">
        <v>1.17</v>
      </c>
      <c r="E11" s="10"/>
      <c r="F11" s="1"/>
      <c r="G11" s="1"/>
      <c r="H11" s="1"/>
    </row>
    <row r="12" spans="1:8" ht="15">
      <c r="A12" s="1"/>
      <c r="B12" s="33"/>
      <c r="C12" s="8" t="s">
        <v>145</v>
      </c>
      <c r="D12" s="73">
        <v>0.06</v>
      </c>
      <c r="E12" s="10"/>
      <c r="F12" s="1"/>
      <c r="G12" s="1"/>
      <c r="H12" s="1"/>
    </row>
    <row r="13" spans="1:8" ht="15">
      <c r="A13" s="1"/>
      <c r="B13" s="33"/>
      <c r="C13" s="8" t="s">
        <v>146</v>
      </c>
      <c r="D13" s="73">
        <v>0.05</v>
      </c>
      <c r="E13" s="10"/>
      <c r="F13" s="1"/>
      <c r="G13" s="1"/>
      <c r="H13" s="1"/>
    </row>
    <row r="14" spans="1:8" ht="15.75" thickBot="1">
      <c r="A14" s="1"/>
      <c r="B14" s="15"/>
      <c r="C14" s="16"/>
      <c r="D14" s="16"/>
      <c r="E14" s="17"/>
      <c r="F14" s="1"/>
      <c r="G14" s="1"/>
      <c r="H14" s="1"/>
    </row>
    <row r="15" spans="1:8" ht="15">
      <c r="A15" s="1"/>
      <c r="B15" s="1"/>
      <c r="C15" s="1"/>
      <c r="D15" s="1"/>
      <c r="E15" s="1"/>
      <c r="F15" s="1"/>
      <c r="G15" s="1"/>
      <c r="H15" s="1"/>
    </row>
    <row r="16" spans="1:8" ht="15">
      <c r="A16" s="1"/>
      <c r="B16" s="1"/>
      <c r="C16" s="3" t="s">
        <v>8</v>
      </c>
      <c r="D16" s="1"/>
      <c r="E16" s="1"/>
      <c r="F16" s="1"/>
      <c r="G16" s="1"/>
      <c r="H16" s="1"/>
    </row>
    <row r="17" spans="1:8" ht="15.75" thickBot="1">
      <c r="A17" s="1"/>
      <c r="B17" s="1"/>
      <c r="C17" s="1"/>
      <c r="D17" s="1"/>
      <c r="E17" s="1"/>
      <c r="F17" s="1"/>
      <c r="G17" s="1"/>
      <c r="H17" s="1"/>
    </row>
    <row r="18" spans="1:8" ht="15">
      <c r="A18" s="1"/>
      <c r="B18" s="18"/>
      <c r="C18" s="19"/>
      <c r="D18" s="19"/>
      <c r="E18" s="19"/>
      <c r="F18" s="19"/>
      <c r="G18" s="19"/>
      <c r="H18" s="20"/>
    </row>
    <row r="19" spans="1:8" ht="15">
      <c r="A19" s="1"/>
      <c r="B19" s="21" t="s">
        <v>2</v>
      </c>
      <c r="C19" s="22" t="s">
        <v>147</v>
      </c>
      <c r="D19" s="22"/>
      <c r="E19" s="22"/>
      <c r="F19" s="22"/>
      <c r="G19" s="22"/>
      <c r="H19" s="23"/>
    </row>
    <row r="20" spans="1:8" ht="15">
      <c r="A20" s="1"/>
      <c r="B20" s="21"/>
      <c r="C20" s="22" t="s">
        <v>148</v>
      </c>
      <c r="D20" s="22"/>
      <c r="E20" s="22"/>
      <c r="F20" s="52" t="str">
        <f>IF(D12&gt;D13,"decline","increase")</f>
        <v>decline</v>
      </c>
      <c r="G20" s="22" t="s">
        <v>149</v>
      </c>
      <c r="H20" s="23"/>
    </row>
    <row r="21" spans="1:8" ht="15">
      <c r="A21" s="1"/>
      <c r="B21" s="21"/>
      <c r="C21" s="52" t="str">
        <f>IF(D12&gt;D13,"Euroswiss rate","Eurodollar rate")</f>
        <v>Euroswiss rate</v>
      </c>
      <c r="D21" s="22" t="s">
        <v>150</v>
      </c>
      <c r="E21" s="22"/>
      <c r="F21" s="41" t="str">
        <f>IF(D12&gt;D13,"Eurodollar rate.","Euroswiss rate.")</f>
        <v>Eurodollar rate.</v>
      </c>
      <c r="G21" s="22"/>
      <c r="H21" s="23"/>
    </row>
    <row r="22" spans="1:8" ht="15">
      <c r="A22" s="1"/>
      <c r="B22" s="21"/>
      <c r="C22" s="22"/>
      <c r="D22" s="22"/>
      <c r="E22" s="22"/>
      <c r="F22" s="22"/>
      <c r="G22" s="22"/>
      <c r="H22" s="23"/>
    </row>
    <row r="23" spans="1:8" ht="15">
      <c r="A23" s="1"/>
      <c r="B23" s="21" t="s">
        <v>4</v>
      </c>
      <c r="C23" s="96" t="s">
        <v>151</v>
      </c>
      <c r="D23" s="96" t="s">
        <v>152</v>
      </c>
      <c r="E23" s="96"/>
      <c r="F23" s="96" t="s">
        <v>153</v>
      </c>
      <c r="G23" s="96" t="s">
        <v>154</v>
      </c>
      <c r="H23" s="23"/>
    </row>
    <row r="24" spans="1:8" ht="15">
      <c r="A24" s="1"/>
      <c r="B24" s="21"/>
      <c r="C24" s="97">
        <v>0</v>
      </c>
      <c r="D24" s="98">
        <f>-D7</f>
        <v>-25000000</v>
      </c>
      <c r="E24" s="41"/>
      <c r="F24" s="99">
        <f>D11</f>
        <v>1.17</v>
      </c>
      <c r="G24" s="100">
        <f t="shared" ref="G24:G29" si="0">D24/F24</f>
        <v>-21367521.367521368</v>
      </c>
      <c r="H24" s="23"/>
    </row>
    <row r="25" spans="1:8" ht="15">
      <c r="A25" s="1"/>
      <c r="B25" s="21"/>
      <c r="C25" s="97">
        <v>1</v>
      </c>
      <c r="D25" s="101">
        <f>$D$8</f>
        <v>6900000</v>
      </c>
      <c r="E25" s="41"/>
      <c r="F25" s="99">
        <f>$D$11*((1+($D$13-$D$12))^C25)</f>
        <v>1.1582999999999999</v>
      </c>
      <c r="G25" s="102">
        <f t="shared" si="0"/>
        <v>5957005.9570059571</v>
      </c>
      <c r="H25" s="23"/>
    </row>
    <row r="26" spans="1:8" ht="15">
      <c r="A26" s="1"/>
      <c r="B26" s="21"/>
      <c r="C26" s="97">
        <v>2</v>
      </c>
      <c r="D26" s="101">
        <f>$D$8</f>
        <v>6900000</v>
      </c>
      <c r="E26" s="41"/>
      <c r="F26" s="99">
        <f>$D$11*((1+($D$13-$D$12))^C26)</f>
        <v>1.146717</v>
      </c>
      <c r="G26" s="102">
        <f t="shared" si="0"/>
        <v>6017177.734349452</v>
      </c>
      <c r="H26" s="23"/>
    </row>
    <row r="27" spans="1:8" ht="15">
      <c r="A27" s="1"/>
      <c r="B27" s="21"/>
      <c r="C27" s="97">
        <v>3</v>
      </c>
      <c r="D27" s="101">
        <f>$D$8</f>
        <v>6900000</v>
      </c>
      <c r="E27" s="41"/>
      <c r="F27" s="99">
        <f>$D$11*((1+($D$13-$D$12))^C27)</f>
        <v>1.1352498299999998</v>
      </c>
      <c r="G27" s="102">
        <f t="shared" si="0"/>
        <v>6077957.3074236894</v>
      </c>
      <c r="H27" s="23"/>
    </row>
    <row r="28" spans="1:8" ht="15">
      <c r="A28" s="1"/>
      <c r="B28" s="21"/>
      <c r="C28" s="97">
        <v>4</v>
      </c>
      <c r="D28" s="101">
        <f>$D$8</f>
        <v>6900000</v>
      </c>
      <c r="E28" s="41"/>
      <c r="F28" s="99">
        <f>$D$11*((1+($D$13-$D$12))^C28)</f>
        <v>1.1238973316999998</v>
      </c>
      <c r="G28" s="102">
        <f t="shared" si="0"/>
        <v>6139350.8155794842</v>
      </c>
      <c r="H28" s="23"/>
    </row>
    <row r="29" spans="1:8" ht="15">
      <c r="A29" s="1"/>
      <c r="B29" s="21"/>
      <c r="C29" s="97">
        <v>5</v>
      </c>
      <c r="D29" s="101">
        <f>$D$8</f>
        <v>6900000</v>
      </c>
      <c r="E29" s="41"/>
      <c r="F29" s="99">
        <f>$D$11*((1+($D$13-$D$12))^C29)</f>
        <v>1.1126583583829999</v>
      </c>
      <c r="G29" s="102">
        <f t="shared" si="0"/>
        <v>6201364.4601812968</v>
      </c>
      <c r="H29" s="23"/>
    </row>
    <row r="30" spans="1:8" ht="15.75">
      <c r="A30" s="1"/>
      <c r="B30" s="21"/>
      <c r="C30" s="22" t="s">
        <v>155</v>
      </c>
      <c r="D30" s="94"/>
      <c r="E30" s="22"/>
      <c r="F30" s="22"/>
      <c r="G30" s="103">
        <f>NPV(D10,G25:G29)+G24</f>
        <v>494750.32944696769</v>
      </c>
      <c r="H30" s="23"/>
    </row>
    <row r="31" spans="1:8" ht="15.75">
      <c r="A31" s="1"/>
      <c r="B31" s="21"/>
      <c r="C31" s="22"/>
      <c r="D31" s="94"/>
      <c r="E31" s="22"/>
      <c r="F31" s="22"/>
      <c r="G31" s="22"/>
      <c r="H31" s="23"/>
    </row>
    <row r="32" spans="1:8" ht="15.75">
      <c r="A32" s="1"/>
      <c r="B32" s="21" t="s">
        <v>5</v>
      </c>
      <c r="C32" s="22" t="s">
        <v>156</v>
      </c>
      <c r="D32" s="94"/>
      <c r="E32" s="22"/>
      <c r="F32" s="22"/>
      <c r="G32" s="63">
        <f>((1+$D$10)*(1+D13-D12))-1</f>
        <v>0.10880000000000001</v>
      </c>
      <c r="H32" s="23"/>
    </row>
    <row r="33" spans="1:9" ht="15.75">
      <c r="A33" s="1"/>
      <c r="B33" s="21"/>
      <c r="C33" s="22" t="s">
        <v>157</v>
      </c>
      <c r="D33" s="94"/>
      <c r="E33" s="22"/>
      <c r="F33" s="22"/>
      <c r="G33" s="104">
        <f>NPV(G32,D25:D29)+D24</f>
        <v>578857.88545295224</v>
      </c>
      <c r="H33" s="23"/>
    </row>
    <row r="34" spans="1:9" ht="15.75">
      <c r="A34" s="1"/>
      <c r="B34" s="21"/>
      <c r="C34" s="22" t="s">
        <v>158</v>
      </c>
      <c r="D34" s="94"/>
      <c r="E34" s="22"/>
      <c r="F34" s="22"/>
      <c r="G34" s="105">
        <f>G33/D11</f>
        <v>494750.32944696775</v>
      </c>
      <c r="H34" s="23"/>
    </row>
    <row r="35" spans="1:9" ht="15.75" thickBot="1">
      <c r="A35" s="1"/>
      <c r="B35" s="106"/>
      <c r="C35" s="31"/>
      <c r="D35" s="31"/>
      <c r="E35" s="31"/>
      <c r="F35" s="31"/>
      <c r="G35" s="31"/>
      <c r="H35" s="32"/>
      <c r="I35" s="1"/>
    </row>
    <row r="36" spans="1:9" ht="15">
      <c r="A36" s="1"/>
      <c r="B36" s="1"/>
      <c r="C36" s="1"/>
      <c r="D36" s="1"/>
      <c r="E36" s="1"/>
      <c r="F36" s="1"/>
      <c r="G36" s="1"/>
      <c r="H36" s="1"/>
      <c r="I36" s="1"/>
    </row>
    <row r="37" spans="1:9" ht="15">
      <c r="A37" s="1"/>
      <c r="B37" s="1"/>
      <c r="C37" s="1"/>
      <c r="D37" s="1"/>
      <c r="E37" s="1"/>
      <c r="F37" s="1"/>
      <c r="G37" s="1"/>
      <c r="H37" s="1"/>
      <c r="I37" s="1"/>
    </row>
  </sheetData>
  <phoneticPr fontId="8" type="noConversion"/>
  <pageMargins left="0.75" right="0.75" top="1" bottom="1" header="0.5" footer="0.5"/>
  <pageSetup scale="97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I34"/>
  <sheetViews>
    <sheetView workbookViewId="0"/>
  </sheetViews>
  <sheetFormatPr defaultRowHeight="12.75"/>
  <cols>
    <col min="1" max="1" width="9.140625" style="150"/>
    <col min="2" max="2" width="3.28515625" style="150" customWidth="1"/>
    <col min="3" max="3" width="28.7109375" style="150" customWidth="1"/>
    <col min="4" max="4" width="16.85546875" style="150" customWidth="1"/>
    <col min="5" max="5" width="3.7109375" style="150" customWidth="1"/>
    <col min="6" max="6" width="24.42578125" style="150" bestFit="1" customWidth="1"/>
    <col min="7" max="7" width="17.7109375" style="150" customWidth="1"/>
    <col min="8" max="8" width="3.140625" style="150" customWidth="1"/>
    <col min="9" max="16384" width="9.140625" style="150"/>
  </cols>
  <sheetData>
    <row r="1" spans="1:9" ht="18">
      <c r="A1" s="148"/>
      <c r="B1" s="148"/>
      <c r="C1" s="149" t="s">
        <v>222</v>
      </c>
      <c r="D1" s="148"/>
      <c r="E1" s="148"/>
      <c r="F1" s="148"/>
      <c r="G1" s="148"/>
      <c r="H1" s="148"/>
      <c r="I1" s="148"/>
    </row>
    <row r="2" spans="1:9" ht="15">
      <c r="A2" s="148"/>
      <c r="B2" s="148"/>
      <c r="C2" s="148" t="s">
        <v>229</v>
      </c>
      <c r="D2" s="148"/>
      <c r="E2" s="148"/>
      <c r="F2" s="148"/>
      <c r="G2" s="148"/>
      <c r="H2" s="148"/>
      <c r="I2" s="148"/>
    </row>
    <row r="3" spans="1:9" ht="15">
      <c r="A3" s="148"/>
      <c r="B3" s="148"/>
      <c r="C3" s="148"/>
      <c r="D3" s="148"/>
      <c r="E3" s="148"/>
      <c r="F3" s="148"/>
      <c r="G3" s="148"/>
      <c r="H3" s="148"/>
      <c r="I3" s="148"/>
    </row>
    <row r="4" spans="1:9" ht="15">
      <c r="A4" s="148"/>
      <c r="B4" s="148"/>
      <c r="C4" s="151" t="s">
        <v>1</v>
      </c>
      <c r="D4" s="148"/>
      <c r="E4" s="148"/>
      <c r="F4" s="148"/>
      <c r="G4" s="148"/>
      <c r="H4" s="148"/>
    </row>
    <row r="5" spans="1:9" ht="15.75" thickBot="1">
      <c r="A5" s="148"/>
      <c r="B5" s="148"/>
      <c r="C5" s="148"/>
      <c r="D5" s="148"/>
      <c r="E5" s="148"/>
      <c r="F5" s="148"/>
      <c r="G5" s="148"/>
      <c r="H5" s="148"/>
    </row>
    <row r="6" spans="1:9" ht="15">
      <c r="A6" s="148"/>
      <c r="B6" s="152"/>
      <c r="C6" s="153"/>
      <c r="D6" s="153"/>
      <c r="E6" s="154"/>
      <c r="F6" s="148"/>
      <c r="G6" s="148"/>
      <c r="H6" s="148"/>
    </row>
    <row r="7" spans="1:9" ht="15">
      <c r="A7" s="148"/>
      <c r="B7" s="155"/>
      <c r="C7" s="156" t="s">
        <v>230</v>
      </c>
      <c r="D7" s="157">
        <v>34000</v>
      </c>
      <c r="E7" s="158"/>
      <c r="F7" s="148"/>
      <c r="G7" s="148"/>
      <c r="H7" s="148"/>
    </row>
    <row r="8" spans="1:9" ht="15">
      <c r="A8" s="148"/>
      <c r="B8" s="155"/>
      <c r="C8" s="156" t="s">
        <v>231</v>
      </c>
      <c r="D8" s="72">
        <v>12000</v>
      </c>
      <c r="E8" s="158"/>
      <c r="F8" s="148"/>
      <c r="G8" s="148"/>
      <c r="H8" s="148"/>
    </row>
    <row r="9" spans="1:9" ht="15">
      <c r="A9" s="148"/>
      <c r="B9" s="155"/>
      <c r="C9" s="156" t="s">
        <v>232</v>
      </c>
      <c r="D9" s="72">
        <v>22000</v>
      </c>
      <c r="E9" s="158"/>
      <c r="F9" s="148"/>
      <c r="G9" s="148"/>
      <c r="H9" s="148"/>
    </row>
    <row r="10" spans="1:9" ht="15">
      <c r="A10" s="148"/>
      <c r="B10" s="155"/>
      <c r="C10" s="156" t="s">
        <v>144</v>
      </c>
      <c r="D10" s="159">
        <v>1.2</v>
      </c>
      <c r="E10" s="158"/>
      <c r="F10" s="148"/>
      <c r="G10" s="148"/>
      <c r="H10" s="148"/>
    </row>
    <row r="11" spans="1:9" ht="15">
      <c r="A11" s="148"/>
      <c r="B11" s="160" t="s">
        <v>4</v>
      </c>
      <c r="C11" s="156" t="s">
        <v>233</v>
      </c>
      <c r="D11" s="159">
        <v>1.4</v>
      </c>
      <c r="E11" s="158"/>
      <c r="F11" s="148"/>
      <c r="G11" s="148"/>
      <c r="H11" s="148"/>
    </row>
    <row r="12" spans="1:9" ht="15">
      <c r="A12" s="148"/>
      <c r="B12" s="160" t="s">
        <v>5</v>
      </c>
      <c r="C12" s="156" t="s">
        <v>233</v>
      </c>
      <c r="D12" s="159">
        <v>1.1200000000000001</v>
      </c>
      <c r="E12" s="158"/>
      <c r="F12" s="148"/>
      <c r="G12" s="148"/>
      <c r="H12" s="148"/>
    </row>
    <row r="13" spans="1:9" ht="15.75" thickBot="1">
      <c r="A13" s="148"/>
      <c r="B13" s="161"/>
      <c r="C13" s="162"/>
      <c r="D13" s="162"/>
      <c r="E13" s="163"/>
      <c r="F13" s="148"/>
      <c r="G13" s="148"/>
      <c r="H13" s="148"/>
    </row>
    <row r="14" spans="1:9" ht="15">
      <c r="A14" s="148"/>
      <c r="B14" s="164"/>
      <c r="C14" s="164"/>
      <c r="D14" s="164"/>
      <c r="E14" s="164"/>
      <c r="F14" s="148"/>
      <c r="G14" s="148"/>
      <c r="H14" s="148"/>
    </row>
    <row r="15" spans="1:9" ht="15">
      <c r="A15" s="148"/>
      <c r="B15" s="148"/>
      <c r="C15" s="151" t="s">
        <v>8</v>
      </c>
      <c r="D15" s="148"/>
      <c r="E15" s="148"/>
      <c r="F15" s="148"/>
      <c r="G15" s="148"/>
      <c r="H15" s="148"/>
      <c r="I15" s="148"/>
    </row>
    <row r="16" spans="1:9" ht="15.75" thickBot="1">
      <c r="A16" s="148"/>
      <c r="B16" s="148"/>
      <c r="C16" s="148"/>
      <c r="D16" s="148"/>
      <c r="E16" s="148"/>
      <c r="F16" s="148"/>
      <c r="G16" s="148"/>
      <c r="H16" s="148"/>
      <c r="I16" s="148"/>
    </row>
    <row r="17" spans="1:9" ht="15">
      <c r="A17" s="148"/>
      <c r="B17" s="165"/>
      <c r="C17" s="166"/>
      <c r="D17" s="166"/>
      <c r="E17" s="166"/>
      <c r="F17" s="166"/>
      <c r="G17" s="166"/>
      <c r="H17" s="167"/>
      <c r="I17" s="148"/>
    </row>
    <row r="18" spans="1:9" ht="15">
      <c r="A18" s="148"/>
      <c r="B18" s="168" t="s">
        <v>2</v>
      </c>
      <c r="C18" s="169"/>
      <c r="D18" s="169"/>
      <c r="E18" s="169"/>
      <c r="F18" s="169" t="s">
        <v>234</v>
      </c>
      <c r="G18" s="170">
        <f>D8/D10</f>
        <v>10000</v>
      </c>
      <c r="H18" s="171"/>
      <c r="I18" s="148"/>
    </row>
    <row r="19" spans="1:9" ht="15">
      <c r="A19" s="148"/>
      <c r="B19" s="168"/>
      <c r="C19" s="169"/>
      <c r="D19" s="169"/>
      <c r="E19" s="169"/>
      <c r="F19" s="169" t="s">
        <v>235</v>
      </c>
      <c r="G19" s="172">
        <f>D9/D10</f>
        <v>18333.333333333336</v>
      </c>
      <c r="H19" s="171"/>
      <c r="I19" s="148"/>
    </row>
    <row r="20" spans="1:9" ht="15.75" thickBot="1">
      <c r="A20" s="148"/>
      <c r="B20" s="168"/>
      <c r="C20" s="169" t="s">
        <v>236</v>
      </c>
      <c r="D20" s="173">
        <f>D7/D10</f>
        <v>28333.333333333336</v>
      </c>
      <c r="E20" s="169"/>
      <c r="F20" s="169" t="s">
        <v>237</v>
      </c>
      <c r="G20" s="173">
        <f>(D8+D9)/D10</f>
        <v>28333.333333333336</v>
      </c>
      <c r="H20" s="171"/>
      <c r="I20" s="148"/>
    </row>
    <row r="21" spans="1:9" ht="15.75" thickTop="1">
      <c r="A21" s="148"/>
      <c r="B21" s="168"/>
      <c r="C21" s="174"/>
      <c r="D21" s="169"/>
      <c r="E21" s="169"/>
      <c r="F21" s="169"/>
      <c r="G21" s="169"/>
      <c r="H21" s="171"/>
      <c r="I21" s="148"/>
    </row>
    <row r="22" spans="1:9" ht="15">
      <c r="A22" s="148"/>
      <c r="B22" s="168"/>
      <c r="C22" s="169"/>
      <c r="D22" s="169"/>
      <c r="E22" s="169"/>
      <c r="F22" s="169"/>
      <c r="G22" s="169"/>
      <c r="H22" s="171"/>
      <c r="I22" s="148"/>
    </row>
    <row r="23" spans="1:9" ht="15">
      <c r="A23" s="148"/>
      <c r="B23" s="168" t="s">
        <v>4</v>
      </c>
      <c r="C23" s="169"/>
      <c r="D23" s="169"/>
      <c r="E23" s="169"/>
      <c r="F23" s="169" t="s">
        <v>234</v>
      </c>
      <c r="G23" s="170">
        <f>D8/D11</f>
        <v>8571.4285714285725</v>
      </c>
      <c r="H23" s="171"/>
      <c r="I23" s="148"/>
    </row>
    <row r="24" spans="1:9" ht="15">
      <c r="A24" s="148"/>
      <c r="B24" s="168"/>
      <c r="C24" s="169"/>
      <c r="D24" s="169"/>
      <c r="E24" s="169"/>
      <c r="F24" s="169" t="s">
        <v>235</v>
      </c>
      <c r="G24" s="172">
        <f>D9/D11</f>
        <v>15714.285714285716</v>
      </c>
      <c r="H24" s="171"/>
      <c r="I24" s="148"/>
    </row>
    <row r="25" spans="1:9" ht="15.75" thickBot="1">
      <c r="A25" s="148"/>
      <c r="B25" s="168"/>
      <c r="C25" s="169" t="s">
        <v>236</v>
      </c>
      <c r="D25" s="173">
        <f>D7/D11</f>
        <v>24285.714285714286</v>
      </c>
      <c r="E25" s="169"/>
      <c r="F25" s="169" t="s">
        <v>237</v>
      </c>
      <c r="G25" s="173">
        <f>(D8+D9)/D11</f>
        <v>24285.714285714286</v>
      </c>
      <c r="H25" s="171"/>
      <c r="I25" s="148"/>
    </row>
    <row r="26" spans="1:9" ht="15.75" thickTop="1">
      <c r="A26" s="148"/>
      <c r="B26" s="168"/>
      <c r="C26" s="175"/>
      <c r="D26" s="176"/>
      <c r="E26" s="169"/>
      <c r="F26" s="177"/>
      <c r="G26" s="178"/>
      <c r="H26" s="171"/>
      <c r="I26" s="148"/>
    </row>
    <row r="27" spans="1:9" ht="15">
      <c r="A27" s="148"/>
      <c r="B27" s="168" t="s">
        <v>5</v>
      </c>
      <c r="C27" s="169"/>
      <c r="D27" s="169"/>
      <c r="E27" s="169"/>
      <c r="F27" s="169" t="s">
        <v>234</v>
      </c>
      <c r="G27" s="170">
        <f>D8/D12</f>
        <v>10714.285714285714</v>
      </c>
      <c r="H27" s="171"/>
      <c r="I27" s="148"/>
    </row>
    <row r="28" spans="1:9" ht="15">
      <c r="A28" s="148"/>
      <c r="B28" s="168"/>
      <c r="C28" s="169"/>
      <c r="D28" s="169"/>
      <c r="E28" s="169"/>
      <c r="F28" s="169" t="s">
        <v>235</v>
      </c>
      <c r="G28" s="172">
        <f>D9/D12</f>
        <v>19642.857142857141</v>
      </c>
      <c r="H28" s="171"/>
      <c r="I28" s="148"/>
    </row>
    <row r="29" spans="1:9" ht="15.75" thickBot="1">
      <c r="A29" s="148"/>
      <c r="B29" s="168"/>
      <c r="C29" s="169" t="s">
        <v>236</v>
      </c>
      <c r="D29" s="173">
        <f>D7/D12</f>
        <v>30357.142857142855</v>
      </c>
      <c r="E29" s="169"/>
      <c r="F29" s="169" t="s">
        <v>237</v>
      </c>
      <c r="G29" s="173">
        <f>(D8+D9)/D12</f>
        <v>30357.142857142855</v>
      </c>
      <c r="H29" s="171"/>
      <c r="I29" s="148"/>
    </row>
    <row r="30" spans="1:9" ht="16.5" thickTop="1" thickBot="1">
      <c r="A30" s="148"/>
      <c r="B30" s="179"/>
      <c r="C30" s="180"/>
      <c r="D30" s="180"/>
      <c r="E30" s="180"/>
      <c r="F30" s="180"/>
      <c r="G30" s="180"/>
      <c r="H30" s="181"/>
      <c r="I30" s="148"/>
    </row>
    <row r="31" spans="1:9" ht="15">
      <c r="A31" s="148"/>
      <c r="B31" s="148"/>
      <c r="C31" s="148"/>
      <c r="D31" s="148"/>
      <c r="E31" s="148"/>
      <c r="F31" s="148"/>
      <c r="G31" s="148"/>
      <c r="H31" s="148"/>
      <c r="I31" s="148"/>
    </row>
    <row r="32" spans="1:9" ht="15">
      <c r="A32" s="148"/>
      <c r="B32" s="148"/>
      <c r="C32" s="148"/>
      <c r="D32" s="148"/>
      <c r="E32" s="148"/>
      <c r="F32" s="148"/>
      <c r="G32" s="148"/>
      <c r="H32" s="148"/>
      <c r="I32" s="148"/>
    </row>
    <row r="33" spans="1:9" ht="15">
      <c r="A33" s="148"/>
      <c r="B33" s="148"/>
      <c r="C33" s="148"/>
      <c r="D33" s="148"/>
      <c r="E33" s="148"/>
      <c r="F33" s="148"/>
      <c r="G33" s="148"/>
      <c r="H33" s="148"/>
      <c r="I33" s="148"/>
    </row>
    <row r="34" spans="1:9" ht="15">
      <c r="A34" s="148"/>
      <c r="B34" s="148"/>
      <c r="C34" s="148"/>
      <c r="D34" s="148"/>
      <c r="E34" s="148"/>
      <c r="F34" s="148"/>
      <c r="G34" s="148"/>
      <c r="H34" s="148"/>
      <c r="I34" s="148"/>
    </row>
  </sheetData>
  <phoneticPr fontId="30" type="noConversion"/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I31"/>
  <sheetViews>
    <sheetView workbookViewId="0"/>
  </sheetViews>
  <sheetFormatPr defaultRowHeight="12.75"/>
  <cols>
    <col min="1" max="1" width="9.140625" style="150"/>
    <col min="2" max="2" width="3.28515625" style="150" customWidth="1"/>
    <col min="3" max="3" width="28.7109375" style="150" customWidth="1"/>
    <col min="4" max="4" width="16.85546875" style="150" customWidth="1"/>
    <col min="5" max="5" width="3.7109375" style="150" customWidth="1"/>
    <col min="6" max="6" width="24.42578125" style="150" bestFit="1" customWidth="1"/>
    <col min="7" max="7" width="17.7109375" style="150" customWidth="1"/>
    <col min="8" max="8" width="3.140625" style="150" customWidth="1"/>
    <col min="9" max="16384" width="9.140625" style="150"/>
  </cols>
  <sheetData>
    <row r="1" spans="1:9" ht="18">
      <c r="A1" s="148"/>
      <c r="B1" s="148"/>
      <c r="C1" s="149" t="s">
        <v>222</v>
      </c>
      <c r="D1" s="148"/>
      <c r="E1" s="148"/>
      <c r="F1" s="148"/>
      <c r="G1" s="148"/>
      <c r="H1" s="148"/>
      <c r="I1" s="148"/>
    </row>
    <row r="2" spans="1:9" ht="15">
      <c r="A2" s="148"/>
      <c r="B2" s="148"/>
      <c r="C2" s="148" t="s">
        <v>238</v>
      </c>
      <c r="D2" s="148"/>
      <c r="E2" s="148"/>
      <c r="F2" s="148"/>
      <c r="G2" s="148"/>
      <c r="H2" s="148"/>
      <c r="I2" s="148"/>
    </row>
    <row r="3" spans="1:9" ht="15">
      <c r="A3" s="148"/>
      <c r="B3" s="148"/>
      <c r="C3" s="148"/>
      <c r="D3" s="148"/>
      <c r="E3" s="148"/>
      <c r="F3" s="148"/>
      <c r="G3" s="148"/>
      <c r="H3" s="148"/>
      <c r="I3" s="148"/>
    </row>
    <row r="4" spans="1:9" ht="15">
      <c r="A4" s="148"/>
      <c r="B4" s="148"/>
      <c r="C4" s="151" t="s">
        <v>1</v>
      </c>
      <c r="D4" s="148"/>
      <c r="E4" s="148"/>
      <c r="F4" s="148"/>
      <c r="G4" s="148"/>
      <c r="H4" s="148"/>
    </row>
    <row r="5" spans="1:9" ht="15.75" thickBot="1">
      <c r="A5" s="148"/>
      <c r="B5" s="148"/>
      <c r="C5" s="148"/>
      <c r="D5" s="148"/>
      <c r="E5" s="148"/>
      <c r="F5" s="148"/>
      <c r="G5" s="148"/>
      <c r="H5" s="148"/>
    </row>
    <row r="6" spans="1:9" ht="15">
      <c r="A6" s="148"/>
      <c r="B6" s="152"/>
      <c r="C6" s="153"/>
      <c r="D6" s="153"/>
      <c r="E6" s="154"/>
      <c r="F6" s="148"/>
      <c r="G6" s="148"/>
      <c r="H6" s="148"/>
    </row>
    <row r="7" spans="1:9" ht="15">
      <c r="A7" s="148"/>
      <c r="B7" s="155"/>
      <c r="C7" s="156" t="s">
        <v>230</v>
      </c>
      <c r="D7" s="182">
        <f ca="1">'#16'!D7</f>
        <v>34000</v>
      </c>
      <c r="E7" s="158"/>
      <c r="F7" s="148"/>
      <c r="G7" s="148"/>
      <c r="H7" s="148"/>
    </row>
    <row r="8" spans="1:9" ht="15">
      <c r="A8" s="148"/>
      <c r="B8" s="155"/>
      <c r="C8" s="156" t="s">
        <v>231</v>
      </c>
      <c r="D8" s="182">
        <f ca="1">'#16'!D8</f>
        <v>12000</v>
      </c>
      <c r="E8" s="158"/>
      <c r="F8" s="148"/>
      <c r="G8" s="148"/>
      <c r="H8" s="148"/>
    </row>
    <row r="9" spans="1:9" ht="15">
      <c r="A9" s="148"/>
      <c r="B9" s="155"/>
      <c r="C9" s="156" t="s">
        <v>232</v>
      </c>
      <c r="D9" s="182">
        <f ca="1">'#16'!D9</f>
        <v>22000</v>
      </c>
      <c r="E9" s="158"/>
      <c r="F9" s="148"/>
      <c r="G9" s="148"/>
      <c r="H9" s="148"/>
    </row>
    <row r="10" spans="1:9" ht="15">
      <c r="A10" s="148"/>
      <c r="B10" s="155"/>
      <c r="C10" s="156" t="s">
        <v>239</v>
      </c>
      <c r="D10" s="183">
        <v>1750</v>
      </c>
      <c r="E10" s="158"/>
      <c r="F10" s="148"/>
      <c r="G10" s="148"/>
      <c r="H10" s="148"/>
    </row>
    <row r="11" spans="1:9" ht="15">
      <c r="A11" s="148"/>
      <c r="B11" s="160"/>
      <c r="C11" s="156" t="s">
        <v>240</v>
      </c>
      <c r="D11" s="159">
        <v>1.24</v>
      </c>
      <c r="E11" s="158"/>
      <c r="F11" s="148"/>
      <c r="G11" s="148"/>
      <c r="H11" s="148"/>
    </row>
    <row r="12" spans="1:9" ht="15.75" thickBot="1">
      <c r="A12" s="148"/>
      <c r="B12" s="161"/>
      <c r="C12" s="162"/>
      <c r="D12" s="162"/>
      <c r="E12" s="163"/>
      <c r="F12" s="148"/>
      <c r="G12" s="148"/>
      <c r="H12" s="148"/>
    </row>
    <row r="13" spans="1:9" ht="15">
      <c r="A13" s="148"/>
      <c r="B13" s="164"/>
      <c r="C13" s="164"/>
      <c r="D13" s="164"/>
      <c r="E13" s="164"/>
      <c r="F13" s="148"/>
      <c r="G13" s="148"/>
      <c r="H13" s="148"/>
    </row>
    <row r="14" spans="1:9" ht="15">
      <c r="A14" s="148"/>
      <c r="B14" s="148"/>
      <c r="C14" s="151" t="s">
        <v>8</v>
      </c>
      <c r="D14" s="148"/>
      <c r="E14" s="148"/>
      <c r="F14" s="148"/>
      <c r="G14" s="148"/>
      <c r="H14" s="148"/>
      <c r="I14" s="148"/>
    </row>
    <row r="15" spans="1:9" ht="15.75" thickBot="1">
      <c r="A15" s="148"/>
      <c r="B15" s="148"/>
      <c r="C15" s="148"/>
      <c r="D15" s="148"/>
      <c r="E15" s="148"/>
      <c r="F15" s="148"/>
      <c r="G15" s="148"/>
      <c r="H15" s="148"/>
      <c r="I15" s="148"/>
    </row>
    <row r="16" spans="1:9" ht="15">
      <c r="A16" s="148"/>
      <c r="B16" s="165"/>
      <c r="C16" s="166"/>
      <c r="D16" s="166"/>
      <c r="E16" s="166"/>
      <c r="F16" s="166"/>
      <c r="G16" s="166"/>
      <c r="H16" s="167"/>
      <c r="I16" s="148"/>
    </row>
    <row r="17" spans="1:9" ht="15">
      <c r="A17" s="148"/>
      <c r="B17" s="184"/>
      <c r="C17" s="169"/>
      <c r="D17" s="192" t="s">
        <v>241</v>
      </c>
      <c r="E17" s="192"/>
      <c r="F17" s="192"/>
      <c r="G17" s="169"/>
      <c r="H17" s="171"/>
      <c r="I17" s="148"/>
    </row>
    <row r="18" spans="1:9" ht="15">
      <c r="A18" s="148"/>
      <c r="B18" s="168"/>
      <c r="C18" s="169"/>
      <c r="D18" s="169"/>
      <c r="E18" s="169"/>
      <c r="F18" s="169" t="s">
        <v>234</v>
      </c>
      <c r="G18" s="170">
        <f>D8</f>
        <v>12000</v>
      </c>
      <c r="H18" s="171"/>
      <c r="I18" s="148"/>
    </row>
    <row r="19" spans="1:9" ht="15">
      <c r="A19" s="148"/>
      <c r="B19" s="168"/>
      <c r="C19" s="169"/>
      <c r="D19" s="169"/>
      <c r="E19" s="169"/>
      <c r="F19" s="169" t="s">
        <v>235</v>
      </c>
      <c r="G19" s="172">
        <f>D9+D10</f>
        <v>23750</v>
      </c>
      <c r="H19" s="171"/>
      <c r="I19" s="148"/>
    </row>
    <row r="20" spans="1:9" ht="15.75" thickBot="1">
      <c r="A20" s="148"/>
      <c r="B20" s="168"/>
      <c r="C20" s="169" t="s">
        <v>236</v>
      </c>
      <c r="D20" s="173">
        <f>D10+D7</f>
        <v>35750</v>
      </c>
      <c r="E20" s="169"/>
      <c r="F20" s="169" t="s">
        <v>237</v>
      </c>
      <c r="G20" s="173">
        <f>G18+G19</f>
        <v>35750</v>
      </c>
      <c r="H20" s="171"/>
      <c r="I20" s="148"/>
    </row>
    <row r="21" spans="1:9" ht="15.75" thickTop="1">
      <c r="A21" s="148"/>
      <c r="B21" s="168"/>
      <c r="C21" s="174"/>
      <c r="D21" s="169"/>
      <c r="E21" s="169"/>
      <c r="F21" s="169"/>
      <c r="G21" s="169"/>
      <c r="H21" s="171"/>
      <c r="I21" s="148"/>
    </row>
    <row r="22" spans="1:9" ht="15">
      <c r="A22" s="148"/>
      <c r="B22" s="168"/>
      <c r="C22" s="174"/>
      <c r="D22" s="169"/>
      <c r="E22" s="169"/>
      <c r="F22" s="169"/>
      <c r="G22" s="169"/>
      <c r="H22" s="171"/>
      <c r="I22" s="148"/>
    </row>
    <row r="23" spans="1:9" ht="15">
      <c r="A23" s="148"/>
      <c r="B23" s="168"/>
      <c r="C23" s="169"/>
      <c r="D23" s="192" t="s">
        <v>242</v>
      </c>
      <c r="E23" s="192"/>
      <c r="F23" s="192"/>
      <c r="G23" s="169"/>
      <c r="H23" s="171"/>
      <c r="I23" s="148"/>
    </row>
    <row r="24" spans="1:9" ht="15">
      <c r="A24" s="148"/>
      <c r="B24" s="168"/>
      <c r="C24" s="169"/>
      <c r="D24" s="169"/>
      <c r="E24" s="169"/>
      <c r="F24" s="169" t="s">
        <v>234</v>
      </c>
      <c r="G24" s="170">
        <f>G18/D11</f>
        <v>9677.4193548387102</v>
      </c>
      <c r="H24" s="171"/>
      <c r="I24" s="148"/>
    </row>
    <row r="25" spans="1:9" ht="15">
      <c r="A25" s="148"/>
      <c r="B25" s="168"/>
      <c r="C25" s="169"/>
      <c r="D25" s="169"/>
      <c r="E25" s="169"/>
      <c r="F25" s="169" t="s">
        <v>235</v>
      </c>
      <c r="G25" s="172">
        <f>G19/D11</f>
        <v>19153.225806451614</v>
      </c>
      <c r="H25" s="171"/>
      <c r="I25" s="148"/>
    </row>
    <row r="26" spans="1:9" ht="15.75" thickBot="1">
      <c r="A26" s="148"/>
      <c r="B26" s="168"/>
      <c r="C26" s="169" t="s">
        <v>236</v>
      </c>
      <c r="D26" s="173">
        <f>D20/D11</f>
        <v>28830.645161290322</v>
      </c>
      <c r="E26" s="169"/>
      <c r="F26" s="169" t="s">
        <v>237</v>
      </c>
      <c r="G26" s="173">
        <f>G24+G25</f>
        <v>28830.645161290326</v>
      </c>
      <c r="H26" s="171"/>
      <c r="I26" s="148"/>
    </row>
    <row r="27" spans="1:9" ht="16.5" thickTop="1" thickBot="1">
      <c r="A27" s="148"/>
      <c r="B27" s="179"/>
      <c r="C27" s="180"/>
      <c r="D27" s="180"/>
      <c r="E27" s="180"/>
      <c r="F27" s="180"/>
      <c r="G27" s="180"/>
      <c r="H27" s="181"/>
      <c r="I27" s="148"/>
    </row>
    <row r="28" spans="1:9" ht="15">
      <c r="A28" s="148"/>
      <c r="B28" s="148"/>
      <c r="C28" s="148"/>
      <c r="D28" s="148"/>
      <c r="E28" s="148"/>
      <c r="F28" s="148"/>
      <c r="G28" s="148"/>
      <c r="H28" s="148"/>
      <c r="I28" s="148"/>
    </row>
    <row r="29" spans="1:9" ht="15">
      <c r="A29" s="148"/>
      <c r="B29" s="148"/>
      <c r="C29" s="148"/>
      <c r="D29" s="148"/>
      <c r="E29" s="148"/>
      <c r="F29" s="148"/>
      <c r="G29" s="148"/>
      <c r="H29" s="148"/>
      <c r="I29" s="148"/>
    </row>
    <row r="30" spans="1:9" ht="15">
      <c r="A30" s="148"/>
      <c r="B30" s="148"/>
      <c r="C30" s="148"/>
      <c r="D30" s="148"/>
      <c r="E30" s="148"/>
      <c r="F30" s="148"/>
      <c r="G30" s="148"/>
      <c r="H30" s="148"/>
      <c r="I30" s="148"/>
    </row>
    <row r="31" spans="1:9" ht="15">
      <c r="A31" s="148"/>
      <c r="B31" s="148"/>
      <c r="C31" s="148"/>
      <c r="D31" s="148"/>
      <c r="E31" s="148"/>
      <c r="F31" s="148"/>
      <c r="G31" s="148"/>
      <c r="H31" s="148"/>
      <c r="I31" s="148"/>
    </row>
  </sheetData>
  <mergeCells count="2">
    <mergeCell ref="D17:F17"/>
    <mergeCell ref="D23:F23"/>
  </mergeCells>
  <phoneticPr fontId="30" type="noConversion"/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1"/>
  <dimension ref="A1:I41"/>
  <sheetViews>
    <sheetView workbookViewId="0"/>
  </sheetViews>
  <sheetFormatPr defaultRowHeight="12.75"/>
  <cols>
    <col min="2" max="2" width="3.28515625" customWidth="1"/>
    <col min="3" max="3" width="22.7109375" customWidth="1"/>
    <col min="4" max="4" width="16.85546875" customWidth="1"/>
    <col min="5" max="5" width="3.7109375" customWidth="1"/>
    <col min="6" max="6" width="14.7109375" customWidth="1"/>
    <col min="7" max="7" width="17.7109375" customWidth="1"/>
    <col min="8" max="8" width="3.140625" customWidth="1"/>
  </cols>
  <sheetData>
    <row r="1" spans="1:9" ht="18">
      <c r="A1" s="1"/>
      <c r="B1" s="1"/>
      <c r="C1" s="136" t="s">
        <v>222</v>
      </c>
      <c r="D1" s="1"/>
      <c r="E1" s="1"/>
      <c r="F1" s="1"/>
      <c r="G1" s="1"/>
      <c r="H1" s="1"/>
      <c r="I1" s="1"/>
    </row>
    <row r="2" spans="1:9" ht="15">
      <c r="A2" s="1"/>
      <c r="B2" s="1"/>
      <c r="C2" s="1" t="s">
        <v>228</v>
      </c>
      <c r="D2" s="1"/>
      <c r="E2" s="1"/>
      <c r="F2" s="1"/>
      <c r="G2" s="1"/>
      <c r="H2" s="1"/>
      <c r="I2" s="1"/>
    </row>
    <row r="3" spans="1:9" ht="15">
      <c r="A3" s="1"/>
      <c r="B3" s="1"/>
      <c r="C3" s="1"/>
      <c r="D3" s="1"/>
      <c r="E3" s="1"/>
      <c r="F3" s="1"/>
      <c r="G3" s="1"/>
      <c r="H3" s="1"/>
      <c r="I3" s="1"/>
    </row>
    <row r="4" spans="1:9" ht="15">
      <c r="A4" s="1"/>
      <c r="B4" s="1"/>
      <c r="C4" s="3" t="s">
        <v>1</v>
      </c>
      <c r="D4" s="1"/>
      <c r="E4" s="1"/>
      <c r="F4" s="1"/>
      <c r="G4" s="1"/>
      <c r="H4" s="1"/>
    </row>
    <row r="5" spans="1:9" ht="15.75" thickBot="1">
      <c r="A5" s="1"/>
      <c r="B5" s="1"/>
      <c r="C5" s="1"/>
      <c r="D5" s="1"/>
      <c r="E5" s="1"/>
      <c r="F5" s="1"/>
      <c r="G5" s="1"/>
      <c r="H5" s="1"/>
    </row>
    <row r="6" spans="1:9" ht="15">
      <c r="A6" s="1"/>
      <c r="B6" s="4"/>
      <c r="C6" s="5"/>
      <c r="D6" s="5"/>
      <c r="E6" s="6"/>
      <c r="F6" s="1"/>
      <c r="G6" s="1"/>
      <c r="H6" s="1"/>
    </row>
    <row r="7" spans="1:9" ht="15">
      <c r="A7" s="1"/>
      <c r="B7" s="33"/>
      <c r="C7" s="8" t="s">
        <v>160</v>
      </c>
      <c r="D7" s="34">
        <v>2000000</v>
      </c>
      <c r="E7" s="10"/>
      <c r="F7" s="1"/>
      <c r="G7" s="1"/>
      <c r="H7" s="1"/>
    </row>
    <row r="8" spans="1:9" ht="15">
      <c r="A8" s="1"/>
      <c r="B8" s="33"/>
      <c r="C8" s="8" t="s">
        <v>161</v>
      </c>
      <c r="D8" s="72">
        <v>900000</v>
      </c>
      <c r="E8" s="10"/>
      <c r="F8" s="1"/>
      <c r="G8" s="1"/>
      <c r="H8" s="1"/>
    </row>
    <row r="9" spans="1:9" ht="15">
      <c r="A9" s="1"/>
      <c r="B9" s="33"/>
      <c r="C9" s="8" t="s">
        <v>142</v>
      </c>
      <c r="D9" s="72">
        <v>3</v>
      </c>
      <c r="E9" s="10"/>
      <c r="F9" s="1"/>
      <c r="G9" s="1"/>
      <c r="H9" s="1"/>
    </row>
    <row r="10" spans="1:9" ht="15">
      <c r="A10" s="1"/>
      <c r="B10" s="33"/>
      <c r="C10" s="8" t="s">
        <v>143</v>
      </c>
      <c r="D10" s="73">
        <v>0.1</v>
      </c>
      <c r="E10" s="10"/>
      <c r="F10" s="1"/>
      <c r="G10" s="1"/>
      <c r="H10" s="1"/>
    </row>
    <row r="11" spans="1:9" ht="15">
      <c r="A11" s="1"/>
      <c r="B11" s="33"/>
      <c r="C11" s="8" t="s">
        <v>144</v>
      </c>
      <c r="D11" s="95">
        <v>0.5</v>
      </c>
      <c r="E11" s="10"/>
      <c r="F11" s="1"/>
      <c r="G11" s="1"/>
      <c r="H11" s="1"/>
    </row>
    <row r="12" spans="1:9" ht="15">
      <c r="A12" s="1"/>
      <c r="B12" s="33"/>
      <c r="C12" s="8" t="s">
        <v>162</v>
      </c>
      <c r="D12" s="73">
        <v>7.0000000000000007E-2</v>
      </c>
      <c r="E12" s="10"/>
      <c r="F12" s="1"/>
      <c r="G12" s="1"/>
      <c r="H12" s="1"/>
    </row>
    <row r="13" spans="1:9" ht="15">
      <c r="A13" s="1"/>
      <c r="B13" s="33"/>
      <c r="C13" s="8" t="s">
        <v>163</v>
      </c>
      <c r="D13" s="73">
        <v>0.05</v>
      </c>
      <c r="E13" s="10"/>
      <c r="F13" s="1"/>
      <c r="G13" s="1"/>
      <c r="H13" s="1"/>
    </row>
    <row r="14" spans="1:9" ht="15.75" thickBot="1">
      <c r="A14" s="1"/>
      <c r="B14" s="15"/>
      <c r="C14" s="16"/>
      <c r="D14" s="16"/>
      <c r="E14" s="17"/>
      <c r="F14" s="1"/>
      <c r="G14" s="1"/>
      <c r="H14" s="1"/>
    </row>
    <row r="15" spans="1:9" ht="15">
      <c r="A15" s="1"/>
      <c r="B15" s="107"/>
      <c r="C15" s="107"/>
      <c r="D15" s="107"/>
      <c r="E15" s="107"/>
      <c r="F15" s="1"/>
      <c r="G15" s="1"/>
      <c r="H15" s="1"/>
    </row>
    <row r="16" spans="1:9" ht="15">
      <c r="A16" s="1"/>
      <c r="B16" s="1"/>
      <c r="C16" s="3" t="s">
        <v>8</v>
      </c>
      <c r="D16" s="1"/>
      <c r="E16" s="1"/>
      <c r="F16" s="1"/>
      <c r="G16" s="1"/>
      <c r="H16" s="1"/>
      <c r="I16" s="1"/>
    </row>
    <row r="17" spans="1:9" ht="15.75" thickBot="1">
      <c r="A17" s="1"/>
      <c r="B17" s="1"/>
      <c r="C17" s="1"/>
      <c r="D17" s="1"/>
      <c r="E17" s="1"/>
      <c r="F17" s="1"/>
      <c r="G17" s="1"/>
      <c r="H17" s="1"/>
      <c r="I17" s="1"/>
    </row>
    <row r="18" spans="1:9" ht="15">
      <c r="A18" s="1"/>
      <c r="B18" s="18"/>
      <c r="C18" s="19"/>
      <c r="D18" s="19"/>
      <c r="E18" s="19"/>
      <c r="F18" s="19"/>
      <c r="G18" s="19"/>
      <c r="H18" s="20"/>
      <c r="I18" s="1"/>
    </row>
    <row r="19" spans="1:9" ht="19.5">
      <c r="A19" s="1"/>
      <c r="B19" s="21" t="s">
        <v>2</v>
      </c>
      <c r="C19" s="22" t="s">
        <v>244</v>
      </c>
      <c r="D19" s="22"/>
      <c r="E19" s="22"/>
      <c r="F19" s="22"/>
      <c r="G19" s="22"/>
      <c r="H19" s="23"/>
      <c r="I19" s="1"/>
    </row>
    <row r="20" spans="1:9" ht="15">
      <c r="A20" s="1"/>
      <c r="B20" s="21"/>
      <c r="C20" s="22"/>
      <c r="D20" s="22"/>
      <c r="E20" s="22"/>
      <c r="F20" s="22"/>
      <c r="G20" s="22"/>
      <c r="H20" s="23"/>
      <c r="I20" s="1"/>
    </row>
    <row r="21" spans="1:9" ht="20.25">
      <c r="A21" s="1"/>
      <c r="B21" s="21" t="s">
        <v>4</v>
      </c>
      <c r="C21" s="22" t="s">
        <v>164</v>
      </c>
      <c r="D21" s="22"/>
      <c r="E21" s="22"/>
      <c r="F21" s="22"/>
      <c r="G21" s="22"/>
      <c r="H21" s="23"/>
      <c r="I21" s="1"/>
    </row>
    <row r="22" spans="1:9" ht="15">
      <c r="A22" s="1"/>
      <c r="B22" s="21"/>
      <c r="C22" s="108"/>
      <c r="D22" s="22"/>
      <c r="E22" s="22"/>
      <c r="F22" s="22"/>
      <c r="G22" s="22"/>
      <c r="H22" s="23"/>
      <c r="I22" s="1"/>
    </row>
    <row r="23" spans="1:9" ht="20.25">
      <c r="A23" s="1"/>
      <c r="B23" s="21" t="s">
        <v>5</v>
      </c>
      <c r="C23" s="22" t="s">
        <v>165</v>
      </c>
      <c r="D23" s="22"/>
      <c r="E23" s="22"/>
      <c r="F23" s="22"/>
      <c r="G23" s="22"/>
      <c r="H23" s="23"/>
      <c r="I23" s="1"/>
    </row>
    <row r="24" spans="1:9" ht="15">
      <c r="A24" s="1"/>
      <c r="B24" s="21"/>
      <c r="C24" s="22"/>
      <c r="D24" s="22"/>
      <c r="E24" s="22"/>
      <c r="F24" s="22"/>
      <c r="G24" s="22"/>
      <c r="H24" s="23"/>
      <c r="I24" s="1"/>
    </row>
    <row r="25" spans="1:9" ht="15">
      <c r="A25" s="1"/>
      <c r="B25" s="21" t="s">
        <v>12</v>
      </c>
      <c r="C25" s="109" t="s">
        <v>166</v>
      </c>
      <c r="D25" s="22"/>
      <c r="E25" s="22"/>
      <c r="F25" s="22"/>
      <c r="G25" s="22"/>
      <c r="H25" s="23"/>
      <c r="I25" s="1"/>
    </row>
    <row r="26" spans="1:9" ht="19.5">
      <c r="A26" s="1"/>
      <c r="B26" s="21"/>
      <c r="C26" s="110" t="s">
        <v>151</v>
      </c>
      <c r="D26" s="96" t="s">
        <v>167</v>
      </c>
      <c r="E26" s="96"/>
      <c r="F26" s="96" t="s">
        <v>168</v>
      </c>
      <c r="G26" s="96" t="s">
        <v>154</v>
      </c>
      <c r="H26" s="23"/>
      <c r="I26" s="1"/>
    </row>
    <row r="27" spans="1:9" ht="15">
      <c r="A27" s="1"/>
      <c r="B27" s="21"/>
      <c r="C27" s="111">
        <v>0</v>
      </c>
      <c r="D27" s="112">
        <f>-D7</f>
        <v>-2000000</v>
      </c>
      <c r="E27" s="41"/>
      <c r="F27" s="99">
        <f>D11</f>
        <v>0.5</v>
      </c>
      <c r="G27" s="100">
        <f>D27/F27</f>
        <v>-4000000</v>
      </c>
      <c r="H27" s="23"/>
      <c r="I27" s="1"/>
    </row>
    <row r="28" spans="1:9" ht="15">
      <c r="A28" s="1"/>
      <c r="B28" s="21"/>
      <c r="C28" s="111">
        <v>1</v>
      </c>
      <c r="D28" s="113">
        <f>$D$8</f>
        <v>900000</v>
      </c>
      <c r="E28" s="41"/>
      <c r="F28" s="99">
        <f>$D$11*(((1+$D$12)/(1+$D$13))^C28)</f>
        <v>0.50952380952380949</v>
      </c>
      <c r="G28" s="102">
        <f>D28/F28</f>
        <v>1766355.1401869161</v>
      </c>
      <c r="H28" s="23"/>
      <c r="I28" s="1"/>
    </row>
    <row r="29" spans="1:9" ht="15">
      <c r="A29" s="1"/>
      <c r="B29" s="21"/>
      <c r="C29" s="111">
        <v>2</v>
      </c>
      <c r="D29" s="113">
        <f>$D$8</f>
        <v>900000</v>
      </c>
      <c r="E29" s="41"/>
      <c r="F29" s="99">
        <f>$D$11*(((1+$D$12)/(1+$D$13))^C29)</f>
        <v>0.51922902494331058</v>
      </c>
      <c r="G29" s="102">
        <f>D29/F29</f>
        <v>1733339.1562581887</v>
      </c>
      <c r="H29" s="23"/>
      <c r="I29" s="1"/>
    </row>
    <row r="30" spans="1:9" ht="15">
      <c r="A30" s="1"/>
      <c r="B30" s="21"/>
      <c r="C30" s="111">
        <v>3</v>
      </c>
      <c r="D30" s="113">
        <f>$D$8</f>
        <v>900000</v>
      </c>
      <c r="E30" s="41"/>
      <c r="F30" s="99">
        <f>$D$11*(((1+$D$12)/(1+$D$13))^C30)</f>
        <v>0.52911910160889741</v>
      </c>
      <c r="G30" s="102">
        <f>D30/F30</f>
        <v>1700940.293524391</v>
      </c>
      <c r="H30" s="23"/>
      <c r="I30" s="1"/>
    </row>
    <row r="31" spans="1:9" ht="15.75">
      <c r="A31" s="1"/>
      <c r="B31" s="21"/>
      <c r="C31" s="22" t="s">
        <v>169</v>
      </c>
      <c r="D31" s="69"/>
      <c r="E31" s="22"/>
      <c r="F31" s="22"/>
      <c r="G31" s="103">
        <f>NPV(D10,G28:G30)+G27</f>
        <v>316230.71753160469</v>
      </c>
      <c r="H31" s="23"/>
      <c r="I31" s="1"/>
    </row>
    <row r="32" spans="1:9" ht="15.75">
      <c r="A32" s="1"/>
      <c r="B32" s="21"/>
      <c r="C32" s="22"/>
      <c r="D32" s="69"/>
      <c r="E32" s="22"/>
      <c r="F32" s="22"/>
      <c r="G32" s="22"/>
      <c r="H32" s="23"/>
      <c r="I32" s="1"/>
    </row>
    <row r="33" spans="1:9" ht="15.75">
      <c r="A33" s="1"/>
      <c r="B33" s="21"/>
      <c r="C33" s="109" t="s">
        <v>170</v>
      </c>
      <c r="D33" s="69"/>
      <c r="E33" s="22"/>
      <c r="F33" s="22"/>
      <c r="G33" s="22"/>
      <c r="H33" s="23"/>
      <c r="I33" s="1"/>
    </row>
    <row r="34" spans="1:9" ht="19.5">
      <c r="A34" s="1"/>
      <c r="B34" s="21"/>
      <c r="C34" s="114" t="s">
        <v>171</v>
      </c>
      <c r="D34" s="90">
        <f>((1+D10)*((1+D12)/(1+D13)))-1</f>
        <v>0.12095238095238092</v>
      </c>
      <c r="E34" s="22"/>
      <c r="F34" s="22"/>
      <c r="G34" s="22"/>
      <c r="H34" s="23"/>
      <c r="I34" s="1"/>
    </row>
    <row r="35" spans="1:9" ht="15.75">
      <c r="A35" s="1"/>
      <c r="B35" s="21"/>
      <c r="C35" s="114" t="s">
        <v>172</v>
      </c>
      <c r="D35" s="115">
        <f>NPV(D34,D28:D30)+D27</f>
        <v>158115.35876580281</v>
      </c>
      <c r="E35" s="22"/>
      <c r="F35" s="22"/>
      <c r="G35" s="22"/>
      <c r="H35" s="23"/>
      <c r="I35" s="1"/>
    </row>
    <row r="36" spans="1:9" ht="15.75">
      <c r="A36" s="1"/>
      <c r="B36" s="21"/>
      <c r="C36" s="114" t="s">
        <v>173</v>
      </c>
      <c r="D36" s="66">
        <f>D35/D11</f>
        <v>316230.71753160562</v>
      </c>
      <c r="E36" s="22"/>
      <c r="F36" s="22"/>
      <c r="G36" s="22"/>
      <c r="H36" s="23"/>
      <c r="I36" s="1"/>
    </row>
    <row r="37" spans="1:9" ht="15.75" thickBot="1">
      <c r="A37" s="1"/>
      <c r="B37" s="106"/>
      <c r="C37" s="31"/>
      <c r="D37" s="31"/>
      <c r="E37" s="31"/>
      <c r="F37" s="31"/>
      <c r="G37" s="31"/>
      <c r="H37" s="32"/>
      <c r="I37" s="1"/>
    </row>
    <row r="38" spans="1:9" ht="15">
      <c r="A38" s="1"/>
      <c r="B38" s="1"/>
      <c r="C38" s="1"/>
      <c r="D38" s="1"/>
      <c r="E38" s="1"/>
      <c r="F38" s="1"/>
      <c r="G38" s="1"/>
      <c r="H38" s="1"/>
      <c r="I38" s="1"/>
    </row>
    <row r="39" spans="1:9" ht="15">
      <c r="A39" s="1"/>
      <c r="B39" s="1"/>
      <c r="C39" s="1"/>
      <c r="D39" s="1"/>
      <c r="E39" s="1"/>
      <c r="F39" s="1"/>
      <c r="G39" s="1"/>
      <c r="H39" s="1"/>
      <c r="I39" s="1"/>
    </row>
    <row r="40" spans="1:9" ht="15">
      <c r="A40" s="1"/>
      <c r="B40" s="1"/>
      <c r="C40" s="1"/>
      <c r="D40" s="1"/>
      <c r="E40" s="1"/>
      <c r="F40" s="1"/>
      <c r="G40" s="1"/>
      <c r="H40" s="1"/>
      <c r="I40" s="1"/>
    </row>
    <row r="41" spans="1:9" ht="15">
      <c r="A41" s="1"/>
      <c r="B41" s="1"/>
      <c r="C41" s="1"/>
      <c r="D41" s="1"/>
      <c r="E41" s="1"/>
      <c r="F41" s="1"/>
      <c r="G41" s="1"/>
      <c r="H41" s="1"/>
      <c r="I41" s="1"/>
    </row>
  </sheetData>
  <phoneticPr fontId="8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3"/>
  <dimension ref="A1:F47"/>
  <sheetViews>
    <sheetView workbookViewId="0"/>
  </sheetViews>
  <sheetFormatPr defaultRowHeight="12.75"/>
  <cols>
    <col min="2" max="2" width="3.140625" customWidth="1"/>
    <col min="3" max="3" width="18.140625" customWidth="1"/>
    <col min="4" max="4" width="21.85546875" customWidth="1"/>
    <col min="5" max="5" width="4.28515625" customWidth="1"/>
    <col min="6" max="6" width="6.85546875" customWidth="1"/>
  </cols>
  <sheetData>
    <row r="1" spans="1:6" ht="17.25" customHeight="1">
      <c r="A1" s="1"/>
      <c r="B1" s="1"/>
      <c r="C1" s="136" t="s">
        <v>222</v>
      </c>
      <c r="D1" s="1"/>
      <c r="E1" s="1"/>
    </row>
    <row r="2" spans="1:6" ht="15.75" customHeight="1">
      <c r="A2" s="1"/>
      <c r="B2" s="1"/>
      <c r="C2" s="1" t="s">
        <v>0</v>
      </c>
      <c r="D2" s="1"/>
      <c r="E2" s="1"/>
    </row>
    <row r="3" spans="1:6" ht="15.75" customHeight="1">
      <c r="A3" s="1"/>
      <c r="B3" s="1"/>
      <c r="C3" s="1"/>
      <c r="D3" s="1"/>
      <c r="E3" s="1"/>
    </row>
    <row r="4" spans="1:6" ht="15.75" customHeight="1">
      <c r="A4" s="1"/>
      <c r="B4" s="1"/>
      <c r="C4" s="3" t="s">
        <v>1</v>
      </c>
      <c r="D4" s="1"/>
      <c r="E4" s="1"/>
    </row>
    <row r="5" spans="1:6" ht="15.75" customHeight="1" thickBot="1">
      <c r="A5" s="1"/>
      <c r="B5" s="1"/>
      <c r="C5" s="1"/>
      <c r="D5" s="1"/>
      <c r="E5" s="1"/>
    </row>
    <row r="6" spans="1:6" ht="15.75" customHeight="1">
      <c r="A6" s="1"/>
      <c r="B6" s="4"/>
      <c r="C6" s="5"/>
      <c r="D6" s="5"/>
      <c r="E6" s="6"/>
    </row>
    <row r="7" spans="1:6" ht="15.75" customHeight="1">
      <c r="A7" s="1"/>
      <c r="B7" s="7" t="s">
        <v>2</v>
      </c>
      <c r="C7" s="8" t="s">
        <v>3</v>
      </c>
      <c r="D7" s="9">
        <v>100</v>
      </c>
      <c r="E7" s="10"/>
    </row>
    <row r="8" spans="1:6" ht="15.75" customHeight="1">
      <c r="A8" s="1"/>
      <c r="B8" s="7"/>
      <c r="C8" s="8" t="s">
        <v>246</v>
      </c>
      <c r="D8" s="11">
        <v>0.73099999999999998</v>
      </c>
      <c r="E8" s="10"/>
    </row>
    <row r="9" spans="1:6" ht="15.75" customHeight="1">
      <c r="A9" s="1"/>
      <c r="B9" s="7" t="s">
        <v>4</v>
      </c>
      <c r="C9" s="8" t="s">
        <v>245</v>
      </c>
      <c r="D9" s="12">
        <v>1.3678999999999999</v>
      </c>
      <c r="E9" s="10"/>
    </row>
    <row r="10" spans="1:6" ht="15.75" customHeight="1">
      <c r="A10" s="1"/>
      <c r="B10" s="7" t="s">
        <v>5</v>
      </c>
      <c r="C10" s="8" t="s">
        <v>6</v>
      </c>
      <c r="D10" s="13">
        <v>5000000</v>
      </c>
      <c r="E10" s="10"/>
    </row>
    <row r="11" spans="1:6" ht="15.75" customHeight="1">
      <c r="A11" s="1"/>
      <c r="B11" s="7" t="s">
        <v>7</v>
      </c>
      <c r="C11" s="8" t="s">
        <v>184</v>
      </c>
      <c r="D11" s="14">
        <v>12.853300000000001</v>
      </c>
      <c r="E11" s="10"/>
    </row>
    <row r="12" spans="1:6" ht="15.75" customHeight="1" thickBot="1">
      <c r="A12" s="1"/>
      <c r="B12" s="15"/>
      <c r="C12" s="16"/>
      <c r="D12" s="16"/>
      <c r="E12" s="17"/>
    </row>
    <row r="13" spans="1:6" ht="15.75" customHeight="1">
      <c r="A13" s="1"/>
      <c r="B13" s="1"/>
      <c r="C13" s="1"/>
      <c r="D13" s="1"/>
      <c r="E13" s="1"/>
    </row>
    <row r="14" spans="1:6" ht="15.75" customHeight="1">
      <c r="A14" s="1"/>
      <c r="B14" s="1"/>
      <c r="C14" s="3" t="s">
        <v>8</v>
      </c>
      <c r="D14" s="1"/>
      <c r="E14" s="1"/>
    </row>
    <row r="15" spans="1:6" ht="15.75" customHeight="1" thickBot="1">
      <c r="A15" s="1"/>
      <c r="B15" s="1"/>
      <c r="C15" s="1"/>
      <c r="D15" s="1"/>
      <c r="E15" s="1"/>
    </row>
    <row r="16" spans="1:6" ht="15.75" customHeight="1">
      <c r="A16" s="1"/>
      <c r="B16" s="18"/>
      <c r="C16" s="19"/>
      <c r="D16" s="19"/>
      <c r="E16" s="19"/>
      <c r="F16" s="20"/>
    </row>
    <row r="17" spans="1:6" ht="15.75" customHeight="1">
      <c r="A17" s="1"/>
      <c r="B17" s="21" t="s">
        <v>2</v>
      </c>
      <c r="C17" s="22" t="s">
        <v>9</v>
      </c>
      <c r="D17" s="185">
        <f>D7*D8</f>
        <v>73.099999999999994</v>
      </c>
      <c r="E17" s="116"/>
      <c r="F17" s="23"/>
    </row>
    <row r="18" spans="1:6" ht="15.75" customHeight="1">
      <c r="A18" s="1"/>
      <c r="B18" s="21" t="s">
        <v>4</v>
      </c>
      <c r="C18" s="22" t="s">
        <v>10</v>
      </c>
      <c r="D18" s="24">
        <f>D9</f>
        <v>1.3678999999999999</v>
      </c>
      <c r="E18" s="117"/>
      <c r="F18" s="23"/>
    </row>
    <row r="19" spans="1:6" ht="15.75" customHeight="1">
      <c r="A19" s="1"/>
      <c r="B19" s="21" t="s">
        <v>5</v>
      </c>
      <c r="C19" s="22" t="s">
        <v>11</v>
      </c>
      <c r="D19" s="25">
        <f>D10*D9</f>
        <v>6839499.9999999991</v>
      </c>
      <c r="E19" s="118"/>
      <c r="F19" s="23"/>
    </row>
    <row r="20" spans="1:6" ht="15.75" customHeight="1">
      <c r="A20" s="1"/>
      <c r="B20" s="21" t="s">
        <v>12</v>
      </c>
      <c r="C20" s="22" t="s">
        <v>13</v>
      </c>
      <c r="D20" s="186" t="s">
        <v>249</v>
      </c>
      <c r="E20" s="119"/>
      <c r="F20" s="23"/>
    </row>
    <row r="21" spans="1:6" ht="15.75" customHeight="1">
      <c r="A21" s="1"/>
      <c r="B21" s="21" t="s">
        <v>14</v>
      </c>
      <c r="C21" s="22" t="s">
        <v>13</v>
      </c>
      <c r="D21" s="26" t="s">
        <v>15</v>
      </c>
      <c r="E21" s="119"/>
      <c r="F21" s="23"/>
    </row>
    <row r="22" spans="1:6" ht="15.75" customHeight="1">
      <c r="A22" s="1"/>
      <c r="B22" s="21" t="s">
        <v>7</v>
      </c>
      <c r="C22" s="22" t="s">
        <v>185</v>
      </c>
      <c r="D22" s="27">
        <f>D11*D9</f>
        <v>17.582029070000001</v>
      </c>
      <c r="E22" s="120"/>
      <c r="F22" s="23"/>
    </row>
    <row r="23" spans="1:6" ht="15.75" customHeight="1">
      <c r="A23" s="1"/>
      <c r="B23" s="21"/>
      <c r="C23" s="22" t="s">
        <v>16</v>
      </c>
      <c r="D23" s="28"/>
      <c r="E23" s="28"/>
      <c r="F23" s="23"/>
    </row>
    <row r="24" spans="1:6" ht="15.75" customHeight="1">
      <c r="A24" s="1"/>
      <c r="B24" s="21" t="s">
        <v>17</v>
      </c>
      <c r="C24" s="22" t="s">
        <v>247</v>
      </c>
      <c r="D24" s="22"/>
      <c r="E24" s="22"/>
      <c r="F24" s="29"/>
    </row>
    <row r="25" spans="1:6" ht="15.75" customHeight="1">
      <c r="A25" s="1"/>
      <c r="B25" s="21"/>
      <c r="C25" s="22" t="s">
        <v>248</v>
      </c>
      <c r="D25" s="22"/>
      <c r="E25" s="22"/>
      <c r="F25" s="23"/>
    </row>
    <row r="26" spans="1:6" ht="15.75" customHeight="1" thickBot="1">
      <c r="A26" s="1"/>
      <c r="B26" s="30"/>
      <c r="C26" s="31"/>
      <c r="D26" s="31"/>
      <c r="E26" s="31"/>
      <c r="F26" s="32"/>
    </row>
    <row r="27" spans="1:6" ht="15.75" customHeight="1">
      <c r="A27" s="1"/>
      <c r="B27" s="1"/>
      <c r="C27" s="1"/>
      <c r="D27" s="1"/>
      <c r="E27" s="1"/>
    </row>
    <row r="28" spans="1:6" ht="15.75" customHeight="1">
      <c r="A28" s="1"/>
      <c r="B28" s="1"/>
      <c r="C28" s="1"/>
      <c r="D28" s="1"/>
      <c r="E28" s="1"/>
    </row>
    <row r="29" spans="1:6" ht="15.75" customHeight="1"/>
    <row r="30" spans="1:6" ht="15.75" customHeight="1"/>
    <row r="31" spans="1:6" ht="15.75" customHeight="1"/>
    <row r="32" spans="1:6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</sheetData>
  <phoneticPr fontId="8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4"/>
  <dimension ref="A1:E25"/>
  <sheetViews>
    <sheetView workbookViewId="0"/>
  </sheetViews>
  <sheetFormatPr defaultRowHeight="12.75"/>
  <cols>
    <col min="2" max="2" width="3.140625" customWidth="1"/>
    <col min="3" max="3" width="18.5703125" bestFit="1" customWidth="1"/>
    <col min="4" max="4" width="12.85546875" customWidth="1"/>
    <col min="5" max="5" width="3.140625" customWidth="1"/>
  </cols>
  <sheetData>
    <row r="1" spans="1:5" ht="18">
      <c r="A1" s="1"/>
      <c r="B1" s="1"/>
      <c r="C1" s="136" t="s">
        <v>222</v>
      </c>
      <c r="D1" s="1"/>
      <c r="E1" s="1"/>
    </row>
    <row r="2" spans="1:5" ht="15">
      <c r="A2" s="1"/>
      <c r="B2" s="1"/>
      <c r="C2" s="1" t="s">
        <v>18</v>
      </c>
      <c r="D2" s="1"/>
      <c r="E2" s="1"/>
    </row>
    <row r="3" spans="1:5" ht="15">
      <c r="A3" s="1"/>
      <c r="B3" s="1"/>
      <c r="C3" s="1"/>
      <c r="D3" s="1"/>
      <c r="E3" s="1"/>
    </row>
    <row r="4" spans="1:5" ht="15">
      <c r="A4" s="1"/>
      <c r="B4" s="1"/>
      <c r="C4" s="3" t="s">
        <v>1</v>
      </c>
      <c r="D4" s="1"/>
      <c r="E4" s="1"/>
    </row>
    <row r="5" spans="1:5" ht="15.75" thickBot="1">
      <c r="A5" s="1"/>
      <c r="B5" s="1"/>
      <c r="C5" s="1"/>
      <c r="D5" s="1"/>
      <c r="E5" s="1"/>
    </row>
    <row r="6" spans="1:5" ht="15">
      <c r="A6" s="1"/>
      <c r="B6" s="4"/>
      <c r="C6" s="5"/>
      <c r="D6" s="5"/>
      <c r="E6" s="6"/>
    </row>
    <row r="7" spans="1:5" ht="15">
      <c r="A7" s="1"/>
      <c r="B7" s="33"/>
      <c r="C7" s="8" t="s">
        <v>186</v>
      </c>
      <c r="D7" s="34">
        <v>100</v>
      </c>
      <c r="E7" s="10"/>
    </row>
    <row r="8" spans="1:5" ht="15">
      <c r="A8" s="1"/>
      <c r="B8" s="33"/>
      <c r="C8" s="8" t="s">
        <v>19</v>
      </c>
      <c r="D8" s="35">
        <v>100</v>
      </c>
      <c r="E8" s="10"/>
    </row>
    <row r="9" spans="1:5" ht="15">
      <c r="A9" s="1"/>
      <c r="B9" s="33"/>
      <c r="C9" s="8" t="s">
        <v>20</v>
      </c>
      <c r="D9" s="9">
        <v>100</v>
      </c>
      <c r="E9" s="10"/>
    </row>
    <row r="10" spans="1:5" ht="15">
      <c r="A10" s="1"/>
      <c r="B10" s="33"/>
      <c r="C10" s="8" t="s">
        <v>187</v>
      </c>
      <c r="D10" s="36">
        <v>0.87990000000000002</v>
      </c>
      <c r="E10" s="10"/>
    </row>
    <row r="11" spans="1:5" ht="15">
      <c r="A11" s="1"/>
      <c r="B11" s="33"/>
      <c r="C11" s="8" t="s">
        <v>250</v>
      </c>
      <c r="D11" s="12">
        <v>1.5862000000000001</v>
      </c>
      <c r="E11" s="10"/>
    </row>
    <row r="12" spans="1:5" ht="15.75" thickBot="1">
      <c r="A12" s="1"/>
      <c r="B12" s="15"/>
      <c r="C12" s="16"/>
      <c r="D12" s="16"/>
      <c r="E12" s="17"/>
    </row>
    <row r="13" spans="1:5" ht="15">
      <c r="A13" s="1"/>
      <c r="B13" s="1"/>
      <c r="C13" s="1"/>
      <c r="D13" s="1"/>
      <c r="E13" s="1"/>
    </row>
    <row r="14" spans="1:5" ht="15">
      <c r="A14" s="1"/>
      <c r="B14" s="1"/>
      <c r="C14" s="3" t="s">
        <v>8</v>
      </c>
      <c r="D14" s="1"/>
      <c r="E14" s="1"/>
    </row>
    <row r="15" spans="1:5" ht="15.75" thickBot="1">
      <c r="A15" s="1"/>
      <c r="B15" s="1"/>
      <c r="C15" s="1"/>
      <c r="D15" s="1"/>
      <c r="E15" s="1"/>
    </row>
    <row r="16" spans="1:5" ht="15">
      <c r="A16" s="1"/>
      <c r="B16" s="18"/>
      <c r="C16" s="19"/>
      <c r="D16" s="19"/>
      <c r="E16" s="20"/>
    </row>
    <row r="17" spans="1:5" ht="15.75">
      <c r="A17" s="1"/>
      <c r="B17" s="37"/>
      <c r="C17" s="22" t="s">
        <v>21</v>
      </c>
      <c r="D17" s="38">
        <f>D8*D11</f>
        <v>158.62</v>
      </c>
      <c r="E17" s="23"/>
    </row>
    <row r="18" spans="1:5" ht="15.75">
      <c r="A18" s="1"/>
      <c r="B18" s="37"/>
      <c r="C18" s="22" t="s">
        <v>188</v>
      </c>
      <c r="D18" s="39">
        <f>D8*D11*D10</f>
        <v>139.569738</v>
      </c>
      <c r="E18" s="23"/>
    </row>
    <row r="19" spans="1:5" ht="15.75">
      <c r="A19" s="1"/>
      <c r="B19" s="37"/>
      <c r="C19" s="22" t="s">
        <v>189</v>
      </c>
      <c r="D19" s="39">
        <f>D11*D10</f>
        <v>1.3956973800000001</v>
      </c>
      <c r="E19" s="23"/>
    </row>
    <row r="20" spans="1:5" ht="15.75">
      <c r="A20" s="1"/>
      <c r="B20" s="37"/>
      <c r="C20" s="22" t="s">
        <v>190</v>
      </c>
      <c r="D20" s="39">
        <f>1/D19</f>
        <v>0.71648769592159001</v>
      </c>
      <c r="E20" s="23"/>
    </row>
    <row r="21" spans="1:5" ht="15.75" thickBot="1">
      <c r="A21" s="1"/>
      <c r="B21" s="30"/>
      <c r="C21" s="31"/>
      <c r="D21" s="31"/>
      <c r="E21" s="32"/>
    </row>
    <row r="22" spans="1:5" ht="15">
      <c r="A22" s="1"/>
      <c r="B22" s="1"/>
      <c r="C22" s="1"/>
      <c r="D22" s="1"/>
      <c r="E22" s="1"/>
    </row>
    <row r="23" spans="1:5" ht="15">
      <c r="A23" s="1"/>
      <c r="B23" s="1"/>
      <c r="C23" s="1"/>
      <c r="D23" s="1"/>
      <c r="E23" s="1"/>
    </row>
    <row r="24" spans="1:5" ht="15">
      <c r="A24" s="1"/>
      <c r="B24" s="1"/>
      <c r="C24" s="1"/>
      <c r="D24" s="1"/>
      <c r="E24" s="1"/>
    </row>
    <row r="25" spans="1:5" ht="15">
      <c r="A25" s="1"/>
      <c r="B25" s="1"/>
      <c r="C25" s="1"/>
      <c r="D25" s="1"/>
      <c r="E25" s="1"/>
    </row>
  </sheetData>
  <phoneticPr fontId="8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15"/>
  <dimension ref="A1:F31"/>
  <sheetViews>
    <sheetView workbookViewId="0"/>
  </sheetViews>
  <sheetFormatPr defaultRowHeight="12.75"/>
  <cols>
    <col min="2" max="2" width="3.140625" customWidth="1"/>
    <col min="3" max="3" width="23.28515625" customWidth="1"/>
    <col min="4" max="4" width="12.7109375" customWidth="1"/>
    <col min="5" max="5" width="15.5703125" customWidth="1"/>
    <col min="6" max="6" width="3.140625" customWidth="1"/>
  </cols>
  <sheetData>
    <row r="1" spans="1:6" ht="18">
      <c r="A1" s="1"/>
      <c r="B1" s="1"/>
      <c r="C1" s="136" t="s">
        <v>222</v>
      </c>
      <c r="D1" s="2"/>
      <c r="E1" s="1"/>
      <c r="F1" s="1"/>
    </row>
    <row r="2" spans="1:6" ht="15">
      <c r="A2" s="1"/>
      <c r="B2" s="1"/>
      <c r="C2" s="1" t="s">
        <v>22</v>
      </c>
      <c r="D2" s="1"/>
      <c r="E2" s="1"/>
      <c r="F2" s="1"/>
    </row>
    <row r="3" spans="1:6" ht="15">
      <c r="A3" s="1"/>
      <c r="B3" s="1"/>
      <c r="C3" s="1"/>
      <c r="D3" s="1"/>
      <c r="E3" s="1"/>
      <c r="F3" s="1"/>
    </row>
    <row r="4" spans="1:6" ht="15">
      <c r="A4" s="1"/>
      <c r="B4" s="1"/>
      <c r="C4" s="3" t="s">
        <v>1</v>
      </c>
      <c r="D4" s="3"/>
      <c r="E4" s="1"/>
      <c r="F4" s="1"/>
    </row>
    <row r="5" spans="1:6" ht="15.75" thickBot="1">
      <c r="A5" s="1"/>
      <c r="B5" s="1"/>
      <c r="C5" s="1"/>
      <c r="D5" s="1"/>
      <c r="E5" s="1"/>
      <c r="F5" s="1"/>
    </row>
    <row r="6" spans="1:6" ht="15">
      <c r="A6" s="1"/>
      <c r="B6" s="4"/>
      <c r="C6" s="5"/>
      <c r="D6" s="5"/>
      <c r="E6" s="5"/>
      <c r="F6" s="6"/>
    </row>
    <row r="7" spans="1:6" ht="15">
      <c r="A7" s="1"/>
      <c r="B7" s="33"/>
      <c r="C7" s="8" t="s">
        <v>23</v>
      </c>
      <c r="D7" s="8"/>
      <c r="E7" s="14">
        <v>77.209999999999994</v>
      </c>
      <c r="F7" s="10"/>
    </row>
    <row r="8" spans="1:6" ht="15">
      <c r="A8" s="1"/>
      <c r="B8" s="33"/>
      <c r="C8" s="8" t="s">
        <v>24</v>
      </c>
      <c r="D8" s="8"/>
      <c r="E8" s="14">
        <v>76.959999999999994</v>
      </c>
      <c r="F8" s="10"/>
    </row>
    <row r="9" spans="1:6" ht="15">
      <c r="A9" s="1"/>
      <c r="B9" s="33"/>
      <c r="C9" s="8" t="s">
        <v>251</v>
      </c>
      <c r="D9" s="8"/>
      <c r="E9" s="40">
        <v>0.63039999999999996</v>
      </c>
      <c r="F9" s="10"/>
    </row>
    <row r="10" spans="1:6" ht="15">
      <c r="A10" s="1"/>
      <c r="B10" s="33"/>
      <c r="C10" s="8" t="s">
        <v>252</v>
      </c>
      <c r="D10" s="8"/>
      <c r="E10" s="40">
        <v>0.63090000000000002</v>
      </c>
      <c r="F10" s="10"/>
    </row>
    <row r="11" spans="1:6" ht="15.75" thickBot="1">
      <c r="A11" s="1"/>
      <c r="B11" s="15"/>
      <c r="C11" s="16"/>
      <c r="D11" s="16"/>
      <c r="E11" s="16"/>
      <c r="F11" s="17"/>
    </row>
    <row r="12" spans="1:6" ht="15">
      <c r="A12" s="1"/>
      <c r="B12" s="1"/>
      <c r="C12" s="1"/>
      <c r="D12" s="1"/>
      <c r="E12" s="1"/>
      <c r="F12" s="1"/>
    </row>
    <row r="13" spans="1:6" ht="15">
      <c r="A13" s="1"/>
      <c r="B13" s="1"/>
      <c r="C13" s="3" t="s">
        <v>8</v>
      </c>
      <c r="D13" s="3"/>
      <c r="E13" s="1"/>
      <c r="F13" s="1"/>
    </row>
    <row r="14" spans="1:6" ht="15.75" thickBot="1">
      <c r="A14" s="1"/>
      <c r="B14" s="1"/>
      <c r="C14" s="1"/>
      <c r="D14" s="1"/>
      <c r="E14" s="1"/>
      <c r="F14" s="1"/>
    </row>
    <row r="15" spans="1:6" ht="15">
      <c r="A15" s="1"/>
      <c r="B15" s="18"/>
      <c r="C15" s="19"/>
      <c r="D15" s="19"/>
      <c r="E15" s="19"/>
      <c r="F15" s="20"/>
    </row>
    <row r="16" spans="1:6" ht="15">
      <c r="A16" s="1"/>
      <c r="B16" s="37"/>
      <c r="C16" s="22" t="s">
        <v>25</v>
      </c>
      <c r="D16" s="41" t="str">
        <f>IF(E19&gt;C19,"premium","discount")</f>
        <v>premium</v>
      </c>
      <c r="E16" s="42" t="s">
        <v>26</v>
      </c>
      <c r="F16" s="23"/>
    </row>
    <row r="17" spans="1:6" ht="15">
      <c r="A17" s="1"/>
      <c r="B17" s="37"/>
      <c r="C17" s="41" t="str">
        <f>IF(D16="premium","more expensive","less expensive")</f>
        <v>more expensive</v>
      </c>
      <c r="D17" s="22" t="s">
        <v>27</v>
      </c>
      <c r="E17" s="42"/>
      <c r="F17" s="23"/>
    </row>
    <row r="18" spans="1:6" ht="15">
      <c r="A18" s="1"/>
      <c r="B18" s="37"/>
      <c r="C18" s="22" t="s">
        <v>28</v>
      </c>
      <c r="D18" s="22"/>
      <c r="E18" s="42"/>
      <c r="F18" s="23"/>
    </row>
    <row r="19" spans="1:6" ht="15">
      <c r="A19" s="1"/>
      <c r="B19" s="37"/>
      <c r="C19" s="43">
        <f>1/E7</f>
        <v>1.2951690195570523E-2</v>
      </c>
      <c r="D19" s="22" t="s">
        <v>29</v>
      </c>
      <c r="E19" s="44">
        <f>1/E8</f>
        <v>1.2993762993762994E-2</v>
      </c>
      <c r="F19" s="23"/>
    </row>
    <row r="20" spans="1:6" ht="15">
      <c r="A20" s="1"/>
      <c r="B20" s="37"/>
      <c r="C20" s="22"/>
      <c r="D20" s="22"/>
      <c r="E20" s="22"/>
      <c r="F20" s="23"/>
    </row>
    <row r="21" spans="1:6" ht="15">
      <c r="A21" s="1"/>
      <c r="B21" s="37"/>
      <c r="C21" s="22" t="s">
        <v>204</v>
      </c>
      <c r="D21" s="41" t="str">
        <f>IF(E24&gt;C24,"premium","discount")</f>
        <v>discount</v>
      </c>
      <c r="E21" s="42" t="s">
        <v>26</v>
      </c>
      <c r="F21" s="23"/>
    </row>
    <row r="22" spans="1:6" ht="15">
      <c r="A22" s="1"/>
      <c r="B22" s="37"/>
      <c r="C22" s="41" t="str">
        <f>IF(D21="premium","more expensive","less expensive")</f>
        <v>less expensive</v>
      </c>
      <c r="D22" s="22" t="s">
        <v>27</v>
      </c>
      <c r="E22" s="42"/>
      <c r="F22" s="23"/>
    </row>
    <row r="23" spans="1:6" ht="15">
      <c r="A23" s="1"/>
      <c r="B23" s="37"/>
      <c r="C23" s="22" t="s">
        <v>28</v>
      </c>
      <c r="D23" s="22"/>
      <c r="E23" s="42"/>
      <c r="F23" s="29"/>
    </row>
    <row r="24" spans="1:6" ht="15">
      <c r="A24" s="1"/>
      <c r="B24" s="37"/>
      <c r="C24" s="43">
        <f>1/E9</f>
        <v>1.586294416243655</v>
      </c>
      <c r="D24" s="22" t="s">
        <v>29</v>
      </c>
      <c r="E24" s="44">
        <f>1/E10</f>
        <v>1.5850372483753368</v>
      </c>
      <c r="F24" s="23"/>
    </row>
    <row r="25" spans="1:6" ht="15">
      <c r="A25" s="1"/>
      <c r="B25" s="37"/>
      <c r="C25" s="22"/>
      <c r="D25" s="22"/>
      <c r="E25" s="22"/>
      <c r="F25" s="23"/>
    </row>
    <row r="26" spans="1:6" ht="15">
      <c r="A26" s="1"/>
      <c r="B26" s="37"/>
      <c r="C26" s="22" t="s">
        <v>30</v>
      </c>
      <c r="D26" s="22"/>
      <c r="E26" s="41" t="str">
        <f>IF(D16="premium","fall","rise")</f>
        <v>fall</v>
      </c>
      <c r="F26" s="23"/>
    </row>
    <row r="27" spans="1:6" ht="15">
      <c r="A27" s="1"/>
      <c r="B27" s="37"/>
      <c r="C27" s="22" t="s">
        <v>31</v>
      </c>
      <c r="D27" s="22"/>
      <c r="E27" s="22"/>
      <c r="F27" s="23"/>
    </row>
    <row r="28" spans="1:6" ht="15">
      <c r="A28" s="1"/>
      <c r="B28" s="37"/>
      <c r="C28" s="22" t="s">
        <v>30</v>
      </c>
      <c r="D28" s="22"/>
      <c r="E28" s="41" t="str">
        <f>IF(D21="premium","fall","rise")</f>
        <v>rise</v>
      </c>
      <c r="F28" s="23"/>
    </row>
    <row r="29" spans="1:6" ht="15">
      <c r="A29" s="1"/>
      <c r="B29" s="37"/>
      <c r="C29" s="22" t="s">
        <v>243</v>
      </c>
      <c r="D29" s="22"/>
      <c r="E29" s="22"/>
      <c r="F29" s="23"/>
    </row>
    <row r="30" spans="1:6" ht="15.75" thickBot="1">
      <c r="A30" s="1"/>
      <c r="B30" s="30"/>
      <c r="C30" s="31"/>
      <c r="D30" s="31"/>
      <c r="E30" s="31"/>
      <c r="F30" s="32"/>
    </row>
    <row r="31" spans="1:6" ht="15">
      <c r="A31" s="1"/>
      <c r="B31" s="1"/>
      <c r="C31" s="1"/>
      <c r="D31" s="1"/>
      <c r="E31" s="1"/>
      <c r="F31" s="1"/>
    </row>
  </sheetData>
  <phoneticPr fontId="8" type="noConversion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12"/>
  <dimension ref="A1:E36"/>
  <sheetViews>
    <sheetView workbookViewId="0"/>
  </sheetViews>
  <sheetFormatPr defaultRowHeight="12.75"/>
  <cols>
    <col min="2" max="2" width="3.140625" customWidth="1"/>
    <col min="3" max="3" width="30" customWidth="1"/>
    <col min="4" max="4" width="15.28515625" customWidth="1"/>
  </cols>
  <sheetData>
    <row r="1" spans="1:5" ht="18">
      <c r="A1" s="1"/>
      <c r="B1" s="1"/>
      <c r="C1" s="136" t="s">
        <v>222</v>
      </c>
      <c r="D1" s="1"/>
      <c r="E1" s="1"/>
    </row>
    <row r="2" spans="1:5" ht="15">
      <c r="A2" s="1"/>
      <c r="B2" s="1"/>
      <c r="C2" s="1" t="s">
        <v>32</v>
      </c>
      <c r="D2" s="1"/>
      <c r="E2" s="1"/>
    </row>
    <row r="3" spans="1:5" ht="15">
      <c r="A3" s="1"/>
      <c r="B3" s="1"/>
      <c r="C3" s="1"/>
      <c r="D3" s="1"/>
      <c r="E3" s="1"/>
    </row>
    <row r="4" spans="1:5" ht="15">
      <c r="A4" s="1"/>
      <c r="B4" s="1"/>
      <c r="C4" s="3" t="s">
        <v>1</v>
      </c>
      <c r="D4" s="1"/>
      <c r="E4" s="1"/>
    </row>
    <row r="5" spans="1:5" ht="15.75" thickBot="1">
      <c r="A5" s="1"/>
      <c r="B5" s="1"/>
      <c r="C5" s="1"/>
      <c r="D5" s="1"/>
      <c r="E5" s="1"/>
    </row>
    <row r="6" spans="1:5" ht="15">
      <c r="A6" s="1"/>
      <c r="B6" s="4"/>
      <c r="C6" s="5"/>
      <c r="D6" s="5"/>
      <c r="E6" s="6"/>
    </row>
    <row r="7" spans="1:5" ht="15">
      <c r="A7" s="1"/>
      <c r="B7" s="33"/>
      <c r="C7" s="8" t="s">
        <v>33</v>
      </c>
      <c r="D7" s="45">
        <v>1.05</v>
      </c>
      <c r="E7" s="10"/>
    </row>
    <row r="8" spans="1:5" ht="15">
      <c r="A8" s="1"/>
      <c r="B8" s="33"/>
      <c r="C8" s="8" t="s">
        <v>34</v>
      </c>
      <c r="D8" s="45">
        <v>1.03</v>
      </c>
      <c r="E8" s="10"/>
    </row>
    <row r="9" spans="1:5" ht="15">
      <c r="A9" s="1"/>
      <c r="B9" s="33"/>
      <c r="C9" s="8" t="s">
        <v>35</v>
      </c>
      <c r="D9" s="46">
        <v>2.19</v>
      </c>
      <c r="E9" s="10"/>
    </row>
    <row r="10" spans="1:5" ht="15.75" thickBot="1">
      <c r="A10" s="1"/>
      <c r="B10" s="15"/>
      <c r="C10" s="16"/>
      <c r="D10" s="16"/>
      <c r="E10" s="17"/>
    </row>
    <row r="11" spans="1:5" ht="15">
      <c r="A11" s="1"/>
      <c r="B11" s="1"/>
      <c r="C11" s="1"/>
      <c r="D11" s="1"/>
      <c r="E11" s="1"/>
    </row>
    <row r="12" spans="1:5" ht="15">
      <c r="A12" s="1"/>
      <c r="B12" s="1"/>
      <c r="C12" s="3" t="s">
        <v>8</v>
      </c>
      <c r="D12" s="1"/>
      <c r="E12" s="1"/>
    </row>
    <row r="13" spans="1:5" ht="15.75" thickBot="1">
      <c r="A13" s="1"/>
      <c r="B13" s="1"/>
      <c r="C13" s="1"/>
      <c r="D13" s="1"/>
      <c r="E13" s="1"/>
    </row>
    <row r="14" spans="1:5" ht="15">
      <c r="A14" s="1"/>
      <c r="B14" s="18"/>
      <c r="C14" s="19"/>
      <c r="D14" s="19"/>
      <c r="E14" s="20"/>
    </row>
    <row r="15" spans="1:5" ht="15.75">
      <c r="A15" s="1"/>
      <c r="B15" s="21" t="s">
        <v>2</v>
      </c>
      <c r="C15" s="22" t="s">
        <v>36</v>
      </c>
      <c r="D15" s="47">
        <f>1/D7</f>
        <v>0.95238095238095233</v>
      </c>
      <c r="E15" s="23"/>
    </row>
    <row r="16" spans="1:5" ht="15">
      <c r="A16" s="1"/>
      <c r="B16" s="21"/>
      <c r="C16" s="22"/>
      <c r="D16" s="48"/>
      <c r="E16" s="23"/>
    </row>
    <row r="17" spans="1:5" ht="15.75">
      <c r="A17" s="1"/>
      <c r="B17" s="21" t="s">
        <v>4</v>
      </c>
      <c r="C17" s="22" t="s">
        <v>37</v>
      </c>
      <c r="D17" s="49">
        <f>D9/D7</f>
        <v>2.0857142857142854</v>
      </c>
      <c r="E17" s="23"/>
    </row>
    <row r="18" spans="1:5" ht="15">
      <c r="A18" s="1"/>
      <c r="B18" s="21"/>
      <c r="C18" s="22" t="s">
        <v>38</v>
      </c>
      <c r="D18" s="42"/>
      <c r="E18" s="23"/>
    </row>
    <row r="19" spans="1:5" ht="15">
      <c r="A19" s="1"/>
      <c r="B19" s="21"/>
      <c r="C19" s="22" t="s">
        <v>39</v>
      </c>
      <c r="D19" s="42"/>
      <c r="E19" s="23"/>
    </row>
    <row r="20" spans="1:5" ht="15">
      <c r="A20" s="1"/>
      <c r="B20" s="21"/>
      <c r="C20" s="22" t="s">
        <v>40</v>
      </c>
      <c r="D20" s="22"/>
      <c r="E20" s="23"/>
    </row>
    <row r="21" spans="1:5" ht="15">
      <c r="A21" s="1"/>
      <c r="B21" s="21"/>
      <c r="C21" s="22"/>
      <c r="D21" s="50"/>
      <c r="E21" s="23"/>
    </row>
    <row r="22" spans="1:5" ht="15">
      <c r="A22" s="1"/>
      <c r="B22" s="21" t="s">
        <v>5</v>
      </c>
      <c r="C22" s="22" t="s">
        <v>41</v>
      </c>
      <c r="D22" s="51" t="str">
        <f>IF(D7&gt;D8,"discount","premium")</f>
        <v>discount</v>
      </c>
      <c r="E22" s="23"/>
    </row>
    <row r="23" spans="1:5" ht="15">
      <c r="A23" s="1"/>
      <c r="B23" s="21"/>
      <c r="C23" s="22" t="s">
        <v>42</v>
      </c>
      <c r="D23" s="41" t="str">
        <f>IF(D22="discount","less expensive","more expensive")</f>
        <v>less expensive</v>
      </c>
      <c r="E23" s="29"/>
    </row>
    <row r="24" spans="1:5" ht="15">
      <c r="A24" s="1"/>
      <c r="B24" s="21"/>
      <c r="C24" s="22" t="s">
        <v>43</v>
      </c>
      <c r="D24" s="22"/>
      <c r="E24" s="23"/>
    </row>
    <row r="25" spans="1:5" ht="15">
      <c r="A25" s="1"/>
      <c r="B25" s="21"/>
      <c r="C25" s="22"/>
      <c r="D25" s="22"/>
      <c r="E25" s="23"/>
    </row>
    <row r="26" spans="1:5" ht="15">
      <c r="A26" s="1"/>
      <c r="B26" s="21" t="s">
        <v>12</v>
      </c>
      <c r="C26" s="22" t="s">
        <v>44</v>
      </c>
      <c r="D26" s="22"/>
      <c r="E26" s="23"/>
    </row>
    <row r="27" spans="1:5" ht="15">
      <c r="A27" s="1"/>
      <c r="B27" s="21"/>
      <c r="C27" s="52" t="str">
        <f>IF(D22="discount","appreciate","depreciate")</f>
        <v>appreciate</v>
      </c>
      <c r="D27" s="22" t="s">
        <v>45</v>
      </c>
      <c r="E27" s="23"/>
    </row>
    <row r="28" spans="1:5" ht="15">
      <c r="A28" s="1"/>
      <c r="B28" s="21"/>
      <c r="C28" s="22" t="s">
        <v>46</v>
      </c>
      <c r="D28" s="41" t="str">
        <f>IF(C27="appreciate","fewer","more")</f>
        <v>fewer</v>
      </c>
      <c r="E28" s="23"/>
    </row>
    <row r="29" spans="1:5" ht="15">
      <c r="A29" s="1"/>
      <c r="B29" s="21"/>
      <c r="C29" s="22" t="s">
        <v>47</v>
      </c>
      <c r="D29" s="22"/>
      <c r="E29" s="23"/>
    </row>
    <row r="30" spans="1:5" ht="15">
      <c r="A30" s="1"/>
      <c r="B30" s="21"/>
      <c r="C30" s="22" t="s">
        <v>48</v>
      </c>
      <c r="D30" s="22"/>
      <c r="E30" s="23"/>
    </row>
    <row r="31" spans="1:5" ht="15">
      <c r="A31" s="1"/>
      <c r="B31" s="21"/>
      <c r="C31" s="22"/>
      <c r="D31" s="22"/>
      <c r="E31" s="23"/>
    </row>
    <row r="32" spans="1:5" ht="15">
      <c r="A32" s="1"/>
      <c r="B32" s="21" t="s">
        <v>14</v>
      </c>
      <c r="C32" s="22" t="s">
        <v>49</v>
      </c>
      <c r="D32" s="22"/>
      <c r="E32" s="23"/>
    </row>
    <row r="33" spans="1:5" ht="15">
      <c r="A33" s="1"/>
      <c r="B33" s="37"/>
      <c r="C33" s="52" t="str">
        <f>IF(C27="appreciate","higher","lower")</f>
        <v>higher</v>
      </c>
      <c r="D33" s="22" t="s">
        <v>50</v>
      </c>
      <c r="E33" s="23"/>
    </row>
    <row r="34" spans="1:5" ht="15">
      <c r="A34" s="1"/>
      <c r="B34" s="37"/>
      <c r="C34" s="22" t="s">
        <v>51</v>
      </c>
      <c r="D34" s="22"/>
      <c r="E34" s="23"/>
    </row>
    <row r="35" spans="1:5" ht="15.75" thickBot="1">
      <c r="A35" s="1"/>
      <c r="B35" s="30"/>
      <c r="C35" s="31"/>
      <c r="D35" s="31"/>
      <c r="E35" s="32"/>
    </row>
    <row r="36" spans="1:5" ht="15">
      <c r="A36" s="1"/>
      <c r="B36" s="1"/>
      <c r="C36" s="1"/>
      <c r="D36" s="1"/>
      <c r="E36" s="1"/>
    </row>
  </sheetData>
  <phoneticPr fontId="8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11"/>
  <dimension ref="A1:G26"/>
  <sheetViews>
    <sheetView workbookViewId="0"/>
  </sheetViews>
  <sheetFormatPr defaultRowHeight="12.75"/>
  <cols>
    <col min="2" max="2" width="3.140625" customWidth="1"/>
    <col min="3" max="3" width="10.5703125" customWidth="1"/>
    <col min="4" max="4" width="18" customWidth="1"/>
    <col min="5" max="5" width="14.7109375" customWidth="1"/>
    <col min="6" max="6" width="3.140625" customWidth="1"/>
  </cols>
  <sheetData>
    <row r="1" spans="1:7" ht="18">
      <c r="A1" s="1"/>
      <c r="B1" s="1"/>
      <c r="C1" s="190" t="s">
        <v>222</v>
      </c>
      <c r="D1" s="190"/>
      <c r="E1" s="1"/>
      <c r="F1" s="1"/>
    </row>
    <row r="2" spans="1:7" ht="15">
      <c r="A2" s="1"/>
      <c r="B2" s="1"/>
      <c r="C2" s="191" t="s">
        <v>52</v>
      </c>
      <c r="D2" s="191"/>
      <c r="E2" s="1"/>
      <c r="F2" s="1"/>
    </row>
    <row r="3" spans="1:7" ht="15">
      <c r="A3" s="1"/>
      <c r="B3" s="1"/>
      <c r="C3" s="1"/>
      <c r="D3" s="1"/>
      <c r="E3" s="1"/>
      <c r="F3" s="1"/>
    </row>
    <row r="4" spans="1:7" ht="15">
      <c r="A4" s="1"/>
      <c r="B4" s="1"/>
      <c r="C4" s="3" t="s">
        <v>1</v>
      </c>
      <c r="D4" s="3"/>
      <c r="E4" s="1"/>
      <c r="F4" s="1"/>
    </row>
    <row r="5" spans="1:7" ht="15.75" thickBot="1">
      <c r="A5" s="1"/>
      <c r="B5" s="1"/>
      <c r="C5" s="1"/>
      <c r="D5" s="1"/>
      <c r="E5" s="1"/>
      <c r="F5" s="1"/>
    </row>
    <row r="6" spans="1:7" ht="15">
      <c r="A6" s="1"/>
      <c r="B6" s="4"/>
      <c r="C6" s="5"/>
      <c r="D6" s="5"/>
      <c r="E6" s="5"/>
      <c r="F6" s="6"/>
    </row>
    <row r="7" spans="1:7" ht="15">
      <c r="A7" s="1"/>
      <c r="B7" s="33"/>
      <c r="C7" s="8" t="s">
        <v>180</v>
      </c>
      <c r="D7" s="8"/>
      <c r="E7" s="53">
        <v>85</v>
      </c>
      <c r="F7" s="10"/>
    </row>
    <row r="8" spans="1:7" ht="15">
      <c r="A8" s="1"/>
      <c r="B8" s="33"/>
      <c r="C8" s="8" t="s">
        <v>181</v>
      </c>
      <c r="D8" s="8"/>
      <c r="E8" s="45">
        <v>1.53</v>
      </c>
      <c r="F8" s="10"/>
    </row>
    <row r="9" spans="1:7" ht="15">
      <c r="A9" s="1"/>
      <c r="B9" s="7" t="s">
        <v>4</v>
      </c>
      <c r="C9" s="8" t="s">
        <v>182</v>
      </c>
      <c r="D9" s="8"/>
      <c r="E9" s="188">
        <v>131.4</v>
      </c>
      <c r="F9" s="10"/>
    </row>
    <row r="10" spans="1:7" ht="15.75" thickBot="1">
      <c r="A10" s="1"/>
      <c r="B10" s="15"/>
      <c r="C10" s="16"/>
      <c r="D10" s="16"/>
      <c r="E10" s="16"/>
      <c r="F10" s="17"/>
    </row>
    <row r="11" spans="1:7" ht="15">
      <c r="A11" s="1"/>
      <c r="B11" s="1"/>
      <c r="C11" s="1"/>
      <c r="D11" s="1"/>
      <c r="E11" s="1"/>
      <c r="F11" s="1"/>
    </row>
    <row r="12" spans="1:7" ht="15">
      <c r="A12" s="1"/>
      <c r="B12" s="1"/>
      <c r="C12" s="3" t="s">
        <v>8</v>
      </c>
      <c r="D12" s="3"/>
      <c r="E12" s="1"/>
      <c r="F12" s="1"/>
    </row>
    <row r="13" spans="1:7" ht="15.75" thickBot="1">
      <c r="A13" s="1"/>
      <c r="B13" s="1"/>
      <c r="C13" s="1"/>
      <c r="D13" s="1"/>
      <c r="E13" s="1"/>
      <c r="F13" s="1"/>
    </row>
    <row r="14" spans="1:7" ht="15">
      <c r="A14" s="1"/>
      <c r="B14" s="18"/>
      <c r="C14" s="19"/>
      <c r="D14" s="19"/>
      <c r="E14" s="19"/>
      <c r="F14" s="19"/>
      <c r="G14" s="20"/>
    </row>
    <row r="15" spans="1:7" ht="15.75">
      <c r="A15" s="1"/>
      <c r="B15" s="21" t="s">
        <v>2</v>
      </c>
      <c r="C15" s="22" t="s">
        <v>179</v>
      </c>
      <c r="D15" s="22"/>
      <c r="E15" s="139">
        <f>E8*E7</f>
        <v>130.05000000000001</v>
      </c>
      <c r="F15" s="134"/>
      <c r="G15" s="23"/>
    </row>
    <row r="16" spans="1:7" ht="15">
      <c r="A16" s="1"/>
      <c r="B16" s="21"/>
      <c r="C16" s="22"/>
      <c r="D16" s="22"/>
      <c r="E16" s="48"/>
      <c r="F16" s="48"/>
      <c r="G16" s="23"/>
    </row>
    <row r="17" spans="1:7" ht="15">
      <c r="A17" s="1"/>
      <c r="B17" s="21" t="s">
        <v>4</v>
      </c>
      <c r="C17" s="22" t="s">
        <v>53</v>
      </c>
      <c r="D17" s="22"/>
      <c r="E17" s="54" t="str">
        <f>IF(E15&gt;E9,"too low","too high")</f>
        <v>too high</v>
      </c>
      <c r="F17" s="54"/>
      <c r="G17" s="23"/>
    </row>
    <row r="18" spans="1:7" ht="15">
      <c r="A18" s="1"/>
      <c r="B18" s="37"/>
      <c r="C18" s="22" t="s">
        <v>54</v>
      </c>
      <c r="D18" s="22"/>
      <c r="E18" s="42"/>
      <c r="F18" s="42"/>
      <c r="G18" s="23"/>
    </row>
    <row r="19" spans="1:7" ht="15">
      <c r="A19" s="1"/>
      <c r="B19" s="37"/>
      <c r="C19" s="55" t="str">
        <f>IF(E17="too low","yen","pounds")</f>
        <v>pounds</v>
      </c>
      <c r="D19" s="56">
        <f>IF(E17="too low",E7,1/E8)</f>
        <v>0.65359477124183007</v>
      </c>
      <c r="E19" s="42" t="s">
        <v>55</v>
      </c>
      <c r="F19" s="42"/>
      <c r="G19" s="23"/>
    </row>
    <row r="20" spans="1:7" ht="15">
      <c r="A20" s="1"/>
      <c r="B20" s="37"/>
      <c r="C20" s="22" t="s">
        <v>56</v>
      </c>
      <c r="D20" s="41" t="str">
        <f>IF(C19="yen","pounds","yen")</f>
        <v>yen</v>
      </c>
      <c r="E20" s="42" t="s">
        <v>57</v>
      </c>
      <c r="F20" s="42"/>
      <c r="G20" s="23"/>
    </row>
    <row r="21" spans="1:7" ht="15">
      <c r="A21" s="1"/>
      <c r="B21" s="37"/>
      <c r="C21" s="41">
        <f>IF(C19="yen",E7/E9,E9*D19)</f>
        <v>85.882352941176478</v>
      </c>
      <c r="D21" s="41" t="str">
        <f>IF(C19="yen","pounds","yen")</f>
        <v>yen</v>
      </c>
      <c r="E21" s="42"/>
      <c r="F21" s="42"/>
      <c r="G21" s="23"/>
    </row>
    <row r="22" spans="1:7" ht="15">
      <c r="A22" s="1"/>
      <c r="B22" s="37"/>
      <c r="C22" s="22"/>
      <c r="D22" s="22"/>
      <c r="E22" s="57"/>
      <c r="F22" s="57"/>
      <c r="G22" s="23"/>
    </row>
    <row r="23" spans="1:7" ht="15">
      <c r="A23" s="1"/>
      <c r="B23" s="37"/>
      <c r="C23" s="22" t="s">
        <v>58</v>
      </c>
      <c r="D23" s="22"/>
      <c r="E23" s="50"/>
      <c r="F23" s="50"/>
      <c r="G23" s="23"/>
    </row>
    <row r="24" spans="1:7" ht="15">
      <c r="A24" s="1"/>
      <c r="B24" s="37"/>
      <c r="C24" s="22" t="s">
        <v>59</v>
      </c>
      <c r="D24" s="22"/>
      <c r="E24" s="58">
        <f>IF(D21="pounds",C21*E8,C21*(1/E7))</f>
        <v>1.0103806228373704</v>
      </c>
      <c r="F24" s="58"/>
      <c r="G24" s="23"/>
    </row>
    <row r="25" spans="1:7" ht="15.75">
      <c r="A25" s="1"/>
      <c r="B25" s="37"/>
      <c r="C25" s="22" t="s">
        <v>60</v>
      </c>
      <c r="D25" s="22"/>
      <c r="E25" s="49">
        <f>E24-1</f>
        <v>1.0380622837370401E-2</v>
      </c>
      <c r="F25" s="135"/>
      <c r="G25" s="29"/>
    </row>
    <row r="26" spans="1:7" ht="15.75" thickBot="1">
      <c r="A26" s="1"/>
      <c r="B26" s="30"/>
      <c r="C26" s="31"/>
      <c r="D26" s="31"/>
      <c r="E26" s="31"/>
      <c r="F26" s="31"/>
      <c r="G26" s="32"/>
    </row>
  </sheetData>
  <mergeCells count="2">
    <mergeCell ref="C1:D1"/>
    <mergeCell ref="C2:D2"/>
  </mergeCells>
  <phoneticPr fontId="8" type="noConversion"/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0"/>
  <dimension ref="A1:E23"/>
  <sheetViews>
    <sheetView workbookViewId="0"/>
  </sheetViews>
  <sheetFormatPr defaultRowHeight="12.75"/>
  <cols>
    <col min="2" max="2" width="3.140625" customWidth="1"/>
    <col min="3" max="3" width="33.85546875" bestFit="1" customWidth="1"/>
    <col min="4" max="4" width="11.5703125" customWidth="1"/>
    <col min="5" max="5" width="3.140625" customWidth="1"/>
  </cols>
  <sheetData>
    <row r="1" spans="1:5" ht="18">
      <c r="A1" s="1"/>
      <c r="B1" s="1"/>
      <c r="C1" s="136" t="s">
        <v>222</v>
      </c>
      <c r="D1" s="1"/>
      <c r="E1" s="1"/>
    </row>
    <row r="2" spans="1:5" ht="15">
      <c r="A2" s="1"/>
      <c r="B2" s="1"/>
      <c r="C2" s="1" t="s">
        <v>61</v>
      </c>
      <c r="D2" s="1"/>
      <c r="E2" s="1"/>
    </row>
    <row r="3" spans="1:5" ht="15">
      <c r="A3" s="1"/>
      <c r="B3" s="1"/>
      <c r="C3" s="1"/>
      <c r="D3" s="1"/>
      <c r="E3" s="1"/>
    </row>
    <row r="4" spans="1:5" ht="15">
      <c r="A4" s="1"/>
      <c r="B4" s="1"/>
      <c r="C4" s="3" t="s">
        <v>1</v>
      </c>
      <c r="D4" s="1"/>
      <c r="E4" s="1"/>
    </row>
    <row r="5" spans="1:5" ht="15.75" thickBot="1">
      <c r="A5" s="1"/>
      <c r="B5" s="1"/>
      <c r="C5" s="1"/>
      <c r="D5" s="1"/>
      <c r="E5" s="1"/>
    </row>
    <row r="6" spans="1:5" ht="15">
      <c r="A6" s="1"/>
      <c r="B6" s="4"/>
      <c r="C6" s="5"/>
      <c r="D6" s="5"/>
      <c r="E6" s="6"/>
    </row>
    <row r="7" spans="1:5" ht="15">
      <c r="A7" s="1"/>
      <c r="B7" s="33"/>
      <c r="C7" s="8" t="s">
        <v>192</v>
      </c>
      <c r="D7" s="14">
        <v>0.63039999999999996</v>
      </c>
      <c r="E7" s="10"/>
    </row>
    <row r="8" spans="1:5" ht="15">
      <c r="A8" s="1"/>
      <c r="B8" s="33"/>
      <c r="C8" s="8" t="s">
        <v>193</v>
      </c>
      <c r="D8" s="59">
        <v>0.63129999999999997</v>
      </c>
      <c r="E8" s="10"/>
    </row>
    <row r="9" spans="1:5" ht="15">
      <c r="A9" s="1"/>
      <c r="B9" s="33"/>
      <c r="C9" s="8" t="s">
        <v>62</v>
      </c>
      <c r="D9" s="60">
        <v>77.209999999999994</v>
      </c>
      <c r="E9" s="10"/>
    </row>
    <row r="10" spans="1:5" ht="15">
      <c r="A10" s="1"/>
      <c r="B10" s="33"/>
      <c r="C10" s="8" t="s">
        <v>63</v>
      </c>
      <c r="D10" s="60">
        <v>76.959999999999994</v>
      </c>
      <c r="E10" s="10"/>
    </row>
    <row r="11" spans="1:5" ht="15">
      <c r="A11" s="1"/>
      <c r="B11" s="33"/>
      <c r="C11" s="8" t="s">
        <v>64</v>
      </c>
      <c r="D11" s="59">
        <v>0.87990000000000002</v>
      </c>
      <c r="E11" s="10"/>
    </row>
    <row r="12" spans="1:5" ht="15">
      <c r="A12" s="1"/>
      <c r="B12" s="33"/>
      <c r="C12" s="8" t="s">
        <v>65</v>
      </c>
      <c r="D12" s="59">
        <v>0.87429999999999997</v>
      </c>
      <c r="E12" s="10"/>
    </row>
    <row r="13" spans="1:5" ht="15">
      <c r="A13" s="1"/>
      <c r="B13" s="33"/>
      <c r="C13" s="8" t="s">
        <v>66</v>
      </c>
      <c r="D13" s="61">
        <v>1.9E-2</v>
      </c>
      <c r="E13" s="10"/>
    </row>
    <row r="14" spans="1:5" ht="15.75" thickBot="1">
      <c r="A14" s="1"/>
      <c r="B14" s="15"/>
      <c r="C14" s="16"/>
      <c r="D14" s="16"/>
      <c r="E14" s="17"/>
    </row>
    <row r="15" spans="1:5" ht="15">
      <c r="A15" s="1"/>
      <c r="B15" s="1"/>
      <c r="C15" s="1"/>
      <c r="D15" s="1"/>
      <c r="E15" s="1"/>
    </row>
    <row r="16" spans="1:5" ht="15">
      <c r="A16" s="1"/>
      <c r="B16" s="1"/>
      <c r="C16" s="3" t="s">
        <v>8</v>
      </c>
      <c r="D16" s="1"/>
      <c r="E16" s="1"/>
    </row>
    <row r="17" spans="1:5" ht="15.75" thickBot="1">
      <c r="A17" s="1"/>
      <c r="B17" s="1"/>
      <c r="C17" s="1"/>
      <c r="D17" s="1"/>
      <c r="E17" s="1"/>
    </row>
    <row r="18" spans="1:5" ht="15">
      <c r="A18" s="1"/>
      <c r="B18" s="18"/>
      <c r="C18" s="19"/>
      <c r="D18" s="19"/>
      <c r="E18" s="20"/>
    </row>
    <row r="19" spans="1:5" ht="15.75">
      <c r="A19" s="1"/>
      <c r="B19" s="37"/>
      <c r="C19" s="22" t="s">
        <v>191</v>
      </c>
      <c r="D19" s="62">
        <f>(D8-D7)/D7+D13</f>
        <v>2.0427664974619307E-2</v>
      </c>
      <c r="E19" s="23"/>
    </row>
    <row r="20" spans="1:5" ht="15.75">
      <c r="A20" s="1"/>
      <c r="B20" s="37"/>
      <c r="C20" s="22" t="s">
        <v>67</v>
      </c>
      <c r="D20" s="62">
        <f>(D10-D9)/D9+D13</f>
        <v>1.576207745110737E-2</v>
      </c>
      <c r="E20" s="23"/>
    </row>
    <row r="21" spans="1:5" ht="15.75">
      <c r="A21" s="1"/>
      <c r="B21" s="37"/>
      <c r="C21" s="22" t="s">
        <v>68</v>
      </c>
      <c r="D21" s="63">
        <f>(D12-D11)/D11+D13</f>
        <v>1.2635640413683317E-2</v>
      </c>
      <c r="E21" s="23"/>
    </row>
    <row r="22" spans="1:5" ht="15.75" thickBot="1">
      <c r="A22" s="1"/>
      <c r="B22" s="30"/>
      <c r="C22" s="31"/>
      <c r="D22" s="31"/>
      <c r="E22" s="32"/>
    </row>
    <row r="23" spans="1:5" ht="15">
      <c r="A23" s="1"/>
      <c r="B23" s="1"/>
      <c r="C23" s="1"/>
      <c r="D23" s="1"/>
      <c r="E23" s="1"/>
    </row>
  </sheetData>
  <phoneticPr fontId="8" type="noConversion"/>
  <pageMargins left="0.75" right="0.7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9"/>
  <dimension ref="A1:E23"/>
  <sheetViews>
    <sheetView workbookViewId="0"/>
  </sheetViews>
  <sheetFormatPr defaultRowHeight="12.75"/>
  <cols>
    <col min="2" max="2" width="3.140625" customWidth="1"/>
    <col min="3" max="3" width="31" bestFit="1" customWidth="1"/>
    <col min="4" max="4" width="18.85546875" bestFit="1" customWidth="1"/>
    <col min="5" max="5" width="3.140625" customWidth="1"/>
  </cols>
  <sheetData>
    <row r="1" spans="1:5" ht="18">
      <c r="A1" s="1"/>
      <c r="B1" s="1"/>
      <c r="C1" s="136" t="s">
        <v>222</v>
      </c>
      <c r="D1" s="1"/>
      <c r="E1" s="1"/>
    </row>
    <row r="2" spans="1:5" ht="15">
      <c r="A2" s="1"/>
      <c r="B2" s="1"/>
      <c r="C2" s="1" t="s">
        <v>69</v>
      </c>
      <c r="D2" s="1"/>
      <c r="E2" s="1"/>
    </row>
    <row r="3" spans="1:5" ht="15">
      <c r="A3" s="1"/>
      <c r="B3" s="1"/>
      <c r="C3" s="1"/>
      <c r="D3" s="1"/>
      <c r="E3" s="1"/>
    </row>
    <row r="4" spans="1:5" ht="15">
      <c r="A4" s="1"/>
      <c r="B4" s="1"/>
      <c r="C4" s="3" t="s">
        <v>1</v>
      </c>
      <c r="D4" s="1"/>
      <c r="E4" s="1"/>
    </row>
    <row r="5" spans="1:5" ht="15.75" thickBot="1">
      <c r="A5" s="1"/>
      <c r="B5" s="1"/>
      <c r="C5" s="1"/>
      <c r="D5" s="1"/>
      <c r="E5" s="1"/>
    </row>
    <row r="6" spans="1:5" ht="15">
      <c r="A6" s="1"/>
      <c r="B6" s="4"/>
      <c r="C6" s="5"/>
      <c r="D6" s="5"/>
      <c r="E6" s="6"/>
    </row>
    <row r="7" spans="1:5" ht="15">
      <c r="A7" s="1"/>
      <c r="B7" s="33"/>
      <c r="C7" s="8" t="s">
        <v>74</v>
      </c>
      <c r="D7" s="65">
        <v>30000000</v>
      </c>
      <c r="E7" s="10"/>
    </row>
    <row r="8" spans="1:5" ht="15">
      <c r="A8" s="1"/>
      <c r="B8" s="33"/>
      <c r="C8" s="8" t="s">
        <v>72</v>
      </c>
      <c r="D8" s="92">
        <v>3</v>
      </c>
      <c r="E8" s="10"/>
    </row>
    <row r="9" spans="1:5" ht="15">
      <c r="A9" s="1"/>
      <c r="B9" s="33"/>
      <c r="C9" s="8" t="s">
        <v>75</v>
      </c>
      <c r="D9" s="61">
        <v>2.0999999999999999E-3</v>
      </c>
      <c r="E9" s="10"/>
    </row>
    <row r="10" spans="1:5" ht="15">
      <c r="A10" s="1"/>
      <c r="B10" s="33"/>
      <c r="C10" s="8" t="s">
        <v>73</v>
      </c>
      <c r="D10" s="61">
        <v>5.7000000000000002E-3</v>
      </c>
      <c r="E10" s="10"/>
    </row>
    <row r="11" spans="1:5" ht="15">
      <c r="A11" s="1"/>
      <c r="B11" s="33"/>
      <c r="C11" s="8" t="s">
        <v>70</v>
      </c>
      <c r="D11" s="64">
        <v>0.64</v>
      </c>
      <c r="E11" s="10"/>
    </row>
    <row r="12" spans="1:5" ht="15">
      <c r="A12" s="1"/>
      <c r="B12" s="33"/>
      <c r="C12" s="8" t="s">
        <v>71</v>
      </c>
      <c r="D12" s="60">
        <v>0.65</v>
      </c>
      <c r="E12" s="10"/>
    </row>
    <row r="13" spans="1:5" ht="15.75" thickBot="1">
      <c r="A13" s="1"/>
      <c r="B13" s="15"/>
      <c r="C13" s="16"/>
      <c r="D13" s="16"/>
      <c r="E13" s="17"/>
    </row>
    <row r="14" spans="1:5" ht="15">
      <c r="A14" s="1"/>
      <c r="B14" s="1"/>
      <c r="C14" s="1"/>
      <c r="D14" s="1"/>
      <c r="E14" s="1"/>
    </row>
    <row r="15" spans="1:5" ht="15">
      <c r="A15" s="1"/>
      <c r="B15" s="1"/>
      <c r="C15" s="3" t="s">
        <v>8</v>
      </c>
      <c r="D15" s="1"/>
      <c r="E15" s="1"/>
    </row>
    <row r="16" spans="1:5" ht="15.75" thickBot="1">
      <c r="A16" s="1"/>
      <c r="B16" s="1"/>
      <c r="C16" s="1"/>
      <c r="D16" s="1"/>
      <c r="E16" s="1"/>
    </row>
    <row r="17" spans="1:5" ht="15">
      <c r="A17" s="1"/>
      <c r="B17" s="18"/>
      <c r="C17" s="19"/>
      <c r="D17" s="19"/>
      <c r="E17" s="20"/>
    </row>
    <row r="18" spans="1:5" ht="15.75">
      <c r="A18" s="1"/>
      <c r="B18" s="37"/>
      <c r="C18" s="22" t="s">
        <v>76</v>
      </c>
      <c r="D18" s="66">
        <f>D7*POWER(1+D9,D8)</f>
        <v>30189397.177830003</v>
      </c>
      <c r="E18" s="23"/>
    </row>
    <row r="19" spans="1:5" ht="15.75">
      <c r="A19" s="1"/>
      <c r="B19" s="37"/>
      <c r="C19" s="22" t="s">
        <v>77</v>
      </c>
      <c r="D19" s="66">
        <f>(D7*D11*POWER(1+D10,D8))/D12</f>
        <v>30046453.814931687</v>
      </c>
      <c r="E19" s="23"/>
    </row>
    <row r="20" spans="1:5" ht="15.75">
      <c r="A20" s="1"/>
      <c r="B20" s="37"/>
      <c r="C20" s="41" t="str">
        <f>IF(D18&gt;D19,"Invest in U.S.","Invest in Great Britian")</f>
        <v>Invest in U.S.</v>
      </c>
      <c r="D20" s="67"/>
      <c r="E20" s="23"/>
    </row>
    <row r="21" spans="1:5" ht="15.75" thickBot="1">
      <c r="A21" s="1"/>
      <c r="B21" s="30"/>
      <c r="C21" s="31"/>
      <c r="D21" s="31"/>
      <c r="E21" s="32"/>
    </row>
    <row r="22" spans="1:5" ht="15">
      <c r="A22" s="1"/>
      <c r="B22" s="1"/>
      <c r="C22" s="1"/>
      <c r="D22" s="1"/>
      <c r="E22" s="1"/>
    </row>
    <row r="23" spans="1:5" ht="15">
      <c r="A23" s="1"/>
      <c r="B23" s="1"/>
      <c r="C23" s="1"/>
      <c r="D23" s="1"/>
      <c r="E23" s="1"/>
    </row>
  </sheetData>
  <phoneticPr fontId="8" type="noConversion"/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/>
  <dimension ref="A1:E21"/>
  <sheetViews>
    <sheetView workbookViewId="0"/>
  </sheetViews>
  <sheetFormatPr defaultRowHeight="12.75"/>
  <cols>
    <col min="2" max="2" width="3.140625" customWidth="1"/>
    <col min="3" max="3" width="21.7109375" customWidth="1"/>
    <col min="4" max="4" width="18" customWidth="1"/>
    <col min="5" max="5" width="3.140625" customWidth="1"/>
    <col min="6" max="6" width="6.28515625" customWidth="1"/>
  </cols>
  <sheetData>
    <row r="1" spans="1:5" ht="18">
      <c r="A1" s="1"/>
      <c r="B1" s="1"/>
      <c r="C1" s="136" t="s">
        <v>222</v>
      </c>
      <c r="D1" s="1"/>
      <c r="E1" s="1"/>
    </row>
    <row r="2" spans="1:5" ht="15">
      <c r="A2" s="1"/>
      <c r="B2" s="1"/>
      <c r="C2" s="1" t="s">
        <v>78</v>
      </c>
      <c r="D2" s="1"/>
      <c r="E2" s="1"/>
    </row>
    <row r="3" spans="1:5" ht="15">
      <c r="A3" s="1"/>
      <c r="B3" s="1"/>
      <c r="C3" s="1"/>
      <c r="D3" s="1"/>
      <c r="E3" s="1"/>
    </row>
    <row r="4" spans="1:5" ht="15">
      <c r="A4" s="1"/>
      <c r="B4" s="1"/>
      <c r="C4" s="3" t="s">
        <v>1</v>
      </c>
      <c r="D4" s="1"/>
      <c r="E4" s="1"/>
    </row>
    <row r="5" spans="1:5" ht="15.75" thickBot="1">
      <c r="A5" s="1"/>
      <c r="B5" s="1"/>
      <c r="C5" s="1"/>
      <c r="D5" s="1"/>
      <c r="E5" s="1"/>
    </row>
    <row r="6" spans="1:5" ht="15">
      <c r="A6" s="1"/>
      <c r="B6" s="4"/>
      <c r="C6" s="5"/>
      <c r="D6" s="5"/>
      <c r="E6" s="6"/>
    </row>
    <row r="7" spans="1:5" ht="15">
      <c r="A7" s="1"/>
      <c r="B7" s="33"/>
      <c r="C7" s="8" t="s">
        <v>194</v>
      </c>
      <c r="D7" s="64">
        <v>3.14</v>
      </c>
      <c r="E7" s="10"/>
    </row>
    <row r="8" spans="1:5" ht="15">
      <c r="A8" s="1"/>
      <c r="B8" s="33"/>
      <c r="C8" s="8" t="s">
        <v>79</v>
      </c>
      <c r="D8" s="68">
        <v>3.23</v>
      </c>
      <c r="E8" s="10"/>
    </row>
    <row r="9" spans="1:5" ht="15">
      <c r="A9" s="1"/>
      <c r="B9" s="33"/>
      <c r="C9" s="8" t="s">
        <v>80</v>
      </c>
      <c r="D9" s="189">
        <v>3</v>
      </c>
      <c r="E9" s="10"/>
    </row>
    <row r="10" spans="1:5" ht="15.75" thickBot="1">
      <c r="A10" s="1"/>
      <c r="B10" s="15"/>
      <c r="C10" s="16"/>
      <c r="D10" s="16"/>
      <c r="E10" s="17"/>
    </row>
    <row r="11" spans="1:5" ht="15">
      <c r="A11" s="1"/>
      <c r="B11" s="1"/>
      <c r="C11" s="1"/>
      <c r="D11" s="1"/>
      <c r="E11" s="1"/>
    </row>
    <row r="12" spans="1:5" ht="15">
      <c r="A12" s="1"/>
      <c r="B12" s="1"/>
      <c r="C12" s="3" t="s">
        <v>8</v>
      </c>
      <c r="D12" s="1"/>
      <c r="E12" s="1"/>
    </row>
    <row r="13" spans="1:5" ht="15.75" thickBot="1">
      <c r="A13" s="1"/>
      <c r="B13" s="1"/>
      <c r="C13" s="1"/>
      <c r="D13" s="1"/>
      <c r="E13" s="1"/>
    </row>
    <row r="14" spans="1:5" ht="15">
      <c r="A14" s="1"/>
      <c r="B14" s="18"/>
      <c r="C14" s="19"/>
      <c r="D14" s="19"/>
      <c r="E14" s="20"/>
    </row>
    <row r="15" spans="1:5" ht="15.75">
      <c r="A15" s="1"/>
      <c r="B15" s="37"/>
      <c r="C15" s="22" t="s">
        <v>81</v>
      </c>
      <c r="D15" s="62">
        <f>POWER(D8/D7,1/D9)-1</f>
        <v>9.4642848590178463E-3</v>
      </c>
      <c r="E15" s="23"/>
    </row>
    <row r="16" spans="1:5" ht="15.75">
      <c r="A16" s="1"/>
      <c r="B16" s="37"/>
      <c r="C16" s="22"/>
      <c r="D16" s="69"/>
      <c r="E16" s="23"/>
    </row>
    <row r="17" spans="1:5" ht="15.75">
      <c r="A17" s="1"/>
      <c r="B17" s="37"/>
      <c r="C17" s="22" t="s">
        <v>195</v>
      </c>
      <c r="D17" s="67"/>
      <c r="E17" s="23"/>
    </row>
    <row r="18" spans="1:5" ht="15">
      <c r="A18" s="1"/>
      <c r="B18" s="37"/>
      <c r="C18" s="41" t="str">
        <f>IF(D15&gt;0,"exceed","be lower than")</f>
        <v>exceed</v>
      </c>
      <c r="D18" s="70" t="s">
        <v>82</v>
      </c>
      <c r="E18" s="23"/>
    </row>
    <row r="19" spans="1:5" ht="15">
      <c r="A19" s="1"/>
      <c r="B19" s="37"/>
      <c r="C19" s="71">
        <f>ABS(D15)</f>
        <v>9.4642848590178463E-3</v>
      </c>
      <c r="D19" s="70" t="s">
        <v>83</v>
      </c>
      <c r="E19" s="23"/>
    </row>
    <row r="20" spans="1:5" ht="15.75" thickBot="1">
      <c r="A20" s="1"/>
      <c r="B20" s="30"/>
      <c r="C20" s="31"/>
      <c r="D20" s="31"/>
      <c r="E20" s="32"/>
    </row>
    <row r="21" spans="1:5" ht="15">
      <c r="A21" s="1"/>
      <c r="B21" s="1"/>
      <c r="C21" s="1"/>
      <c r="D21" s="1"/>
      <c r="E21" s="1"/>
    </row>
  </sheetData>
  <phoneticPr fontId="8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Chapter 31</vt:lpstr>
      <vt:lpstr>#1</vt:lpstr>
      <vt:lpstr>#2</vt:lpstr>
      <vt:lpstr>#3</vt:lpstr>
      <vt:lpstr>#4</vt:lpstr>
      <vt:lpstr>#5</vt:lpstr>
      <vt:lpstr>#6</vt:lpstr>
      <vt:lpstr>#7</vt:lpstr>
      <vt:lpstr>#8</vt:lpstr>
      <vt:lpstr>#9</vt:lpstr>
      <vt:lpstr>#10</vt:lpstr>
      <vt:lpstr>#11</vt:lpstr>
      <vt:lpstr>#12</vt:lpstr>
      <vt:lpstr>#13</vt:lpstr>
      <vt:lpstr>#14</vt:lpstr>
      <vt:lpstr>#15</vt:lpstr>
      <vt:lpstr>#16</vt:lpstr>
      <vt:lpstr>#17</vt:lpstr>
      <vt:lpstr>#18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Smolira</dc:creator>
  <cp:lastModifiedBy>Faiyaz Ahmed</cp:lastModifiedBy>
  <cp:lastPrinted>2005-05-14T21:40:22Z</cp:lastPrinted>
  <dcterms:created xsi:type="dcterms:W3CDTF">2002-08-02T20:28:34Z</dcterms:created>
  <dcterms:modified xsi:type="dcterms:W3CDTF">2012-11-06T11:02:54Z</dcterms:modified>
</cp:coreProperties>
</file>