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0" windowWidth="16320" windowHeight="9030" tabRatio="873"/>
  </bookViews>
  <sheets>
    <sheet name="1-1" sheetId="2" r:id="rId1"/>
    <sheet name="1-2" sheetId="3" r:id="rId2"/>
    <sheet name="1-3" sheetId="4" r:id="rId3"/>
    <sheet name="1-4" sheetId="5" r:id="rId4"/>
    <sheet name="1-5" sheetId="6" r:id="rId5"/>
    <sheet name="1-6" sheetId="8" r:id="rId6"/>
    <sheet name="1-7" sheetId="9" r:id="rId7"/>
    <sheet name="1-8" sheetId="10" r:id="rId8"/>
    <sheet name="1-9" sheetId="58" r:id="rId9"/>
    <sheet name="1-10" sheetId="59" r:id="rId10"/>
    <sheet name="1-11" sheetId="11" r:id="rId11"/>
    <sheet name="1-12" sheetId="12" r:id="rId12"/>
    <sheet name="1-13" sheetId="13" r:id="rId13"/>
    <sheet name="1-14" sheetId="14" r:id="rId14"/>
    <sheet name="1-15" sheetId="15" r:id="rId15"/>
    <sheet name="1-16" sheetId="16" r:id="rId16"/>
    <sheet name="1-17" sheetId="17" r:id="rId17"/>
    <sheet name="1-18" sheetId="18" r:id="rId18"/>
    <sheet name="1-19" sheetId="19" r:id="rId19"/>
    <sheet name="1-20" sheetId="20" r:id="rId20"/>
    <sheet name="1-21" sheetId="21" r:id="rId21"/>
    <sheet name="1-22" sheetId="22" r:id="rId22"/>
    <sheet name="1-23" sheetId="23" r:id="rId23"/>
    <sheet name="1-24" sheetId="24" r:id="rId24"/>
    <sheet name="1-25" sheetId="25" r:id="rId25"/>
    <sheet name="1-26" sheetId="26" r:id="rId26"/>
    <sheet name="1-27" sheetId="27" r:id="rId27"/>
    <sheet name="1-28" sheetId="28" r:id="rId28"/>
    <sheet name="1-29" sheetId="29" r:id="rId29"/>
    <sheet name="1-30" sheetId="30" r:id="rId30"/>
    <sheet name="1-31" sheetId="31" r:id="rId31"/>
    <sheet name="1-32" sheetId="32" r:id="rId32"/>
    <sheet name="1-33" sheetId="33" r:id="rId33"/>
    <sheet name="1-34" sheetId="34" r:id="rId34"/>
    <sheet name="1-35" sheetId="35" r:id="rId35"/>
    <sheet name="1-36" sheetId="36" r:id="rId36"/>
    <sheet name="1-37" sheetId="37" r:id="rId37"/>
    <sheet name="1-38" sheetId="38" r:id="rId38"/>
    <sheet name="1-39" sheetId="39" r:id="rId39"/>
    <sheet name="1-40" sheetId="40" r:id="rId40"/>
    <sheet name="1-41" sheetId="41" r:id="rId41"/>
    <sheet name="1-42" sheetId="42" r:id="rId42"/>
    <sheet name="1-43" sheetId="43" r:id="rId43"/>
    <sheet name="1-44" sheetId="44" r:id="rId44"/>
    <sheet name="1-45" sheetId="45" r:id="rId45"/>
    <sheet name="1-46" sheetId="46" r:id="rId46"/>
    <sheet name="1-47" sheetId="47" r:id="rId47"/>
    <sheet name="1-48" sheetId="48" r:id="rId48"/>
    <sheet name="1-49" sheetId="49" r:id="rId49"/>
    <sheet name="1-50" sheetId="50" r:id="rId50"/>
    <sheet name="1-51" sheetId="51" r:id="rId51"/>
    <sheet name="1-52" sheetId="52" r:id="rId52"/>
    <sheet name="1-53" sheetId="53" r:id="rId53"/>
    <sheet name="1-54" sheetId="54" r:id="rId54"/>
    <sheet name="1-55" sheetId="55" r:id="rId55"/>
    <sheet name="1-56" sheetId="56" r:id="rId56"/>
    <sheet name="1-57" sheetId="57" r:id="rId57"/>
  </sheets>
  <definedNames>
    <definedName name="_xlnm.Print_Area" localSheetId="0">'1-1'!$A$1:$K$54</definedName>
    <definedName name="_xlnm.Print_Area" localSheetId="9">'1-10'!$A$1:$K$45</definedName>
    <definedName name="_xlnm.Print_Area" localSheetId="10">'1-11'!$A$1:$J$52</definedName>
    <definedName name="_xlnm.Print_Area" localSheetId="11">'1-12'!$A$1:$M$40</definedName>
    <definedName name="_xlnm.Print_Area" localSheetId="12">'1-13'!$A$1:$M$48</definedName>
    <definedName name="_xlnm.Print_Area" localSheetId="13">'1-14'!$A$1:$L$54</definedName>
    <definedName name="_xlnm.Print_Area" localSheetId="14">'1-15'!$A$1:$N$37</definedName>
    <definedName name="_xlnm.Print_Area" localSheetId="15">'1-16'!$A$1:$K$47</definedName>
    <definedName name="_xlnm.Print_Area" localSheetId="16">'1-17'!$A$1:$K$41</definedName>
    <definedName name="_xlnm.Print_Area" localSheetId="17">'1-18'!$A$1:$N$27</definedName>
    <definedName name="_xlnm.Print_Area" localSheetId="18">'1-19'!$A$1:$M$42</definedName>
    <definedName name="_xlnm.Print_Area" localSheetId="1">'1-2'!$A$1:$K$61</definedName>
    <definedName name="_xlnm.Print_Area" localSheetId="19">'1-20'!$A$1:$P$33</definedName>
    <definedName name="_xlnm.Print_Area" localSheetId="20">'1-21'!$A$1:$I$25</definedName>
    <definedName name="_xlnm.Print_Area" localSheetId="21">'1-22'!$A$1:$K$36</definedName>
    <definedName name="_xlnm.Print_Area" localSheetId="22">'1-23'!$A$1:$J$22</definedName>
    <definedName name="_xlnm.Print_Area" localSheetId="23">'1-24'!$A$1:$L$46</definedName>
    <definedName name="_xlnm.Print_Area" localSheetId="24">'1-25'!$A$1:$L$40</definedName>
    <definedName name="_xlnm.Print_Area" localSheetId="25">'1-26'!$A$1:$Q$43</definedName>
    <definedName name="_xlnm.Print_Area" localSheetId="26">'1-27'!$A$1:$L$47</definedName>
    <definedName name="_xlnm.Print_Area" localSheetId="27">'1-28'!$A$1:$K$34</definedName>
    <definedName name="_xlnm.Print_Area" localSheetId="28">'1-29'!$A$1:$N$44</definedName>
    <definedName name="_xlnm.Print_Area" localSheetId="2">'1-3'!$A$1:$J$53</definedName>
    <definedName name="_xlnm.Print_Area" localSheetId="29">'1-30'!$A$1:$L$42</definedName>
    <definedName name="_xlnm.Print_Area" localSheetId="30">'1-31'!$A$1:$K$48</definedName>
    <definedName name="_xlnm.Print_Area" localSheetId="31">'1-32'!$A$1:$N$51</definedName>
    <definedName name="_xlnm.Print_Area" localSheetId="32">'1-33'!$A$1:$M$31</definedName>
    <definedName name="_xlnm.Print_Area" localSheetId="33">'1-34'!$A$1:$N$46</definedName>
    <definedName name="_xlnm.Print_Area" localSheetId="34">'1-35'!$A$1:$J$33</definedName>
    <definedName name="_xlnm.Print_Area" localSheetId="35">'1-36'!$A$1:$J$37</definedName>
    <definedName name="_xlnm.Print_Area" localSheetId="36">'1-37'!$A$1:$K$42</definedName>
    <definedName name="_xlnm.Print_Area" localSheetId="37">'1-38'!$A$1:$K$32</definedName>
    <definedName name="_xlnm.Print_Area" localSheetId="38">'1-39'!$A$1:$K$20</definedName>
    <definedName name="_xlnm.Print_Area" localSheetId="3">'1-4'!$A$1:$K$51</definedName>
    <definedName name="_xlnm.Print_Area" localSheetId="39">'1-40'!$A$1:$L$46</definedName>
    <definedName name="_xlnm.Print_Area" localSheetId="40">'1-41'!$A$1:$K$39</definedName>
    <definedName name="_xlnm.Print_Area" localSheetId="41">'1-42'!$A$1:$O$49</definedName>
    <definedName name="_xlnm.Print_Area" localSheetId="42">'1-43'!$A$1:$K$33</definedName>
    <definedName name="_xlnm.Print_Area" localSheetId="43">'1-44'!$A$1:$J$45</definedName>
    <definedName name="_xlnm.Print_Area" localSheetId="44">'1-45'!$A$1:$K$46</definedName>
    <definedName name="_xlnm.Print_Area" localSheetId="45">'1-46'!$A$1:$L$36</definedName>
    <definedName name="_xlnm.Print_Area" localSheetId="46">'1-47'!$A$1:$K$43</definedName>
    <definedName name="_xlnm.Print_Area" localSheetId="47">'1-48'!$A$1:$M$51</definedName>
    <definedName name="_xlnm.Print_Area" localSheetId="48">'1-49'!$A$1:$L$34</definedName>
    <definedName name="_xlnm.Print_Area" localSheetId="4">'1-5'!$A$1:$L$38</definedName>
    <definedName name="_xlnm.Print_Area" localSheetId="49">'1-50'!$A$1:$K$21</definedName>
    <definedName name="_xlnm.Print_Area" localSheetId="50">'1-51'!$A$1:$L$39</definedName>
    <definedName name="_xlnm.Print_Area" localSheetId="51">'1-52'!$A$1:$L$50</definedName>
    <definedName name="_xlnm.Print_Area" localSheetId="52">'1-53'!$A$1:$L$52</definedName>
    <definedName name="_xlnm.Print_Area" localSheetId="53">'1-54'!$A$1:$J$50</definedName>
    <definedName name="_xlnm.Print_Area" localSheetId="54">'1-55'!$A$1:$L$30</definedName>
    <definedName name="_xlnm.Print_Area" localSheetId="55">'1-56'!$A$1:$K$45</definedName>
    <definedName name="_xlnm.Print_Area" localSheetId="56">'1-57'!$A$1:$K$33</definedName>
    <definedName name="_xlnm.Print_Area" localSheetId="5">'1-6'!$A$1:$K$41</definedName>
    <definedName name="_xlnm.Print_Area" localSheetId="6">'1-7'!$A$1:$K$28</definedName>
    <definedName name="_xlnm.Print_Area" localSheetId="7">'1-8'!$A$1:$L$39</definedName>
    <definedName name="_xlnm.Print_Area" localSheetId="8">'1-9'!$A$1:$E$45</definedName>
    <definedName name="Z_4466D771_49B5_4680_AFB2_AE1BC2D40EE1_.wvu.PrintArea" localSheetId="0" hidden="1">'1-1'!$A$1:$K$54</definedName>
    <definedName name="Z_4466D771_49B5_4680_AFB2_AE1BC2D40EE1_.wvu.PrintArea" localSheetId="10" hidden="1">'1-11'!$A$1:$J$52</definedName>
    <definedName name="Z_4466D771_49B5_4680_AFB2_AE1BC2D40EE1_.wvu.PrintArea" localSheetId="11" hidden="1">'1-12'!$A$1:$M$40</definedName>
    <definedName name="Z_4466D771_49B5_4680_AFB2_AE1BC2D40EE1_.wvu.PrintArea" localSheetId="12" hidden="1">'1-13'!$A$1:$M$48</definedName>
    <definedName name="Z_4466D771_49B5_4680_AFB2_AE1BC2D40EE1_.wvu.PrintArea" localSheetId="13" hidden="1">'1-14'!$A$1:$L$54</definedName>
    <definedName name="Z_4466D771_49B5_4680_AFB2_AE1BC2D40EE1_.wvu.PrintArea" localSheetId="14" hidden="1">'1-15'!$A$1:$N$37</definedName>
    <definedName name="Z_4466D771_49B5_4680_AFB2_AE1BC2D40EE1_.wvu.PrintArea" localSheetId="15" hidden="1">'1-16'!$A$1:$K$47</definedName>
    <definedName name="Z_4466D771_49B5_4680_AFB2_AE1BC2D40EE1_.wvu.PrintArea" localSheetId="16" hidden="1">'1-17'!$A$1:$K$41</definedName>
    <definedName name="Z_4466D771_49B5_4680_AFB2_AE1BC2D40EE1_.wvu.PrintArea" localSheetId="17" hidden="1">'1-18'!$A$1:$N$27</definedName>
    <definedName name="Z_4466D771_49B5_4680_AFB2_AE1BC2D40EE1_.wvu.PrintArea" localSheetId="18" hidden="1">'1-19'!$A$1:$M$42</definedName>
    <definedName name="Z_4466D771_49B5_4680_AFB2_AE1BC2D40EE1_.wvu.PrintArea" localSheetId="1" hidden="1">'1-2'!$A$1:$K$61</definedName>
    <definedName name="Z_4466D771_49B5_4680_AFB2_AE1BC2D40EE1_.wvu.PrintArea" localSheetId="20" hidden="1">'1-21'!$A$1:$I$25</definedName>
    <definedName name="Z_4466D771_49B5_4680_AFB2_AE1BC2D40EE1_.wvu.PrintArea" localSheetId="21" hidden="1">'1-22'!$A$1:$K$36</definedName>
    <definedName name="Z_4466D771_49B5_4680_AFB2_AE1BC2D40EE1_.wvu.PrintArea" localSheetId="22" hidden="1">'1-23'!$A$1:$J$22</definedName>
    <definedName name="Z_4466D771_49B5_4680_AFB2_AE1BC2D40EE1_.wvu.PrintArea" localSheetId="23" hidden="1">'1-24'!$A$1:$L$46</definedName>
    <definedName name="Z_4466D771_49B5_4680_AFB2_AE1BC2D40EE1_.wvu.PrintArea" localSheetId="24" hidden="1">'1-25'!$A$1:$L$40</definedName>
    <definedName name="Z_4466D771_49B5_4680_AFB2_AE1BC2D40EE1_.wvu.PrintArea" localSheetId="25" hidden="1">'1-26'!$A$1:$Q$43</definedName>
    <definedName name="Z_4466D771_49B5_4680_AFB2_AE1BC2D40EE1_.wvu.PrintArea" localSheetId="26" hidden="1">'1-27'!$A$1:$L$47</definedName>
    <definedName name="Z_4466D771_49B5_4680_AFB2_AE1BC2D40EE1_.wvu.PrintArea" localSheetId="27" hidden="1">'1-28'!$A$1:$K$34</definedName>
    <definedName name="Z_4466D771_49B5_4680_AFB2_AE1BC2D40EE1_.wvu.PrintArea" localSheetId="28" hidden="1">'1-29'!$A$1:$N$44</definedName>
    <definedName name="Z_4466D771_49B5_4680_AFB2_AE1BC2D40EE1_.wvu.PrintArea" localSheetId="2" hidden="1">'1-3'!$A$1:$J$53</definedName>
    <definedName name="Z_4466D771_49B5_4680_AFB2_AE1BC2D40EE1_.wvu.PrintArea" localSheetId="29" hidden="1">'1-30'!$A$1:$L$42</definedName>
    <definedName name="Z_4466D771_49B5_4680_AFB2_AE1BC2D40EE1_.wvu.PrintArea" localSheetId="30" hidden="1">'1-31'!$A$1:$K$48</definedName>
    <definedName name="Z_4466D771_49B5_4680_AFB2_AE1BC2D40EE1_.wvu.PrintArea" localSheetId="31" hidden="1">'1-32'!$A$1:$N$51</definedName>
    <definedName name="Z_4466D771_49B5_4680_AFB2_AE1BC2D40EE1_.wvu.PrintArea" localSheetId="32" hidden="1">'1-33'!$A$1:$M$31</definedName>
    <definedName name="Z_4466D771_49B5_4680_AFB2_AE1BC2D40EE1_.wvu.PrintArea" localSheetId="33" hidden="1">'1-34'!$A$1:$N$46</definedName>
    <definedName name="Z_4466D771_49B5_4680_AFB2_AE1BC2D40EE1_.wvu.PrintArea" localSheetId="34" hidden="1">'1-35'!$A$1:$J$33</definedName>
    <definedName name="Z_4466D771_49B5_4680_AFB2_AE1BC2D40EE1_.wvu.PrintArea" localSheetId="35" hidden="1">'1-36'!$A$1:$J$37</definedName>
    <definedName name="Z_4466D771_49B5_4680_AFB2_AE1BC2D40EE1_.wvu.PrintArea" localSheetId="36" hidden="1">'1-37'!$A$1:$L$42</definedName>
    <definedName name="Z_4466D771_49B5_4680_AFB2_AE1BC2D40EE1_.wvu.PrintArea" localSheetId="37" hidden="1">'1-38'!$A$1:$K$32</definedName>
    <definedName name="Z_4466D771_49B5_4680_AFB2_AE1BC2D40EE1_.wvu.PrintArea" localSheetId="38" hidden="1">'1-39'!$A$1:$K$20</definedName>
    <definedName name="Z_4466D771_49B5_4680_AFB2_AE1BC2D40EE1_.wvu.PrintArea" localSheetId="3" hidden="1">'1-4'!$A$1:$K$51</definedName>
    <definedName name="Z_4466D771_49B5_4680_AFB2_AE1BC2D40EE1_.wvu.PrintArea" localSheetId="39" hidden="1">'1-40'!$A$1:$L$46</definedName>
    <definedName name="Z_4466D771_49B5_4680_AFB2_AE1BC2D40EE1_.wvu.PrintArea" localSheetId="40" hidden="1">'1-41'!$A$1:$K$39</definedName>
    <definedName name="Z_4466D771_49B5_4680_AFB2_AE1BC2D40EE1_.wvu.PrintArea" localSheetId="41" hidden="1">'1-42'!$A$1:$O$49</definedName>
    <definedName name="Z_4466D771_49B5_4680_AFB2_AE1BC2D40EE1_.wvu.PrintArea" localSheetId="42" hidden="1">'1-43'!$A$1:$K$33</definedName>
    <definedName name="Z_4466D771_49B5_4680_AFB2_AE1BC2D40EE1_.wvu.PrintArea" localSheetId="43" hidden="1">'1-44'!$A$1:$J$45</definedName>
    <definedName name="Z_4466D771_49B5_4680_AFB2_AE1BC2D40EE1_.wvu.PrintArea" localSheetId="44" hidden="1">'1-45'!$A$1:$L$46</definedName>
    <definedName name="Z_4466D771_49B5_4680_AFB2_AE1BC2D40EE1_.wvu.PrintArea" localSheetId="45" hidden="1">'1-46'!$A$1:$L$36</definedName>
    <definedName name="Z_4466D771_49B5_4680_AFB2_AE1BC2D40EE1_.wvu.PrintArea" localSheetId="46" hidden="1">'1-47'!$A$1:$K$43</definedName>
    <definedName name="Z_4466D771_49B5_4680_AFB2_AE1BC2D40EE1_.wvu.PrintArea" localSheetId="47" hidden="1">'1-48'!$B$1:$L$51</definedName>
    <definedName name="Z_4466D771_49B5_4680_AFB2_AE1BC2D40EE1_.wvu.PrintArea" localSheetId="48" hidden="1">'1-49'!$A$1:$L$32</definedName>
    <definedName name="Z_4466D771_49B5_4680_AFB2_AE1BC2D40EE1_.wvu.PrintArea" localSheetId="4" hidden="1">'1-5'!$A$1:$L$18</definedName>
    <definedName name="Z_4466D771_49B5_4680_AFB2_AE1BC2D40EE1_.wvu.PrintArea" localSheetId="49" hidden="1">'1-50'!$A$1:$K$21</definedName>
    <definedName name="Z_4466D771_49B5_4680_AFB2_AE1BC2D40EE1_.wvu.PrintArea" localSheetId="50" hidden="1">'1-51'!$A$1:$L$38</definedName>
    <definedName name="Z_4466D771_49B5_4680_AFB2_AE1BC2D40EE1_.wvu.PrintArea" localSheetId="51" hidden="1">'1-52'!$A$1:$L$50</definedName>
    <definedName name="Z_4466D771_49B5_4680_AFB2_AE1BC2D40EE1_.wvu.PrintArea" localSheetId="52" hidden="1">'1-53'!$A$1:$L$59</definedName>
    <definedName name="Z_4466D771_49B5_4680_AFB2_AE1BC2D40EE1_.wvu.PrintArea" localSheetId="53" hidden="1">'1-54'!$A$1:$I$57</definedName>
    <definedName name="Z_4466D771_49B5_4680_AFB2_AE1BC2D40EE1_.wvu.PrintArea" localSheetId="54" hidden="1">'1-55'!$A$1:$L$30</definedName>
    <definedName name="Z_4466D771_49B5_4680_AFB2_AE1BC2D40EE1_.wvu.PrintArea" localSheetId="55" hidden="1">'1-56'!$A$1:$K$45</definedName>
    <definedName name="Z_4466D771_49B5_4680_AFB2_AE1BC2D40EE1_.wvu.PrintArea" localSheetId="56" hidden="1">'1-57'!$A$1:$K$33</definedName>
    <definedName name="Z_4466D771_49B5_4680_AFB2_AE1BC2D40EE1_.wvu.PrintArea" localSheetId="5" hidden="1">'1-6'!$A$1:$K$41</definedName>
    <definedName name="Z_4466D771_49B5_4680_AFB2_AE1BC2D40EE1_.wvu.PrintArea" localSheetId="6" hidden="1">'1-7'!$A$1:$K$28</definedName>
    <definedName name="Z_4466D771_49B5_4680_AFB2_AE1BC2D40EE1_.wvu.PrintArea" localSheetId="7" hidden="1">'1-8'!$A$1:$L$39</definedName>
    <definedName name="Z_64EC5969_5D8D_4CA9_981C_456D4B800286_.wvu.PrintArea" localSheetId="0" hidden="1">'1-1'!$A$1:$K$54</definedName>
    <definedName name="Z_64EC5969_5D8D_4CA9_981C_456D4B800286_.wvu.PrintArea" localSheetId="10" hidden="1">'1-11'!$A$1:$J$52</definedName>
    <definedName name="Z_64EC5969_5D8D_4CA9_981C_456D4B800286_.wvu.PrintArea" localSheetId="11" hidden="1">'1-12'!$A$1:$M$40</definedName>
    <definedName name="Z_64EC5969_5D8D_4CA9_981C_456D4B800286_.wvu.PrintArea" localSheetId="12" hidden="1">'1-13'!$A$1:$M$48</definedName>
    <definedName name="Z_64EC5969_5D8D_4CA9_981C_456D4B800286_.wvu.PrintArea" localSheetId="13" hidden="1">'1-14'!$A$1:$L$54</definedName>
    <definedName name="Z_64EC5969_5D8D_4CA9_981C_456D4B800286_.wvu.PrintArea" localSheetId="14" hidden="1">'1-15'!$A$1:$N$37</definedName>
    <definedName name="Z_64EC5969_5D8D_4CA9_981C_456D4B800286_.wvu.PrintArea" localSheetId="15" hidden="1">'1-16'!$A$1:$K$47</definedName>
    <definedName name="Z_64EC5969_5D8D_4CA9_981C_456D4B800286_.wvu.PrintArea" localSheetId="16" hidden="1">'1-17'!$A$1:$K$41</definedName>
    <definedName name="Z_64EC5969_5D8D_4CA9_981C_456D4B800286_.wvu.PrintArea" localSheetId="17" hidden="1">'1-18'!$A$1:$N$27</definedName>
    <definedName name="Z_64EC5969_5D8D_4CA9_981C_456D4B800286_.wvu.PrintArea" localSheetId="18" hidden="1">'1-19'!$A$1:$M$42</definedName>
    <definedName name="Z_64EC5969_5D8D_4CA9_981C_456D4B800286_.wvu.PrintArea" localSheetId="1" hidden="1">'1-2'!$A$1:$K$61</definedName>
    <definedName name="Z_64EC5969_5D8D_4CA9_981C_456D4B800286_.wvu.PrintArea" localSheetId="20" hidden="1">'1-21'!$A$1:$I$25</definedName>
    <definedName name="Z_64EC5969_5D8D_4CA9_981C_456D4B800286_.wvu.PrintArea" localSheetId="21" hidden="1">'1-22'!$A$1:$K$36</definedName>
    <definedName name="Z_64EC5969_5D8D_4CA9_981C_456D4B800286_.wvu.PrintArea" localSheetId="22" hidden="1">'1-23'!$A$1:$J$22</definedName>
    <definedName name="Z_64EC5969_5D8D_4CA9_981C_456D4B800286_.wvu.PrintArea" localSheetId="23" hidden="1">'1-24'!$A$1:$L$46</definedName>
    <definedName name="Z_64EC5969_5D8D_4CA9_981C_456D4B800286_.wvu.PrintArea" localSheetId="24" hidden="1">'1-25'!$A$1:$L$40</definedName>
    <definedName name="Z_64EC5969_5D8D_4CA9_981C_456D4B800286_.wvu.PrintArea" localSheetId="25" hidden="1">'1-26'!$A$1:$Q$43</definedName>
    <definedName name="Z_64EC5969_5D8D_4CA9_981C_456D4B800286_.wvu.PrintArea" localSheetId="26" hidden="1">'1-27'!$A$1:$L$47</definedName>
    <definedName name="Z_64EC5969_5D8D_4CA9_981C_456D4B800286_.wvu.PrintArea" localSheetId="27" hidden="1">'1-28'!$A$1:$K$34</definedName>
    <definedName name="Z_64EC5969_5D8D_4CA9_981C_456D4B800286_.wvu.PrintArea" localSheetId="28" hidden="1">'1-29'!$A$1:$N$44</definedName>
    <definedName name="Z_64EC5969_5D8D_4CA9_981C_456D4B800286_.wvu.PrintArea" localSheetId="2" hidden="1">'1-3'!$A$1:$J$53</definedName>
    <definedName name="Z_64EC5969_5D8D_4CA9_981C_456D4B800286_.wvu.PrintArea" localSheetId="29" hidden="1">'1-30'!$A$1:$L$42</definedName>
    <definedName name="Z_64EC5969_5D8D_4CA9_981C_456D4B800286_.wvu.PrintArea" localSheetId="30" hidden="1">'1-31'!$A$1:$K$48</definedName>
    <definedName name="Z_64EC5969_5D8D_4CA9_981C_456D4B800286_.wvu.PrintArea" localSheetId="31" hidden="1">'1-32'!$A$1:$N$51</definedName>
    <definedName name="Z_64EC5969_5D8D_4CA9_981C_456D4B800286_.wvu.PrintArea" localSheetId="32" hidden="1">'1-33'!$A$1:$M$31</definedName>
    <definedName name="Z_64EC5969_5D8D_4CA9_981C_456D4B800286_.wvu.PrintArea" localSheetId="33" hidden="1">'1-34'!$A$1:$N$46</definedName>
    <definedName name="Z_64EC5969_5D8D_4CA9_981C_456D4B800286_.wvu.PrintArea" localSheetId="34" hidden="1">'1-35'!$A$1:$J$33</definedName>
    <definedName name="Z_64EC5969_5D8D_4CA9_981C_456D4B800286_.wvu.PrintArea" localSheetId="35" hidden="1">'1-36'!$A$1:$J$37</definedName>
    <definedName name="Z_64EC5969_5D8D_4CA9_981C_456D4B800286_.wvu.PrintArea" localSheetId="36" hidden="1">'1-37'!$A$1:$L$42</definedName>
    <definedName name="Z_64EC5969_5D8D_4CA9_981C_456D4B800286_.wvu.PrintArea" localSheetId="37" hidden="1">'1-38'!$A$1:$K$32</definedName>
    <definedName name="Z_64EC5969_5D8D_4CA9_981C_456D4B800286_.wvu.PrintArea" localSheetId="38" hidden="1">'1-39'!$A$1:$K$20</definedName>
    <definedName name="Z_64EC5969_5D8D_4CA9_981C_456D4B800286_.wvu.PrintArea" localSheetId="3" hidden="1">'1-4'!$A$1:$K$51</definedName>
    <definedName name="Z_64EC5969_5D8D_4CA9_981C_456D4B800286_.wvu.PrintArea" localSheetId="39" hidden="1">'1-40'!$A$1:$L$46</definedName>
    <definedName name="Z_64EC5969_5D8D_4CA9_981C_456D4B800286_.wvu.PrintArea" localSheetId="40" hidden="1">'1-41'!$A$1:$K$39</definedName>
    <definedName name="Z_64EC5969_5D8D_4CA9_981C_456D4B800286_.wvu.PrintArea" localSheetId="41" hidden="1">'1-42'!$A$1:$O$49</definedName>
    <definedName name="Z_64EC5969_5D8D_4CA9_981C_456D4B800286_.wvu.PrintArea" localSheetId="42" hidden="1">'1-43'!$A$1:$K$33</definedName>
    <definedName name="Z_64EC5969_5D8D_4CA9_981C_456D4B800286_.wvu.PrintArea" localSheetId="43" hidden="1">'1-44'!$A$1:$J$45</definedName>
    <definedName name="Z_64EC5969_5D8D_4CA9_981C_456D4B800286_.wvu.PrintArea" localSheetId="44" hidden="1">'1-45'!$A$1:$L$46</definedName>
    <definedName name="Z_64EC5969_5D8D_4CA9_981C_456D4B800286_.wvu.PrintArea" localSheetId="45" hidden="1">'1-46'!$A$1:$L$36</definedName>
    <definedName name="Z_64EC5969_5D8D_4CA9_981C_456D4B800286_.wvu.PrintArea" localSheetId="46" hidden="1">'1-47'!$A$1:$K$43</definedName>
    <definedName name="Z_64EC5969_5D8D_4CA9_981C_456D4B800286_.wvu.PrintArea" localSheetId="47" hidden="1">'1-48'!$B$1:$L$51</definedName>
    <definedName name="Z_64EC5969_5D8D_4CA9_981C_456D4B800286_.wvu.PrintArea" localSheetId="48" hidden="1">'1-49'!$A$1:$L$32</definedName>
    <definedName name="Z_64EC5969_5D8D_4CA9_981C_456D4B800286_.wvu.PrintArea" localSheetId="4" hidden="1">'1-5'!$A$1:$L$18</definedName>
    <definedName name="Z_64EC5969_5D8D_4CA9_981C_456D4B800286_.wvu.PrintArea" localSheetId="49" hidden="1">'1-50'!$A$1:$K$21</definedName>
    <definedName name="Z_64EC5969_5D8D_4CA9_981C_456D4B800286_.wvu.PrintArea" localSheetId="50" hidden="1">'1-51'!$A$1:$L$38</definedName>
    <definedName name="Z_64EC5969_5D8D_4CA9_981C_456D4B800286_.wvu.PrintArea" localSheetId="51" hidden="1">'1-52'!$A$1:$L$50</definedName>
    <definedName name="Z_64EC5969_5D8D_4CA9_981C_456D4B800286_.wvu.PrintArea" localSheetId="52" hidden="1">'1-53'!$A$1:$L$59</definedName>
    <definedName name="Z_64EC5969_5D8D_4CA9_981C_456D4B800286_.wvu.PrintArea" localSheetId="53" hidden="1">'1-54'!$A$1:$I$57</definedName>
    <definedName name="Z_64EC5969_5D8D_4CA9_981C_456D4B800286_.wvu.PrintArea" localSheetId="54" hidden="1">'1-55'!$A$1:$L$30</definedName>
    <definedName name="Z_64EC5969_5D8D_4CA9_981C_456D4B800286_.wvu.PrintArea" localSheetId="55" hidden="1">'1-56'!$A$1:$K$45</definedName>
    <definedName name="Z_64EC5969_5D8D_4CA9_981C_456D4B800286_.wvu.PrintArea" localSheetId="56" hidden="1">'1-57'!$A$1:$K$33</definedName>
    <definedName name="Z_64EC5969_5D8D_4CA9_981C_456D4B800286_.wvu.PrintArea" localSheetId="5" hidden="1">'1-6'!$A$1:$K$41</definedName>
    <definedName name="Z_64EC5969_5D8D_4CA9_981C_456D4B800286_.wvu.PrintArea" localSheetId="6" hidden="1">'1-7'!$A$1:$K$28</definedName>
    <definedName name="Z_64EC5969_5D8D_4CA9_981C_456D4B800286_.wvu.PrintArea" localSheetId="7" hidden="1">'1-8'!$A$1:$L$39</definedName>
    <definedName name="Z_92AEB71B_C088_46D1_AFBE_855E5EC7C157_.wvu.PrintArea" localSheetId="0" hidden="1">'1-1'!$A$1:$K$54</definedName>
    <definedName name="Z_92AEB71B_C088_46D1_AFBE_855E5EC7C157_.wvu.PrintArea" localSheetId="9" hidden="1">'1-10'!$A$1:$K$35</definedName>
    <definedName name="Z_92AEB71B_C088_46D1_AFBE_855E5EC7C157_.wvu.PrintArea" localSheetId="10" hidden="1">'1-11'!$A$1:$J$52</definedName>
    <definedName name="Z_92AEB71B_C088_46D1_AFBE_855E5EC7C157_.wvu.PrintArea" localSheetId="11" hidden="1">'1-12'!$A$1:$M$40</definedName>
    <definedName name="Z_92AEB71B_C088_46D1_AFBE_855E5EC7C157_.wvu.PrintArea" localSheetId="12" hidden="1">'1-13'!$A$1:$M$48</definedName>
    <definedName name="Z_92AEB71B_C088_46D1_AFBE_855E5EC7C157_.wvu.PrintArea" localSheetId="13" hidden="1">'1-14'!$A$1:$L$54</definedName>
    <definedName name="Z_92AEB71B_C088_46D1_AFBE_855E5EC7C157_.wvu.PrintArea" localSheetId="14" hidden="1">'1-15'!$A$1:$N$37</definedName>
    <definedName name="Z_92AEB71B_C088_46D1_AFBE_855E5EC7C157_.wvu.PrintArea" localSheetId="15" hidden="1">'1-16'!$A$1:$K$47</definedName>
    <definedName name="Z_92AEB71B_C088_46D1_AFBE_855E5EC7C157_.wvu.PrintArea" localSheetId="16" hidden="1">'1-17'!$A$1:$K$41</definedName>
    <definedName name="Z_92AEB71B_C088_46D1_AFBE_855E5EC7C157_.wvu.PrintArea" localSheetId="17" hidden="1">'1-18'!$A$1:$N$27</definedName>
    <definedName name="Z_92AEB71B_C088_46D1_AFBE_855E5EC7C157_.wvu.PrintArea" localSheetId="18" hidden="1">'1-19'!$A$1:$M$42</definedName>
    <definedName name="Z_92AEB71B_C088_46D1_AFBE_855E5EC7C157_.wvu.PrintArea" localSheetId="1" hidden="1">'1-2'!$A$1:$K$61</definedName>
    <definedName name="Z_92AEB71B_C088_46D1_AFBE_855E5EC7C157_.wvu.PrintArea" localSheetId="19" hidden="1">'1-20'!$A$2:$N$27</definedName>
    <definedName name="Z_92AEB71B_C088_46D1_AFBE_855E5EC7C157_.wvu.PrintArea" localSheetId="20" hidden="1">'1-21'!$A$1:$I$25</definedName>
    <definedName name="Z_92AEB71B_C088_46D1_AFBE_855E5EC7C157_.wvu.PrintArea" localSheetId="21" hidden="1">'1-22'!$A$1:$K$36</definedName>
    <definedName name="Z_92AEB71B_C088_46D1_AFBE_855E5EC7C157_.wvu.PrintArea" localSheetId="22" hidden="1">'1-23'!$A$1:$J$22</definedName>
    <definedName name="Z_92AEB71B_C088_46D1_AFBE_855E5EC7C157_.wvu.PrintArea" localSheetId="23" hidden="1">'1-24'!$A$1:$L$46</definedName>
    <definedName name="Z_92AEB71B_C088_46D1_AFBE_855E5EC7C157_.wvu.PrintArea" localSheetId="24" hidden="1">'1-25'!$A$1:$L$40</definedName>
    <definedName name="Z_92AEB71B_C088_46D1_AFBE_855E5EC7C157_.wvu.PrintArea" localSheetId="25" hidden="1">'1-26'!$A$1:$Q$43</definedName>
    <definedName name="Z_92AEB71B_C088_46D1_AFBE_855E5EC7C157_.wvu.PrintArea" localSheetId="26" hidden="1">'1-27'!$A$1:$L$47</definedName>
    <definedName name="Z_92AEB71B_C088_46D1_AFBE_855E5EC7C157_.wvu.PrintArea" localSheetId="27" hidden="1">'1-28'!$A$1:$K$34</definedName>
    <definedName name="Z_92AEB71B_C088_46D1_AFBE_855E5EC7C157_.wvu.PrintArea" localSheetId="28" hidden="1">'1-29'!$A$1:$N$44</definedName>
    <definedName name="Z_92AEB71B_C088_46D1_AFBE_855E5EC7C157_.wvu.PrintArea" localSheetId="2" hidden="1">'1-3'!$A$1:$J$53</definedName>
    <definedName name="Z_92AEB71B_C088_46D1_AFBE_855E5EC7C157_.wvu.PrintArea" localSheetId="29" hidden="1">'1-30'!$A$1:$L$42</definedName>
    <definedName name="Z_92AEB71B_C088_46D1_AFBE_855E5EC7C157_.wvu.PrintArea" localSheetId="30" hidden="1">'1-31'!$A$1:$K$48</definedName>
    <definedName name="Z_92AEB71B_C088_46D1_AFBE_855E5EC7C157_.wvu.PrintArea" localSheetId="31" hidden="1">'1-32'!$A$1:$N$51</definedName>
    <definedName name="Z_92AEB71B_C088_46D1_AFBE_855E5EC7C157_.wvu.PrintArea" localSheetId="32" hidden="1">'1-33'!$A$1:$M$31</definedName>
    <definedName name="Z_92AEB71B_C088_46D1_AFBE_855E5EC7C157_.wvu.PrintArea" localSheetId="33" hidden="1">'1-34'!$A$1:$N$46</definedName>
    <definedName name="Z_92AEB71B_C088_46D1_AFBE_855E5EC7C157_.wvu.PrintArea" localSheetId="34" hidden="1">'1-35'!$A$1:$J$33</definedName>
    <definedName name="Z_92AEB71B_C088_46D1_AFBE_855E5EC7C157_.wvu.PrintArea" localSheetId="35" hidden="1">'1-36'!$A$1:$J$37</definedName>
    <definedName name="Z_92AEB71B_C088_46D1_AFBE_855E5EC7C157_.wvu.PrintArea" localSheetId="36" hidden="1">'1-37'!$A$1:$L$42</definedName>
    <definedName name="Z_92AEB71B_C088_46D1_AFBE_855E5EC7C157_.wvu.PrintArea" localSheetId="37" hidden="1">'1-38'!$A$1:$K$32</definedName>
    <definedName name="Z_92AEB71B_C088_46D1_AFBE_855E5EC7C157_.wvu.PrintArea" localSheetId="38" hidden="1">'1-39'!$A$1:$K$20</definedName>
    <definedName name="Z_92AEB71B_C088_46D1_AFBE_855E5EC7C157_.wvu.PrintArea" localSheetId="3" hidden="1">'1-4'!$A$1:$K$51</definedName>
    <definedName name="Z_92AEB71B_C088_46D1_AFBE_855E5EC7C157_.wvu.PrintArea" localSheetId="39" hidden="1">'1-40'!$A$1:$L$46</definedName>
    <definedName name="Z_92AEB71B_C088_46D1_AFBE_855E5EC7C157_.wvu.PrintArea" localSheetId="40" hidden="1">'1-41'!$A$1:$K$39</definedName>
    <definedName name="Z_92AEB71B_C088_46D1_AFBE_855E5EC7C157_.wvu.PrintArea" localSheetId="41" hidden="1">'1-42'!$A$1:$O$49</definedName>
    <definedName name="Z_92AEB71B_C088_46D1_AFBE_855E5EC7C157_.wvu.PrintArea" localSheetId="42" hidden="1">'1-43'!$A$1:$K$33</definedName>
    <definedName name="Z_92AEB71B_C088_46D1_AFBE_855E5EC7C157_.wvu.PrintArea" localSheetId="43" hidden="1">'1-44'!$A$1:$J$45</definedName>
    <definedName name="Z_92AEB71B_C088_46D1_AFBE_855E5EC7C157_.wvu.PrintArea" localSheetId="44" hidden="1">'1-45'!$A$1:$L$46</definedName>
    <definedName name="Z_92AEB71B_C088_46D1_AFBE_855E5EC7C157_.wvu.PrintArea" localSheetId="45" hidden="1">'1-46'!$A$1:$L$36</definedName>
    <definedName name="Z_92AEB71B_C088_46D1_AFBE_855E5EC7C157_.wvu.PrintArea" localSheetId="46" hidden="1">'1-47'!$A$1:$K$43</definedName>
    <definedName name="Z_92AEB71B_C088_46D1_AFBE_855E5EC7C157_.wvu.PrintArea" localSheetId="47" hidden="1">'1-48'!$B$1:$L$51</definedName>
    <definedName name="Z_92AEB71B_C088_46D1_AFBE_855E5EC7C157_.wvu.PrintArea" localSheetId="48" hidden="1">'1-49'!$A$1:$L$32</definedName>
    <definedName name="Z_92AEB71B_C088_46D1_AFBE_855E5EC7C157_.wvu.PrintArea" localSheetId="4" hidden="1">'1-5'!$A$1:$L$18</definedName>
    <definedName name="Z_92AEB71B_C088_46D1_AFBE_855E5EC7C157_.wvu.PrintArea" localSheetId="49" hidden="1">'1-50'!$A$1:$K$21</definedName>
    <definedName name="Z_92AEB71B_C088_46D1_AFBE_855E5EC7C157_.wvu.PrintArea" localSheetId="50" hidden="1">'1-51'!$A$1:$L$38</definedName>
    <definedName name="Z_92AEB71B_C088_46D1_AFBE_855E5EC7C157_.wvu.PrintArea" localSheetId="51" hidden="1">'1-52'!$A$1:$L$50</definedName>
    <definedName name="Z_92AEB71B_C088_46D1_AFBE_855E5EC7C157_.wvu.PrintArea" localSheetId="52" hidden="1">'1-53'!$A$1:$L$59</definedName>
    <definedName name="Z_92AEB71B_C088_46D1_AFBE_855E5EC7C157_.wvu.PrintArea" localSheetId="53" hidden="1">'1-54'!$A$1:$I$57</definedName>
    <definedName name="Z_92AEB71B_C088_46D1_AFBE_855E5EC7C157_.wvu.PrintArea" localSheetId="54" hidden="1">'1-55'!$A$1:$L$30</definedName>
    <definedName name="Z_92AEB71B_C088_46D1_AFBE_855E5EC7C157_.wvu.PrintArea" localSheetId="55" hidden="1">'1-56'!$A$1:$K$45</definedName>
    <definedName name="Z_92AEB71B_C088_46D1_AFBE_855E5EC7C157_.wvu.PrintArea" localSheetId="56" hidden="1">'1-57'!$A$1:$K$33</definedName>
    <definedName name="Z_92AEB71B_C088_46D1_AFBE_855E5EC7C157_.wvu.PrintArea" localSheetId="5" hidden="1">'1-6'!$A$1:$K$41</definedName>
    <definedName name="Z_92AEB71B_C088_46D1_AFBE_855E5EC7C157_.wvu.PrintArea" localSheetId="6" hidden="1">'1-7'!$A$1:$K$28</definedName>
    <definedName name="Z_92AEB71B_C088_46D1_AFBE_855E5EC7C157_.wvu.PrintArea" localSheetId="7" hidden="1">'1-8'!$A$1:$L$39</definedName>
    <definedName name="Z_92AEB71B_C088_46D1_AFBE_855E5EC7C157_.wvu.PrintArea" localSheetId="8" hidden="1">'1-9'!$A$1:$E$29</definedName>
    <definedName name="Z_B2DDA8C4_3089_41F7_BA6E_A0E09596A2CA_.wvu.PrintArea" localSheetId="0" hidden="1">'1-1'!$A$1:$K$54</definedName>
    <definedName name="Z_B2DDA8C4_3089_41F7_BA6E_A0E09596A2CA_.wvu.PrintArea" localSheetId="9" hidden="1">'1-10'!$A$1:$K$35</definedName>
    <definedName name="Z_B2DDA8C4_3089_41F7_BA6E_A0E09596A2CA_.wvu.PrintArea" localSheetId="10" hidden="1">'1-11'!$A$1:$J$52</definedName>
    <definedName name="Z_B2DDA8C4_3089_41F7_BA6E_A0E09596A2CA_.wvu.PrintArea" localSheetId="11" hidden="1">'1-12'!$A$1:$M$40</definedName>
    <definedName name="Z_B2DDA8C4_3089_41F7_BA6E_A0E09596A2CA_.wvu.PrintArea" localSheetId="12" hidden="1">'1-13'!$A$1:$M$48</definedName>
    <definedName name="Z_B2DDA8C4_3089_41F7_BA6E_A0E09596A2CA_.wvu.PrintArea" localSheetId="13" hidden="1">'1-14'!$A$1:$L$54</definedName>
    <definedName name="Z_B2DDA8C4_3089_41F7_BA6E_A0E09596A2CA_.wvu.PrintArea" localSheetId="14" hidden="1">'1-15'!$A$1:$N$37</definedName>
    <definedName name="Z_B2DDA8C4_3089_41F7_BA6E_A0E09596A2CA_.wvu.PrintArea" localSheetId="15" hidden="1">'1-16'!$A$1:$K$47</definedName>
    <definedName name="Z_B2DDA8C4_3089_41F7_BA6E_A0E09596A2CA_.wvu.PrintArea" localSheetId="16" hidden="1">'1-17'!$A$1:$K$41</definedName>
    <definedName name="Z_B2DDA8C4_3089_41F7_BA6E_A0E09596A2CA_.wvu.PrintArea" localSheetId="17" hidden="1">'1-18'!$A$1:$N$27</definedName>
    <definedName name="Z_B2DDA8C4_3089_41F7_BA6E_A0E09596A2CA_.wvu.PrintArea" localSheetId="18" hidden="1">'1-19'!$A$1:$M$42</definedName>
    <definedName name="Z_B2DDA8C4_3089_41F7_BA6E_A0E09596A2CA_.wvu.PrintArea" localSheetId="1" hidden="1">'1-2'!$A$1:$K$61</definedName>
    <definedName name="Z_B2DDA8C4_3089_41F7_BA6E_A0E09596A2CA_.wvu.PrintArea" localSheetId="19" hidden="1">'1-20'!$A$2:$N$27</definedName>
    <definedName name="Z_B2DDA8C4_3089_41F7_BA6E_A0E09596A2CA_.wvu.PrintArea" localSheetId="20" hidden="1">'1-21'!$A$1:$I$25</definedName>
    <definedName name="Z_B2DDA8C4_3089_41F7_BA6E_A0E09596A2CA_.wvu.PrintArea" localSheetId="21" hidden="1">'1-22'!$A$1:$K$36</definedName>
    <definedName name="Z_B2DDA8C4_3089_41F7_BA6E_A0E09596A2CA_.wvu.PrintArea" localSheetId="22" hidden="1">'1-23'!$A$1:$J$22</definedName>
    <definedName name="Z_B2DDA8C4_3089_41F7_BA6E_A0E09596A2CA_.wvu.PrintArea" localSheetId="23" hidden="1">'1-24'!$A$1:$L$46</definedName>
    <definedName name="Z_B2DDA8C4_3089_41F7_BA6E_A0E09596A2CA_.wvu.PrintArea" localSheetId="24" hidden="1">'1-25'!$A$1:$L$40</definedName>
    <definedName name="Z_B2DDA8C4_3089_41F7_BA6E_A0E09596A2CA_.wvu.PrintArea" localSheetId="25" hidden="1">'1-26'!$A$1:$Q$43</definedName>
    <definedName name="Z_B2DDA8C4_3089_41F7_BA6E_A0E09596A2CA_.wvu.PrintArea" localSheetId="26" hidden="1">'1-27'!$A$1:$L$47</definedName>
    <definedName name="Z_B2DDA8C4_3089_41F7_BA6E_A0E09596A2CA_.wvu.PrintArea" localSheetId="27" hidden="1">'1-28'!$A$1:$K$34</definedName>
    <definedName name="Z_B2DDA8C4_3089_41F7_BA6E_A0E09596A2CA_.wvu.PrintArea" localSheetId="28" hidden="1">'1-29'!$A$1:$N$44</definedName>
    <definedName name="Z_B2DDA8C4_3089_41F7_BA6E_A0E09596A2CA_.wvu.PrintArea" localSheetId="2" hidden="1">'1-3'!$A$1:$J$53</definedName>
    <definedName name="Z_B2DDA8C4_3089_41F7_BA6E_A0E09596A2CA_.wvu.PrintArea" localSheetId="29" hidden="1">'1-30'!$A$1:$L$42</definedName>
    <definedName name="Z_B2DDA8C4_3089_41F7_BA6E_A0E09596A2CA_.wvu.PrintArea" localSheetId="30" hidden="1">'1-31'!$A$1:$K$48</definedName>
    <definedName name="Z_B2DDA8C4_3089_41F7_BA6E_A0E09596A2CA_.wvu.PrintArea" localSheetId="31" hidden="1">'1-32'!$A$1:$N$51</definedName>
    <definedName name="Z_B2DDA8C4_3089_41F7_BA6E_A0E09596A2CA_.wvu.PrintArea" localSheetId="32" hidden="1">'1-33'!$A$1:$M$31</definedName>
    <definedName name="Z_B2DDA8C4_3089_41F7_BA6E_A0E09596A2CA_.wvu.PrintArea" localSheetId="33" hidden="1">'1-34'!$A$1:$N$46</definedName>
    <definedName name="Z_B2DDA8C4_3089_41F7_BA6E_A0E09596A2CA_.wvu.PrintArea" localSheetId="34" hidden="1">'1-35'!$A$1:$J$33</definedName>
    <definedName name="Z_B2DDA8C4_3089_41F7_BA6E_A0E09596A2CA_.wvu.PrintArea" localSheetId="35" hidden="1">'1-36'!$A$1:$J$37</definedName>
    <definedName name="Z_B2DDA8C4_3089_41F7_BA6E_A0E09596A2CA_.wvu.PrintArea" localSheetId="36" hidden="1">'1-37'!$A$1:$L$42</definedName>
    <definedName name="Z_B2DDA8C4_3089_41F7_BA6E_A0E09596A2CA_.wvu.PrintArea" localSheetId="37" hidden="1">'1-38'!$A$1:$K$32</definedName>
    <definedName name="Z_B2DDA8C4_3089_41F7_BA6E_A0E09596A2CA_.wvu.PrintArea" localSheetId="38" hidden="1">'1-39'!$A$1:$K$20</definedName>
    <definedName name="Z_B2DDA8C4_3089_41F7_BA6E_A0E09596A2CA_.wvu.PrintArea" localSheetId="3" hidden="1">'1-4'!$A$1:$K$51</definedName>
    <definedName name="Z_B2DDA8C4_3089_41F7_BA6E_A0E09596A2CA_.wvu.PrintArea" localSheetId="39" hidden="1">'1-40'!$A$1:$L$46</definedName>
    <definedName name="Z_B2DDA8C4_3089_41F7_BA6E_A0E09596A2CA_.wvu.PrintArea" localSheetId="40" hidden="1">'1-41'!$A$1:$K$39</definedName>
    <definedName name="Z_B2DDA8C4_3089_41F7_BA6E_A0E09596A2CA_.wvu.PrintArea" localSheetId="41" hidden="1">'1-42'!$A$1:$O$49</definedName>
    <definedName name="Z_B2DDA8C4_3089_41F7_BA6E_A0E09596A2CA_.wvu.PrintArea" localSheetId="42" hidden="1">'1-43'!$A$1:$K$33</definedName>
    <definedName name="Z_B2DDA8C4_3089_41F7_BA6E_A0E09596A2CA_.wvu.PrintArea" localSheetId="43" hidden="1">'1-44'!$A$1:$J$45</definedName>
    <definedName name="Z_B2DDA8C4_3089_41F7_BA6E_A0E09596A2CA_.wvu.PrintArea" localSheetId="44" hidden="1">'1-45'!$A$1:$L$46</definedName>
    <definedName name="Z_B2DDA8C4_3089_41F7_BA6E_A0E09596A2CA_.wvu.PrintArea" localSheetId="45" hidden="1">'1-46'!$A$1:$L$36</definedName>
    <definedName name="Z_B2DDA8C4_3089_41F7_BA6E_A0E09596A2CA_.wvu.PrintArea" localSheetId="46" hidden="1">'1-47'!$A$1:$K$43</definedName>
    <definedName name="Z_B2DDA8C4_3089_41F7_BA6E_A0E09596A2CA_.wvu.PrintArea" localSheetId="47" hidden="1">'1-48'!$B$1:$L$51</definedName>
    <definedName name="Z_B2DDA8C4_3089_41F7_BA6E_A0E09596A2CA_.wvu.PrintArea" localSheetId="48" hidden="1">'1-49'!$A$1:$L$32</definedName>
    <definedName name="Z_B2DDA8C4_3089_41F7_BA6E_A0E09596A2CA_.wvu.PrintArea" localSheetId="4" hidden="1">'1-5'!$A$1:$L$18</definedName>
    <definedName name="Z_B2DDA8C4_3089_41F7_BA6E_A0E09596A2CA_.wvu.PrintArea" localSheetId="49" hidden="1">'1-50'!$A$1:$K$21</definedName>
    <definedName name="Z_B2DDA8C4_3089_41F7_BA6E_A0E09596A2CA_.wvu.PrintArea" localSheetId="50" hidden="1">'1-51'!$A$1:$L$38</definedName>
    <definedName name="Z_B2DDA8C4_3089_41F7_BA6E_A0E09596A2CA_.wvu.PrintArea" localSheetId="51" hidden="1">'1-52'!$A$1:$L$50</definedName>
    <definedName name="Z_B2DDA8C4_3089_41F7_BA6E_A0E09596A2CA_.wvu.PrintArea" localSheetId="52" hidden="1">'1-53'!$A$1:$L$59</definedName>
    <definedName name="Z_B2DDA8C4_3089_41F7_BA6E_A0E09596A2CA_.wvu.PrintArea" localSheetId="53" hidden="1">'1-54'!$A$1:$I$57</definedName>
    <definedName name="Z_B2DDA8C4_3089_41F7_BA6E_A0E09596A2CA_.wvu.PrintArea" localSheetId="54" hidden="1">'1-55'!$A$1:$L$30</definedName>
    <definedName name="Z_B2DDA8C4_3089_41F7_BA6E_A0E09596A2CA_.wvu.PrintArea" localSheetId="55" hidden="1">'1-56'!$A$1:$K$45</definedName>
    <definedName name="Z_B2DDA8C4_3089_41F7_BA6E_A0E09596A2CA_.wvu.PrintArea" localSheetId="56" hidden="1">'1-57'!$A$1:$K$33</definedName>
    <definedName name="Z_B2DDA8C4_3089_41F7_BA6E_A0E09596A2CA_.wvu.PrintArea" localSheetId="5" hidden="1">'1-6'!$A$1:$K$41</definedName>
    <definedName name="Z_B2DDA8C4_3089_41F7_BA6E_A0E09596A2CA_.wvu.PrintArea" localSheetId="6" hidden="1">'1-7'!$A$1:$K$28</definedName>
    <definedName name="Z_B2DDA8C4_3089_41F7_BA6E_A0E09596A2CA_.wvu.PrintArea" localSheetId="7" hidden="1">'1-8'!$A$1:$L$39</definedName>
    <definedName name="Z_B2DDA8C4_3089_41F7_BA6E_A0E09596A2CA_.wvu.PrintArea" localSheetId="8" hidden="1">'1-9'!$A$1:$E$29</definedName>
    <definedName name="Z_E773A59C_8681_44F8_B8A6_B41D569D15E5_.wvu.PrintArea" localSheetId="0" hidden="1">'1-1'!$A$1:$K$54</definedName>
    <definedName name="Z_E773A59C_8681_44F8_B8A6_B41D569D15E5_.wvu.PrintArea" localSheetId="10" hidden="1">'1-11'!$A$1:$J$52</definedName>
    <definedName name="Z_E773A59C_8681_44F8_B8A6_B41D569D15E5_.wvu.PrintArea" localSheetId="11" hidden="1">'1-12'!$A$1:$M$40</definedName>
    <definedName name="Z_E773A59C_8681_44F8_B8A6_B41D569D15E5_.wvu.PrintArea" localSheetId="12" hidden="1">'1-13'!$A$1:$M$48</definedName>
    <definedName name="Z_E773A59C_8681_44F8_B8A6_B41D569D15E5_.wvu.PrintArea" localSheetId="13" hidden="1">'1-14'!$A$1:$L$54</definedName>
    <definedName name="Z_E773A59C_8681_44F8_B8A6_B41D569D15E5_.wvu.PrintArea" localSheetId="14" hidden="1">'1-15'!$A$1:$N$37</definedName>
    <definedName name="Z_E773A59C_8681_44F8_B8A6_B41D569D15E5_.wvu.PrintArea" localSheetId="15" hidden="1">'1-16'!$A$1:$K$47</definedName>
    <definedName name="Z_E773A59C_8681_44F8_B8A6_B41D569D15E5_.wvu.PrintArea" localSheetId="16" hidden="1">'1-17'!$A$1:$K$41</definedName>
    <definedName name="Z_E773A59C_8681_44F8_B8A6_B41D569D15E5_.wvu.PrintArea" localSheetId="17" hidden="1">'1-18'!$A$1:$N$27</definedName>
    <definedName name="Z_E773A59C_8681_44F8_B8A6_B41D569D15E5_.wvu.PrintArea" localSheetId="18" hidden="1">'1-19'!$A$1:$M$42</definedName>
    <definedName name="Z_E773A59C_8681_44F8_B8A6_B41D569D15E5_.wvu.PrintArea" localSheetId="1" hidden="1">'1-2'!$A$1:$K$61</definedName>
    <definedName name="Z_E773A59C_8681_44F8_B8A6_B41D569D15E5_.wvu.PrintArea" localSheetId="20" hidden="1">'1-21'!$A$1:$I$25</definedName>
    <definedName name="Z_E773A59C_8681_44F8_B8A6_B41D569D15E5_.wvu.PrintArea" localSheetId="21" hidden="1">'1-22'!$A$1:$K$36</definedName>
    <definedName name="Z_E773A59C_8681_44F8_B8A6_B41D569D15E5_.wvu.PrintArea" localSheetId="22" hidden="1">'1-23'!$A$1:$J$22</definedName>
    <definedName name="Z_E773A59C_8681_44F8_B8A6_B41D569D15E5_.wvu.PrintArea" localSheetId="23" hidden="1">'1-24'!$A$1:$L$46</definedName>
    <definedName name="Z_E773A59C_8681_44F8_B8A6_B41D569D15E5_.wvu.PrintArea" localSheetId="24" hidden="1">'1-25'!$A$1:$L$40</definedName>
    <definedName name="Z_E773A59C_8681_44F8_B8A6_B41D569D15E5_.wvu.PrintArea" localSheetId="25" hidden="1">'1-26'!$A$1:$Q$43</definedName>
    <definedName name="Z_E773A59C_8681_44F8_B8A6_B41D569D15E5_.wvu.PrintArea" localSheetId="26" hidden="1">'1-27'!$A$1:$L$47</definedName>
    <definedName name="Z_E773A59C_8681_44F8_B8A6_B41D569D15E5_.wvu.PrintArea" localSheetId="27" hidden="1">'1-28'!$A$1:$K$34</definedName>
    <definedName name="Z_E773A59C_8681_44F8_B8A6_B41D569D15E5_.wvu.PrintArea" localSheetId="28" hidden="1">'1-29'!$A$1:$N$44</definedName>
    <definedName name="Z_E773A59C_8681_44F8_B8A6_B41D569D15E5_.wvu.PrintArea" localSheetId="2" hidden="1">'1-3'!$A$1:$J$53</definedName>
    <definedName name="Z_E773A59C_8681_44F8_B8A6_B41D569D15E5_.wvu.PrintArea" localSheetId="29" hidden="1">'1-30'!$A$1:$L$42</definedName>
    <definedName name="Z_E773A59C_8681_44F8_B8A6_B41D569D15E5_.wvu.PrintArea" localSheetId="30" hidden="1">'1-31'!$A$1:$K$48</definedName>
    <definedName name="Z_E773A59C_8681_44F8_B8A6_B41D569D15E5_.wvu.PrintArea" localSheetId="31" hidden="1">'1-32'!$A$1:$N$51</definedName>
    <definedName name="Z_E773A59C_8681_44F8_B8A6_B41D569D15E5_.wvu.PrintArea" localSheetId="32" hidden="1">'1-33'!$A$1:$M$31</definedName>
    <definedName name="Z_E773A59C_8681_44F8_B8A6_B41D569D15E5_.wvu.PrintArea" localSheetId="33" hidden="1">'1-34'!$A$1:$N$46</definedName>
    <definedName name="Z_E773A59C_8681_44F8_B8A6_B41D569D15E5_.wvu.PrintArea" localSheetId="34" hidden="1">'1-35'!$A$1:$J$33</definedName>
    <definedName name="Z_E773A59C_8681_44F8_B8A6_B41D569D15E5_.wvu.PrintArea" localSheetId="35" hidden="1">'1-36'!$A$1:$J$37</definedName>
    <definedName name="Z_E773A59C_8681_44F8_B8A6_B41D569D15E5_.wvu.PrintArea" localSheetId="36" hidden="1">'1-37'!$A$1:$L$42</definedName>
    <definedName name="Z_E773A59C_8681_44F8_B8A6_B41D569D15E5_.wvu.PrintArea" localSheetId="37" hidden="1">'1-38'!$A$1:$K$32</definedName>
    <definedName name="Z_E773A59C_8681_44F8_B8A6_B41D569D15E5_.wvu.PrintArea" localSheetId="38" hidden="1">'1-39'!$A$1:$K$20</definedName>
    <definedName name="Z_E773A59C_8681_44F8_B8A6_B41D569D15E5_.wvu.PrintArea" localSheetId="3" hidden="1">'1-4'!$A$1:$K$51</definedName>
    <definedName name="Z_E773A59C_8681_44F8_B8A6_B41D569D15E5_.wvu.PrintArea" localSheetId="39" hidden="1">'1-40'!$A$1:$L$46</definedName>
    <definedName name="Z_E773A59C_8681_44F8_B8A6_B41D569D15E5_.wvu.PrintArea" localSheetId="40" hidden="1">'1-41'!$A$1:$K$39</definedName>
    <definedName name="Z_E773A59C_8681_44F8_B8A6_B41D569D15E5_.wvu.PrintArea" localSheetId="41" hidden="1">'1-42'!$A$1:$O$49</definedName>
    <definedName name="Z_E773A59C_8681_44F8_B8A6_B41D569D15E5_.wvu.PrintArea" localSheetId="42" hidden="1">'1-43'!$A$1:$K$33</definedName>
    <definedName name="Z_E773A59C_8681_44F8_B8A6_B41D569D15E5_.wvu.PrintArea" localSheetId="43" hidden="1">'1-44'!$A$1:$J$45</definedName>
    <definedName name="Z_E773A59C_8681_44F8_B8A6_B41D569D15E5_.wvu.PrintArea" localSheetId="44" hidden="1">'1-45'!$A$1:$L$46</definedName>
    <definedName name="Z_E773A59C_8681_44F8_B8A6_B41D569D15E5_.wvu.PrintArea" localSheetId="45" hidden="1">'1-46'!$A$1:$L$36</definedName>
    <definedName name="Z_E773A59C_8681_44F8_B8A6_B41D569D15E5_.wvu.PrintArea" localSheetId="46" hidden="1">'1-47'!$A$1:$K$43</definedName>
    <definedName name="Z_E773A59C_8681_44F8_B8A6_B41D569D15E5_.wvu.PrintArea" localSheetId="47" hidden="1">'1-48'!$B$1:$L$51</definedName>
    <definedName name="Z_E773A59C_8681_44F8_B8A6_B41D569D15E5_.wvu.PrintArea" localSheetId="48" hidden="1">'1-49'!$A$1:$L$32</definedName>
    <definedName name="Z_E773A59C_8681_44F8_B8A6_B41D569D15E5_.wvu.PrintArea" localSheetId="4" hidden="1">'1-5'!$A$1:$L$18</definedName>
    <definedName name="Z_E773A59C_8681_44F8_B8A6_B41D569D15E5_.wvu.PrintArea" localSheetId="49" hidden="1">'1-50'!$A$1:$K$21</definedName>
    <definedName name="Z_E773A59C_8681_44F8_B8A6_B41D569D15E5_.wvu.PrintArea" localSheetId="50" hidden="1">'1-51'!$A$1:$L$38</definedName>
    <definedName name="Z_E773A59C_8681_44F8_B8A6_B41D569D15E5_.wvu.PrintArea" localSheetId="51" hidden="1">'1-52'!$A$1:$L$50</definedName>
    <definedName name="Z_E773A59C_8681_44F8_B8A6_B41D569D15E5_.wvu.PrintArea" localSheetId="52" hidden="1">'1-53'!$A$1:$L$59</definedName>
    <definedName name="Z_E773A59C_8681_44F8_B8A6_B41D569D15E5_.wvu.PrintArea" localSheetId="53" hidden="1">'1-54'!$A$1:$I$57</definedName>
    <definedName name="Z_E773A59C_8681_44F8_B8A6_B41D569D15E5_.wvu.PrintArea" localSheetId="54" hidden="1">'1-55'!$A$1:$L$30</definedName>
    <definedName name="Z_E773A59C_8681_44F8_B8A6_B41D569D15E5_.wvu.PrintArea" localSheetId="55" hidden="1">'1-56'!$A$1:$K$45</definedName>
    <definedName name="Z_E773A59C_8681_44F8_B8A6_B41D569D15E5_.wvu.PrintArea" localSheetId="56" hidden="1">'1-57'!$A$1:$K$33</definedName>
    <definedName name="Z_E773A59C_8681_44F8_B8A6_B41D569D15E5_.wvu.PrintArea" localSheetId="5" hidden="1">'1-6'!$A$1:$K$41</definedName>
    <definedName name="Z_E773A59C_8681_44F8_B8A6_B41D569D15E5_.wvu.PrintArea" localSheetId="6" hidden="1">'1-7'!$A$1:$K$28</definedName>
    <definedName name="Z_E773A59C_8681_44F8_B8A6_B41D569D15E5_.wvu.PrintArea" localSheetId="7" hidden="1">'1-8'!$A$1:$L$39</definedName>
  </definedNames>
  <calcPr calcId="145621"/>
  <customWorkbookViews>
    <customWorkbookView name="Eileen - Personal View" guid="{B2DDA8C4-3089-41F7-BA6E-A0E09596A2CA}" mergeInterval="0" personalView="1" maximized="1" xWindow="1" yWindow="1" windowWidth="1680" windowHeight="836" tabRatio="873" activeSheetId="58" showComments="commIndAndComment"/>
    <customWorkbookView name="Jeff Jones - Personal View" guid="{64EC5969-5D8D-4CA9-981C-456D4B800286}" mergeInterval="0" personalView="1" maximized="1" windowWidth="1362" windowHeight="543" tabRatio="873" activeSheetId="57" showComments="commIndAndComment"/>
    <customWorkbookView name="Crystal - Personal View" guid="{E773A59C-8681-44F8-B8A6-B41D569D15E5}" mergeInterval="0" personalView="1" maximized="1" xWindow="1" yWindow="1" windowWidth="1436" windowHeight="680" tabRatio="873" activeSheetId="35"/>
    <customWorkbookView name="Warwick, Julie - Personal View" guid="{4466D771-49B5-4680-AFB2-AE1BC2D40EE1}" mergeInterval="0" personalView="1" maximized="1" xWindow="1" yWindow="1" windowWidth="1272" windowHeight="548" tabRatio="873" activeSheetId="2"/>
    <customWorkbookView name="Juli Cook - Personal View" guid="{92AEB71B-C088-46D1-AFBE-855E5EC7C157}" mergeInterval="0" personalView="1" maximized="1" windowWidth="1005" windowHeight="604" tabRatio="873" activeSheetId="2" showComments="commIndAndComment"/>
  </customWorkbookViews>
</workbook>
</file>

<file path=xl/calcChain.xml><?xml version="1.0" encoding="utf-8"?>
<calcChain xmlns="http://schemas.openxmlformats.org/spreadsheetml/2006/main">
  <c r="AB40" i="54" l="1"/>
  <c r="Z40" i="54"/>
  <c r="C37" i="54"/>
  <c r="C36" i="54"/>
  <c r="C35" i="54"/>
  <c r="X40" i="54"/>
  <c r="V40" i="54"/>
  <c r="T40" i="54"/>
  <c r="R40" i="54"/>
  <c r="D7" i="54"/>
  <c r="D5" i="54"/>
  <c r="I30" i="54"/>
  <c r="V39" i="54"/>
  <c r="T39" i="54"/>
  <c r="R39" i="54"/>
  <c r="I25" i="54"/>
  <c r="Z37" i="54"/>
  <c r="X37" i="54"/>
  <c r="V37" i="54"/>
  <c r="T37" i="54"/>
  <c r="R37" i="54"/>
  <c r="R36" i="54"/>
  <c r="D40" i="53"/>
  <c r="J30" i="28"/>
  <c r="J14" i="20"/>
  <c r="AD40" i="54"/>
  <c r="I31" i="54"/>
  <c r="X39" i="54"/>
  <c r="T5" i="54"/>
  <c r="T27" i="22"/>
  <c r="C27" i="22"/>
  <c r="K9" i="22"/>
  <c r="I11" i="22"/>
  <c r="I12" i="22"/>
  <c r="K21" i="22"/>
  <c r="K23" i="22"/>
  <c r="P25" i="22"/>
  <c r="T25" i="22"/>
  <c r="I13" i="22"/>
  <c r="I14" i="22"/>
  <c r="I15" i="22"/>
  <c r="I16" i="22"/>
  <c r="I17" i="22"/>
  <c r="I18" i="22"/>
  <c r="I19" i="22"/>
  <c r="I20" i="22"/>
  <c r="R25" i="22"/>
  <c r="X31" i="6"/>
  <c r="E31" i="6"/>
  <c r="T27" i="6"/>
  <c r="E27" i="6"/>
  <c r="V25" i="6"/>
  <c r="E25" i="6"/>
  <c r="T17" i="6"/>
  <c r="E17" i="6"/>
  <c r="T9" i="54"/>
  <c r="V9" i="54"/>
  <c r="T8" i="54"/>
  <c r="V8" i="54"/>
  <c r="X8" i="54"/>
  <c r="T4" i="54"/>
  <c r="V30" i="53"/>
  <c r="V5" i="54"/>
  <c r="X5" i="54"/>
  <c r="Q41" i="42"/>
  <c r="S41" i="42"/>
  <c r="C42" i="42"/>
  <c r="U41" i="42"/>
  <c r="C43" i="42"/>
  <c r="Q36" i="42"/>
  <c r="C36" i="42"/>
  <c r="S36" i="42"/>
  <c r="U36" i="42"/>
  <c r="Q38" i="42"/>
  <c r="S38" i="42"/>
  <c r="C37" i="42"/>
  <c r="O25" i="40"/>
  <c r="Q25" i="40"/>
  <c r="S25" i="40"/>
  <c r="J25" i="40"/>
  <c r="O22" i="40"/>
  <c r="Q22" i="40"/>
  <c r="S22" i="40"/>
  <c r="J22" i="40"/>
  <c r="O19" i="40"/>
  <c r="Q19" i="40"/>
  <c r="S19" i="40"/>
  <c r="D19" i="40"/>
  <c r="O16" i="40"/>
  <c r="Q16" i="40"/>
  <c r="S16" i="40"/>
  <c r="G16" i="40"/>
  <c r="O13" i="40"/>
  <c r="Q13" i="40"/>
  <c r="S13" i="40"/>
  <c r="G13" i="40"/>
  <c r="O10" i="40"/>
  <c r="Q10" i="40"/>
  <c r="S10" i="40"/>
  <c r="J10" i="40"/>
  <c r="O4" i="40"/>
  <c r="Q4" i="40"/>
  <c r="S4" i="40"/>
  <c r="D4" i="40"/>
  <c r="O7" i="40"/>
  <c r="Q7" i="40"/>
  <c r="S7" i="40"/>
  <c r="J7" i="40"/>
  <c r="N13" i="27"/>
  <c r="I13" i="27"/>
  <c r="P13" i="27"/>
  <c r="R13" i="27"/>
  <c r="T13" i="27"/>
  <c r="I14" i="27"/>
  <c r="N8" i="25"/>
  <c r="N4" i="25"/>
  <c r="P4" i="25"/>
  <c r="R4" i="25"/>
  <c r="P8" i="25"/>
  <c r="C39" i="59"/>
  <c r="C37" i="59"/>
  <c r="C36" i="10"/>
  <c r="U39" i="59"/>
  <c r="U38" i="59"/>
  <c r="C38" i="59"/>
  <c r="U37" i="59"/>
  <c r="C31" i="58"/>
  <c r="K34" i="58"/>
  <c r="M35" i="58"/>
  <c r="M32" i="58"/>
  <c r="I32" i="58"/>
  <c r="C32" i="58"/>
  <c r="C30" i="58"/>
  <c r="T20" i="52"/>
  <c r="R6" i="52"/>
  <c r="T18" i="52"/>
  <c r="T19" i="52"/>
  <c r="T22" i="52"/>
  <c r="T24" i="52"/>
  <c r="C21" i="23"/>
  <c r="C20" i="23"/>
  <c r="O7" i="16"/>
  <c r="Q7" i="16"/>
  <c r="S7" i="16"/>
  <c r="B6" i="16"/>
  <c r="O6" i="8"/>
  <c r="I6" i="8"/>
  <c r="Q9" i="8"/>
  <c r="I9" i="8"/>
  <c r="M19" i="8"/>
  <c r="O19" i="8"/>
  <c r="O20" i="8"/>
  <c r="G20" i="8"/>
  <c r="R18" i="54"/>
  <c r="T18" i="54"/>
  <c r="T36" i="54"/>
  <c r="V36" i="54"/>
  <c r="AB37" i="54"/>
  <c r="T32" i="54"/>
  <c r="R32" i="54"/>
  <c r="V25" i="53"/>
  <c r="Y25" i="53"/>
  <c r="D36" i="53"/>
  <c r="D30" i="53"/>
  <c r="D31" i="53"/>
  <c r="D32" i="53"/>
  <c r="D35" i="53"/>
  <c r="D37" i="53"/>
  <c r="D41" i="53"/>
  <c r="D44" i="53"/>
  <c r="D45" i="53"/>
  <c r="N6" i="52"/>
  <c r="P6" i="52"/>
  <c r="T6" i="52"/>
  <c r="V6" i="52"/>
  <c r="P7" i="52"/>
  <c r="R7" i="52"/>
  <c r="P9" i="52"/>
  <c r="T7" i="52"/>
  <c r="V7" i="52"/>
  <c r="T8" i="52"/>
  <c r="V8" i="52"/>
  <c r="T12" i="52"/>
  <c r="N9" i="52"/>
  <c r="R9" i="52"/>
  <c r="T9" i="52"/>
  <c r="V9" i="52"/>
  <c r="T11" i="52"/>
  <c r="V11" i="52"/>
  <c r="D24" i="52"/>
  <c r="T26" i="52"/>
  <c r="D25" i="52"/>
  <c r="T27" i="52"/>
  <c r="D26" i="52"/>
  <c r="T29" i="52"/>
  <c r="D27" i="52"/>
  <c r="T30" i="52"/>
  <c r="D29" i="52"/>
  <c r="D13" i="51"/>
  <c r="D14" i="51"/>
  <c r="D17" i="51"/>
  <c r="D18" i="51"/>
  <c r="D19" i="51"/>
  <c r="N20" i="51"/>
  <c r="P20" i="51"/>
  <c r="R20" i="51"/>
  <c r="D20" i="51"/>
  <c r="N21" i="51"/>
  <c r="P21" i="51"/>
  <c r="R21" i="51"/>
  <c r="D21" i="51"/>
  <c r="N23" i="51"/>
  <c r="P23" i="51"/>
  <c r="D24" i="51"/>
  <c r="D26" i="51"/>
  <c r="D27" i="51"/>
  <c r="T27" i="51"/>
  <c r="D28" i="51"/>
  <c r="N30" i="51"/>
  <c r="P30" i="51"/>
  <c r="R30" i="51"/>
  <c r="D30" i="51"/>
  <c r="N32" i="51"/>
  <c r="P32" i="51"/>
  <c r="N33" i="51"/>
  <c r="P33" i="51"/>
  <c r="R33" i="51"/>
  <c r="N34" i="51"/>
  <c r="P34" i="51"/>
  <c r="R33" i="48"/>
  <c r="T33" i="48"/>
  <c r="V33" i="48"/>
  <c r="H34" i="48"/>
  <c r="R34" i="48"/>
  <c r="R35" i="48"/>
  <c r="T35" i="48"/>
  <c r="V35" i="48"/>
  <c r="X35" i="48"/>
  <c r="R41" i="48"/>
  <c r="H36" i="48"/>
  <c r="R36" i="48"/>
  <c r="T38" i="48"/>
  <c r="AC39" i="48"/>
  <c r="AE39" i="48"/>
  <c r="R39" i="48"/>
  <c r="T39" i="48"/>
  <c r="V39" i="48"/>
  <c r="C39" i="48"/>
  <c r="T40" i="48"/>
  <c r="T41" i="48"/>
  <c r="AC45" i="48"/>
  <c r="AE45" i="48"/>
  <c r="R48" i="48"/>
  <c r="T48" i="48"/>
  <c r="V48" i="48"/>
  <c r="X48" i="48"/>
  <c r="T50" i="48"/>
  <c r="R50" i="48"/>
  <c r="V50" i="48"/>
  <c r="C50" i="48"/>
  <c r="X50" i="48"/>
  <c r="C51" i="48"/>
  <c r="D6" i="46"/>
  <c r="G6" i="46"/>
  <c r="D7" i="46"/>
  <c r="G7" i="46"/>
  <c r="N9" i="46"/>
  <c r="P9" i="46"/>
  <c r="R9" i="46"/>
  <c r="P23" i="46"/>
  <c r="N10" i="46"/>
  <c r="P10" i="46"/>
  <c r="R10" i="46"/>
  <c r="N23" i="46"/>
  <c r="R23" i="46"/>
  <c r="R26" i="46"/>
  <c r="P29" i="46"/>
  <c r="R29" i="46"/>
  <c r="R32" i="46"/>
  <c r="T32" i="46"/>
  <c r="N5" i="45"/>
  <c r="P5" i="45"/>
  <c r="R5" i="45"/>
  <c r="C6" i="45"/>
  <c r="N6" i="45"/>
  <c r="D6" i="45"/>
  <c r="P6" i="45"/>
  <c r="R6" i="45"/>
  <c r="N7" i="45"/>
  <c r="P7" i="45"/>
  <c r="R7" i="45"/>
  <c r="C7" i="45"/>
  <c r="N11" i="45"/>
  <c r="D11" i="45"/>
  <c r="P11" i="45"/>
  <c r="R11" i="45"/>
  <c r="C11" i="45"/>
  <c r="N12" i="45"/>
  <c r="P12" i="45"/>
  <c r="D12" i="45"/>
  <c r="R12" i="45"/>
  <c r="T12" i="45"/>
  <c r="P13" i="45"/>
  <c r="N14" i="45"/>
  <c r="N20" i="45"/>
  <c r="P20" i="45"/>
  <c r="D20" i="45"/>
  <c r="N21" i="45"/>
  <c r="P21" i="45"/>
  <c r="N22" i="45"/>
  <c r="D22" i="45"/>
  <c r="P22" i="45"/>
  <c r="R22" i="45"/>
  <c r="C22" i="45"/>
  <c r="N26" i="45"/>
  <c r="P26" i="45"/>
  <c r="D26" i="45"/>
  <c r="P27" i="45"/>
  <c r="R27" i="45"/>
  <c r="N28" i="45"/>
  <c r="N29" i="45"/>
  <c r="H10" i="44"/>
  <c r="H11" i="44"/>
  <c r="H12" i="44"/>
  <c r="H15" i="44"/>
  <c r="J20" i="44"/>
  <c r="F16" i="44"/>
  <c r="G16" i="44"/>
  <c r="F17" i="44"/>
  <c r="G17" i="44"/>
  <c r="H17" i="44"/>
  <c r="F18" i="44"/>
  <c r="F19" i="44"/>
  <c r="H19" i="44"/>
  <c r="H25" i="44"/>
  <c r="H26" i="44"/>
  <c r="J29" i="44"/>
  <c r="J32" i="44"/>
  <c r="H27" i="44"/>
  <c r="H28" i="44"/>
  <c r="J31" i="44"/>
  <c r="H34" i="44"/>
  <c r="K28" i="43"/>
  <c r="I9" i="43"/>
  <c r="I10" i="43"/>
  <c r="K11" i="43"/>
  <c r="I13" i="43"/>
  <c r="I14" i="43"/>
  <c r="K21" i="43"/>
  <c r="K22" i="43"/>
  <c r="K29" i="43"/>
  <c r="K31" i="43"/>
  <c r="H35" i="44"/>
  <c r="I15" i="43"/>
  <c r="I16" i="43"/>
  <c r="I17" i="43"/>
  <c r="I18" i="43"/>
  <c r="I19" i="43"/>
  <c r="I20" i="43"/>
  <c r="K30" i="43"/>
  <c r="M10" i="42"/>
  <c r="I18" i="42"/>
  <c r="I19" i="42"/>
  <c r="I20" i="42"/>
  <c r="M11" i="42"/>
  <c r="M13" i="42"/>
  <c r="M12" i="42"/>
  <c r="K18" i="42"/>
  <c r="K19" i="42"/>
  <c r="K20" i="42"/>
  <c r="O11" i="42"/>
  <c r="O12" i="42"/>
  <c r="Q23" i="42"/>
  <c r="C23" i="42"/>
  <c r="S23" i="42"/>
  <c r="U23" i="42"/>
  <c r="Q26" i="42"/>
  <c r="K26" i="42"/>
  <c r="Q31" i="42"/>
  <c r="K31" i="42"/>
  <c r="Q44" i="42"/>
  <c r="C45" i="42"/>
  <c r="S44" i="42"/>
  <c r="U44" i="42"/>
  <c r="C46" i="42"/>
  <c r="I10" i="41"/>
  <c r="I11" i="41"/>
  <c r="K14" i="41"/>
  <c r="I12" i="41"/>
  <c r="I13" i="41"/>
  <c r="K16" i="41"/>
  <c r="I18" i="41"/>
  <c r="I19" i="41"/>
  <c r="K19" i="41"/>
  <c r="I24" i="41"/>
  <c r="I25" i="41"/>
  <c r="K28" i="41"/>
  <c r="K31" i="41"/>
  <c r="K36" i="41"/>
  <c r="I26" i="41"/>
  <c r="I27" i="41"/>
  <c r="K30" i="41"/>
  <c r="I33" i="41"/>
  <c r="I34" i="41"/>
  <c r="K35" i="41"/>
  <c r="G4" i="40"/>
  <c r="J4" i="40"/>
  <c r="D7" i="40"/>
  <c r="G7" i="40"/>
  <c r="D10" i="40"/>
  <c r="G10" i="40"/>
  <c r="D13" i="40"/>
  <c r="J13" i="40"/>
  <c r="D16" i="40"/>
  <c r="J16" i="40"/>
  <c r="G19" i="40"/>
  <c r="J19" i="40"/>
  <c r="D22" i="40"/>
  <c r="G22" i="40"/>
  <c r="D25" i="40"/>
  <c r="G25" i="40"/>
  <c r="J34" i="40"/>
  <c r="L37" i="40"/>
  <c r="L46" i="40"/>
  <c r="J35" i="40"/>
  <c r="J36" i="40"/>
  <c r="J39" i="40"/>
  <c r="J40" i="40"/>
  <c r="J41" i="40"/>
  <c r="J42" i="40"/>
  <c r="J43" i="40"/>
  <c r="J44" i="40"/>
  <c r="L45" i="40"/>
  <c r="I9" i="39"/>
  <c r="I10" i="39"/>
  <c r="K11" i="39"/>
  <c r="I13" i="39"/>
  <c r="I14" i="39"/>
  <c r="K19" i="39"/>
  <c r="K20" i="39"/>
  <c r="I15" i="39"/>
  <c r="I16" i="39"/>
  <c r="I17" i="39"/>
  <c r="I18" i="39"/>
  <c r="E8" i="38"/>
  <c r="G8" i="38"/>
  <c r="M8" i="38"/>
  <c r="O8" i="38"/>
  <c r="Q8" i="38"/>
  <c r="E9" i="38"/>
  <c r="E14" i="38"/>
  <c r="G14" i="38"/>
  <c r="M14" i="38"/>
  <c r="O14" i="38"/>
  <c r="Q14" i="38"/>
  <c r="O23" i="38"/>
  <c r="E15" i="38"/>
  <c r="C23" i="38"/>
  <c r="E23" i="38"/>
  <c r="G23" i="38"/>
  <c r="M23" i="38"/>
  <c r="Q23" i="38"/>
  <c r="G26" i="38"/>
  <c r="C30" i="38"/>
  <c r="G30" i="38"/>
  <c r="M30" i="38"/>
  <c r="E31" i="38"/>
  <c r="B11" i="37"/>
  <c r="G19" i="37"/>
  <c r="I19" i="37"/>
  <c r="K19" i="37"/>
  <c r="I20" i="37"/>
  <c r="I21" i="37"/>
  <c r="I23" i="37"/>
  <c r="G22" i="37"/>
  <c r="G23" i="37"/>
  <c r="K23" i="37"/>
  <c r="G30" i="37"/>
  <c r="K30" i="37"/>
  <c r="N32" i="37"/>
  <c r="P32" i="37"/>
  <c r="R32" i="37"/>
  <c r="D7" i="36"/>
  <c r="F7" i="36"/>
  <c r="D8" i="36"/>
  <c r="F8" i="36"/>
  <c r="L10" i="36"/>
  <c r="N10" i="36"/>
  <c r="P10" i="36"/>
  <c r="N29" i="36"/>
  <c r="L11" i="36"/>
  <c r="N11" i="36"/>
  <c r="P11" i="36"/>
  <c r="N26" i="36"/>
  <c r="L29" i="36"/>
  <c r="P29" i="36"/>
  <c r="P32" i="36"/>
  <c r="P35" i="36"/>
  <c r="R35" i="36"/>
  <c r="L5" i="35"/>
  <c r="N5" i="35"/>
  <c r="P5" i="35"/>
  <c r="C5" i="35"/>
  <c r="L6" i="35"/>
  <c r="N6" i="35"/>
  <c r="P6" i="35"/>
  <c r="N7" i="35"/>
  <c r="L8" i="35"/>
  <c r="L12" i="35"/>
  <c r="D12" i="35"/>
  <c r="N12" i="35"/>
  <c r="P12" i="35"/>
  <c r="C12" i="35"/>
  <c r="L13" i="35"/>
  <c r="D13" i="35"/>
  <c r="N13" i="35"/>
  <c r="P13" i="35"/>
  <c r="C13" i="35"/>
  <c r="L14" i="35"/>
  <c r="N14" i="35"/>
  <c r="P14" i="35"/>
  <c r="N15" i="35"/>
  <c r="L19" i="35"/>
  <c r="N19" i="35"/>
  <c r="P19" i="35"/>
  <c r="C19" i="35"/>
  <c r="L23" i="35"/>
  <c r="D23" i="35"/>
  <c r="N23" i="35"/>
  <c r="P23" i="35"/>
  <c r="P24" i="35"/>
  <c r="R24" i="35"/>
  <c r="C24" i="35"/>
  <c r="L24" i="35"/>
  <c r="N24" i="35"/>
  <c r="D24" i="35"/>
  <c r="L25" i="35"/>
  <c r="N25" i="35"/>
  <c r="P25" i="35"/>
  <c r="C25" i="35"/>
  <c r="L29" i="35"/>
  <c r="D29" i="35"/>
  <c r="N29" i="35"/>
  <c r="P29" i="35"/>
  <c r="L30" i="35"/>
  <c r="D30" i="35"/>
  <c r="N30" i="35"/>
  <c r="P30" i="35"/>
  <c r="C30" i="35"/>
  <c r="L31" i="35"/>
  <c r="N31" i="35"/>
  <c r="P31" i="35"/>
  <c r="C31" i="35"/>
  <c r="L10" i="34"/>
  <c r="N13" i="34"/>
  <c r="L11" i="34"/>
  <c r="L12" i="34"/>
  <c r="J15" i="34"/>
  <c r="J16" i="34"/>
  <c r="L16" i="34"/>
  <c r="J17" i="34"/>
  <c r="J18" i="34"/>
  <c r="L18" i="34"/>
  <c r="N19" i="34"/>
  <c r="N20" i="34"/>
  <c r="L25" i="34"/>
  <c r="L26" i="34"/>
  <c r="L27" i="34"/>
  <c r="L28" i="34"/>
  <c r="L30" i="34"/>
  <c r="N31" i="34"/>
  <c r="L33" i="34"/>
  <c r="M27" i="33"/>
  <c r="M9" i="33"/>
  <c r="K11" i="33"/>
  <c r="M20" i="33"/>
  <c r="M21" i="33"/>
  <c r="T28" i="33"/>
  <c r="M28" i="33"/>
  <c r="K12" i="33"/>
  <c r="K13" i="33"/>
  <c r="K14" i="33"/>
  <c r="K15" i="33"/>
  <c r="K16" i="33"/>
  <c r="K17" i="33"/>
  <c r="K18" i="33"/>
  <c r="K19" i="33"/>
  <c r="L10" i="32"/>
  <c r="L13" i="32"/>
  <c r="V10" i="32"/>
  <c r="N10" i="32"/>
  <c r="L12" i="32"/>
  <c r="N12" i="32"/>
  <c r="H19" i="32"/>
  <c r="J19" i="32"/>
  <c r="H20" i="32"/>
  <c r="J20" i="32"/>
  <c r="H21" i="32"/>
  <c r="L11" i="32"/>
  <c r="J21" i="32"/>
  <c r="N11" i="32"/>
  <c r="P24" i="32"/>
  <c r="C24" i="32"/>
  <c r="R24" i="32"/>
  <c r="T24" i="32"/>
  <c r="C25" i="32"/>
  <c r="P28" i="32"/>
  <c r="J28" i="32"/>
  <c r="P31" i="32"/>
  <c r="C31" i="32"/>
  <c r="R31" i="32"/>
  <c r="T31" i="32"/>
  <c r="P39" i="32"/>
  <c r="T39" i="32"/>
  <c r="C40" i="32"/>
  <c r="P36" i="32"/>
  <c r="J36" i="32"/>
  <c r="R39" i="32"/>
  <c r="P45" i="32"/>
  <c r="R45" i="32"/>
  <c r="T45" i="32"/>
  <c r="R49" i="32"/>
  <c r="K9" i="31"/>
  <c r="I11" i="31"/>
  <c r="K15" i="31"/>
  <c r="I12" i="31"/>
  <c r="I13" i="31"/>
  <c r="I14" i="31"/>
  <c r="I15" i="31"/>
  <c r="I24" i="31"/>
  <c r="I25" i="31"/>
  <c r="I26" i="31"/>
  <c r="I27" i="31"/>
  <c r="K28" i="31"/>
  <c r="K29" i="31"/>
  <c r="K30" i="31"/>
  <c r="K44" i="31"/>
  <c r="I34" i="31"/>
  <c r="I35" i="31"/>
  <c r="K36" i="31"/>
  <c r="K39" i="31"/>
  <c r="K38" i="31"/>
  <c r="I41" i="31"/>
  <c r="P42" i="31"/>
  <c r="O4" i="30"/>
  <c r="D4" i="30"/>
  <c r="Q4" i="30"/>
  <c r="S4" i="30"/>
  <c r="J4" i="30"/>
  <c r="O7" i="30"/>
  <c r="D7" i="30"/>
  <c r="Q7" i="30"/>
  <c r="G7" i="30"/>
  <c r="S7" i="30"/>
  <c r="J7" i="30"/>
  <c r="O10" i="30"/>
  <c r="D10" i="30"/>
  <c r="Q10" i="30"/>
  <c r="S10" i="30"/>
  <c r="G10" i="30"/>
  <c r="O13" i="30"/>
  <c r="D13" i="30"/>
  <c r="Q13" i="30"/>
  <c r="J13" i="30"/>
  <c r="O16" i="30"/>
  <c r="G16" i="30"/>
  <c r="Q16" i="30"/>
  <c r="S16" i="30"/>
  <c r="D16" i="30"/>
  <c r="O19" i="30"/>
  <c r="G19" i="30"/>
  <c r="Q19" i="30"/>
  <c r="J19" i="30"/>
  <c r="O22" i="30"/>
  <c r="D22" i="30"/>
  <c r="Q22" i="30"/>
  <c r="S22" i="30"/>
  <c r="G22" i="30"/>
  <c r="O25" i="30"/>
  <c r="D25" i="30"/>
  <c r="Q25" i="30"/>
  <c r="G25" i="30"/>
  <c r="G8" i="29"/>
  <c r="J8" i="29"/>
  <c r="G9" i="29"/>
  <c r="C13" i="29"/>
  <c r="G13" i="29"/>
  <c r="G14" i="29"/>
  <c r="C18" i="29"/>
  <c r="G19" i="29"/>
  <c r="G18" i="29"/>
  <c r="L18" i="29"/>
  <c r="C22" i="29"/>
  <c r="J22" i="29"/>
  <c r="G23" i="29"/>
  <c r="L32" i="29"/>
  <c r="N35" i="29"/>
  <c r="N44" i="29"/>
  <c r="L33" i="29"/>
  <c r="L34" i="29"/>
  <c r="L37" i="29"/>
  <c r="L38" i="29"/>
  <c r="L39" i="29"/>
  <c r="L40" i="29"/>
  <c r="L41" i="29"/>
  <c r="L42" i="29"/>
  <c r="N43" i="29"/>
  <c r="B11" i="28"/>
  <c r="F19" i="28"/>
  <c r="H19" i="28"/>
  <c r="J19" i="28"/>
  <c r="H20" i="28"/>
  <c r="H21" i="28"/>
  <c r="F22" i="28"/>
  <c r="F23" i="28"/>
  <c r="J23" i="28"/>
  <c r="H23" i="28"/>
  <c r="F30" i="28"/>
  <c r="M32" i="28"/>
  <c r="E7" i="27"/>
  <c r="G7" i="27"/>
  <c r="J7" i="27"/>
  <c r="E8" i="27"/>
  <c r="G8" i="27"/>
  <c r="J8" i="27"/>
  <c r="N16" i="27"/>
  <c r="P16" i="27"/>
  <c r="R16" i="27"/>
  <c r="J22" i="27"/>
  <c r="J24" i="27"/>
  <c r="P27" i="27"/>
  <c r="R27" i="27"/>
  <c r="Q4" i="26"/>
  <c r="Q7" i="26"/>
  <c r="Q9" i="26"/>
  <c r="Q5" i="26"/>
  <c r="Q6" i="26"/>
  <c r="Q8" i="26"/>
  <c r="Q12" i="26"/>
  <c r="T12" i="26"/>
  <c r="T13" i="26"/>
  <c r="B13" i="26"/>
  <c r="V13" i="26"/>
  <c r="X13" i="26"/>
  <c r="Q13" i="26"/>
  <c r="T14" i="26"/>
  <c r="Q14" i="26"/>
  <c r="E22" i="26"/>
  <c r="I22" i="26"/>
  <c r="M22" i="26"/>
  <c r="E23" i="26"/>
  <c r="I23" i="26"/>
  <c r="M23" i="26"/>
  <c r="K28" i="26"/>
  <c r="T28" i="26"/>
  <c r="V28" i="26"/>
  <c r="X28" i="26"/>
  <c r="Z28" i="26"/>
  <c r="K29" i="26"/>
  <c r="K32" i="26"/>
  <c r="T32" i="26"/>
  <c r="V32" i="26"/>
  <c r="X32" i="26"/>
  <c r="Z32" i="26"/>
  <c r="K33" i="26"/>
  <c r="O38" i="26"/>
  <c r="O39" i="26"/>
  <c r="O41" i="26"/>
  <c r="T43" i="26"/>
  <c r="Z43" i="26"/>
  <c r="B43" i="26"/>
  <c r="V43" i="26"/>
  <c r="X43" i="26"/>
  <c r="N3" i="25"/>
  <c r="J3" i="25"/>
  <c r="J6" i="25"/>
  <c r="D4" i="25"/>
  <c r="J4" i="25"/>
  <c r="N5" i="25"/>
  <c r="J5" i="25"/>
  <c r="J18" i="25"/>
  <c r="J19" i="25"/>
  <c r="L22" i="25"/>
  <c r="J20" i="25"/>
  <c r="J21" i="25"/>
  <c r="J25" i="25"/>
  <c r="J26" i="25"/>
  <c r="L27" i="25"/>
  <c r="J30" i="25"/>
  <c r="J31" i="25"/>
  <c r="L32" i="25"/>
  <c r="L9" i="24"/>
  <c r="L19" i="24"/>
  <c r="J11" i="24"/>
  <c r="J12" i="24"/>
  <c r="J13" i="24"/>
  <c r="J14" i="24"/>
  <c r="J15" i="24"/>
  <c r="J16" i="24"/>
  <c r="J17" i="24"/>
  <c r="L18" i="24"/>
  <c r="L25" i="24"/>
  <c r="L26" i="24"/>
  <c r="L27" i="24"/>
  <c r="J29" i="24"/>
  <c r="J30" i="24"/>
  <c r="L32" i="24"/>
  <c r="L33" i="24"/>
  <c r="L36" i="24"/>
  <c r="L38" i="24"/>
  <c r="J31" i="24"/>
  <c r="J32" i="24"/>
  <c r="L35" i="24"/>
  <c r="L37" i="24"/>
  <c r="J8" i="23"/>
  <c r="R19" i="23"/>
  <c r="J9" i="23"/>
  <c r="J10" i="23"/>
  <c r="J12" i="23"/>
  <c r="J11" i="23"/>
  <c r="J14" i="23"/>
  <c r="J15" i="23"/>
  <c r="P22" i="23"/>
  <c r="C19" i="23"/>
  <c r="R20" i="23"/>
  <c r="F4" i="20"/>
  <c r="X18" i="20"/>
  <c r="F5" i="20"/>
  <c r="G7" i="20"/>
  <c r="X19" i="20"/>
  <c r="G8" i="20"/>
  <c r="M11" i="20"/>
  <c r="J13" i="20"/>
  <c r="X20" i="20"/>
  <c r="G16" i="20"/>
  <c r="Z22" i="20"/>
  <c r="H23" i="20"/>
  <c r="Z23" i="20"/>
  <c r="E20" i="20"/>
  <c r="H22" i="20"/>
  <c r="F25" i="20"/>
  <c r="F26" i="20"/>
  <c r="V5" i="19"/>
  <c r="K5" i="19"/>
  <c r="V6" i="19"/>
  <c r="K6" i="19"/>
  <c r="V7" i="19"/>
  <c r="K7" i="19"/>
  <c r="V8" i="19"/>
  <c r="K8" i="19"/>
  <c r="V9" i="19"/>
  <c r="K9" i="19"/>
  <c r="M12" i="19"/>
  <c r="K15" i="19"/>
  <c r="K16" i="19"/>
  <c r="M17" i="19"/>
  <c r="M18" i="19"/>
  <c r="P28" i="19"/>
  <c r="V17" i="19"/>
  <c r="C29" i="19"/>
  <c r="R34" i="19"/>
  <c r="H34" i="19"/>
  <c r="L10" i="18"/>
  <c r="N15" i="18"/>
  <c r="L11" i="18"/>
  <c r="L12" i="18"/>
  <c r="L13" i="18"/>
  <c r="L14" i="18"/>
  <c r="R41" i="19"/>
  <c r="C41" i="19"/>
  <c r="N17" i="18"/>
  <c r="L19" i="18"/>
  <c r="J20" i="18"/>
  <c r="J21" i="18"/>
  <c r="L21" i="18"/>
  <c r="J22" i="18"/>
  <c r="J23" i="18"/>
  <c r="L23" i="18"/>
  <c r="J24" i="18"/>
  <c r="J25" i="18"/>
  <c r="L25" i="18"/>
  <c r="L30" i="18"/>
  <c r="L31" i="18"/>
  <c r="L32" i="18"/>
  <c r="L33" i="18"/>
  <c r="L34" i="18"/>
  <c r="N35" i="18"/>
  <c r="N37" i="18"/>
  <c r="N38" i="18"/>
  <c r="F52" i="18"/>
  <c r="L40" i="18"/>
  <c r="H57" i="18"/>
  <c r="I5" i="17"/>
  <c r="I6" i="17"/>
  <c r="I7" i="17"/>
  <c r="K8" i="17"/>
  <c r="Q18" i="17"/>
  <c r="K10" i="17"/>
  <c r="K11" i="17"/>
  <c r="I13" i="17"/>
  <c r="I14" i="17"/>
  <c r="K15" i="17"/>
  <c r="K16" i="17"/>
  <c r="I37" i="16"/>
  <c r="I38" i="16"/>
  <c r="K41" i="16"/>
  <c r="I39" i="16"/>
  <c r="I40" i="16"/>
  <c r="S21" i="17"/>
  <c r="S22" i="17"/>
  <c r="S23" i="17"/>
  <c r="S24" i="17"/>
  <c r="S25" i="17"/>
  <c r="S26" i="17"/>
  <c r="S27" i="17"/>
  <c r="B4" i="16"/>
  <c r="B5" i="16"/>
  <c r="B11" i="16"/>
  <c r="I22" i="16"/>
  <c r="I23" i="16"/>
  <c r="K24" i="16"/>
  <c r="K43" i="16"/>
  <c r="I45" i="16"/>
  <c r="I46" i="16"/>
  <c r="K46" i="16"/>
  <c r="L17" i="15"/>
  <c r="L18" i="15"/>
  <c r="L19" i="15"/>
  <c r="L20" i="15"/>
  <c r="N21" i="15"/>
  <c r="R33" i="15"/>
  <c r="L24" i="15"/>
  <c r="L25" i="15"/>
  <c r="N26" i="15"/>
  <c r="C28" i="15"/>
  <c r="T33" i="15"/>
  <c r="T34" i="15"/>
  <c r="P6" i="14"/>
  <c r="D6" i="14"/>
  <c r="R6" i="14"/>
  <c r="T6" i="14"/>
  <c r="P7" i="14"/>
  <c r="R7" i="14"/>
  <c r="T7" i="14"/>
  <c r="P8" i="14"/>
  <c r="D8" i="14"/>
  <c r="R8" i="14"/>
  <c r="T8" i="14"/>
  <c r="P10" i="14"/>
  <c r="D10" i="14"/>
  <c r="P13" i="14"/>
  <c r="D13" i="14"/>
  <c r="P15" i="14"/>
  <c r="P16" i="14"/>
  <c r="P18" i="14"/>
  <c r="D18" i="14"/>
  <c r="P20" i="14"/>
  <c r="D20" i="14"/>
  <c r="R20" i="14"/>
  <c r="D21" i="14"/>
  <c r="R21" i="14"/>
  <c r="D25" i="14"/>
  <c r="P25" i="14"/>
  <c r="K35" i="14"/>
  <c r="K36" i="14"/>
  <c r="K37" i="14"/>
  <c r="K38" i="14"/>
  <c r="K39" i="14"/>
  <c r="K43" i="14"/>
  <c r="K44" i="14"/>
  <c r="L45" i="14"/>
  <c r="R48" i="14"/>
  <c r="R52" i="14"/>
  <c r="C34" i="12"/>
  <c r="J34" i="12"/>
  <c r="C35" i="12"/>
  <c r="G35" i="12"/>
  <c r="G36" i="12"/>
  <c r="J36" i="12"/>
  <c r="C38" i="12"/>
  <c r="O38" i="12"/>
  <c r="Q38" i="12"/>
  <c r="S38" i="12"/>
  <c r="G34" i="12"/>
  <c r="O39" i="12"/>
  <c r="Q39" i="12"/>
  <c r="S39" i="12"/>
  <c r="J35" i="12"/>
  <c r="O40" i="12"/>
  <c r="Q40" i="12"/>
  <c r="S40" i="12"/>
  <c r="C36" i="12"/>
  <c r="I9" i="59"/>
  <c r="I10" i="59"/>
  <c r="K11" i="59"/>
  <c r="I14" i="59"/>
  <c r="I15" i="59"/>
  <c r="I16" i="59"/>
  <c r="K17" i="59"/>
  <c r="J9" i="10"/>
  <c r="J10" i="10"/>
  <c r="J11" i="10"/>
  <c r="J16" i="10"/>
  <c r="L17" i="10"/>
  <c r="J20" i="10"/>
  <c r="J21" i="10"/>
  <c r="L22" i="10"/>
  <c r="O27" i="10"/>
  <c r="F27" i="10"/>
  <c r="Q27" i="10"/>
  <c r="S27" i="10"/>
  <c r="L35" i="10"/>
  <c r="O36" i="10"/>
  <c r="Q36" i="10"/>
  <c r="S36" i="10"/>
  <c r="L36" i="10"/>
  <c r="L38" i="10"/>
  <c r="L37" i="10"/>
  <c r="M6" i="8"/>
  <c r="G6" i="8"/>
  <c r="O7" i="8"/>
  <c r="G7" i="8"/>
  <c r="M9" i="8"/>
  <c r="D9" i="8"/>
  <c r="O10" i="8"/>
  <c r="G10" i="8"/>
  <c r="M12" i="8"/>
  <c r="D12" i="8"/>
  <c r="O12" i="8"/>
  <c r="G12" i="8"/>
  <c r="D19" i="8"/>
  <c r="G19" i="8"/>
  <c r="M26" i="8"/>
  <c r="Q26" i="8"/>
  <c r="M23" i="8"/>
  <c r="M27" i="8"/>
  <c r="Q27" i="8"/>
  <c r="O23" i="8"/>
  <c r="G23" i="8"/>
  <c r="C27" i="8"/>
  <c r="M33" i="8"/>
  <c r="Q33" i="8"/>
  <c r="D30" i="8"/>
  <c r="M34" i="8"/>
  <c r="Q34" i="8"/>
  <c r="M40" i="8"/>
  <c r="Q40" i="8"/>
  <c r="G37" i="8"/>
  <c r="M41" i="8"/>
  <c r="Q41" i="8"/>
  <c r="D9" i="54"/>
  <c r="J13" i="44"/>
  <c r="J21" i="44"/>
  <c r="K16" i="31"/>
  <c r="S19" i="30"/>
  <c r="D19" i="30"/>
  <c r="S25" i="30"/>
  <c r="J25" i="30"/>
  <c r="S13" i="30"/>
  <c r="G13" i="30"/>
  <c r="M10" i="19"/>
  <c r="G31" i="8"/>
  <c r="I30" i="8"/>
  <c r="Q30" i="8"/>
  <c r="C34" i="8"/>
  <c r="O24" i="8"/>
  <c r="G24" i="8"/>
  <c r="D23" i="8"/>
  <c r="Q37" i="8"/>
  <c r="I37" i="8"/>
  <c r="G38" i="8"/>
  <c r="C41" i="8"/>
  <c r="L12" i="10"/>
  <c r="C40" i="12"/>
  <c r="C40" i="8"/>
  <c r="O37" i="8"/>
  <c r="O38" i="8"/>
  <c r="C33" i="8"/>
  <c r="M30" i="8"/>
  <c r="O31" i="8"/>
  <c r="C26" i="8"/>
  <c r="O13" i="8"/>
  <c r="G13" i="8"/>
  <c r="O28" i="10"/>
  <c r="F28" i="10"/>
  <c r="H27" i="10"/>
  <c r="L23" i="10"/>
  <c r="K19" i="59"/>
  <c r="C39" i="12"/>
  <c r="L40" i="14"/>
  <c r="D15" i="14"/>
  <c r="R16" i="14"/>
  <c r="T16" i="14"/>
  <c r="D16" i="14"/>
  <c r="D7" i="14"/>
  <c r="V33" i="15"/>
  <c r="C33" i="15"/>
  <c r="K47" i="16"/>
  <c r="O18" i="17"/>
  <c r="S18" i="17"/>
  <c r="C18" i="17"/>
  <c r="O19" i="17"/>
  <c r="R22" i="23"/>
  <c r="J16" i="23"/>
  <c r="J17" i="23"/>
  <c r="O32" i="28"/>
  <c r="K43" i="31"/>
  <c r="N42" i="31"/>
  <c r="R42" i="31"/>
  <c r="I42" i="31"/>
  <c r="N13" i="32"/>
  <c r="C14" i="35"/>
  <c r="L15" i="35"/>
  <c r="N26" i="18"/>
  <c r="P37" i="19"/>
  <c r="P38" i="19"/>
  <c r="N27" i="18"/>
  <c r="M13" i="19"/>
  <c r="R37" i="19"/>
  <c r="R38" i="19"/>
  <c r="Q15" i="26"/>
  <c r="P49" i="32"/>
  <c r="T49" i="32"/>
  <c r="C50" i="32"/>
  <c r="C46" i="32"/>
  <c r="M29" i="33"/>
  <c r="N21" i="34"/>
  <c r="I16" i="27"/>
  <c r="J22" i="30"/>
  <c r="J16" i="30"/>
  <c r="J10" i="30"/>
  <c r="G4" i="30"/>
  <c r="C49" i="32"/>
  <c r="C45" i="32"/>
  <c r="C39" i="32"/>
  <c r="D31" i="35"/>
  <c r="D25" i="35"/>
  <c r="C23" i="35"/>
  <c r="D19" i="35"/>
  <c r="D14" i="35"/>
  <c r="C29" i="36"/>
  <c r="R29" i="36"/>
  <c r="C30" i="36"/>
  <c r="H8" i="36"/>
  <c r="L26" i="36"/>
  <c r="L32" i="36"/>
  <c r="L35" i="36"/>
  <c r="O10" i="42"/>
  <c r="O13" i="42"/>
  <c r="W10" i="42"/>
  <c r="R34" i="15"/>
  <c r="V34" i="15"/>
  <c r="C34" i="15"/>
  <c r="Q19" i="17"/>
  <c r="X21" i="20"/>
  <c r="G17" i="20"/>
  <c r="T16" i="27"/>
  <c r="R29" i="35"/>
  <c r="C29" i="35"/>
  <c r="D6" i="35"/>
  <c r="R6" i="35"/>
  <c r="D5" i="35"/>
  <c r="N35" i="36"/>
  <c r="N32" i="36"/>
  <c r="H7" i="36"/>
  <c r="S23" i="38"/>
  <c r="O30" i="38"/>
  <c r="Q30" i="38"/>
  <c r="K20" i="41"/>
  <c r="J36" i="44"/>
  <c r="J37" i="44"/>
  <c r="R26" i="45"/>
  <c r="R20" i="45"/>
  <c r="C12" i="45"/>
  <c r="N13" i="45"/>
  <c r="D5" i="45"/>
  <c r="T5" i="45"/>
  <c r="C5" i="45"/>
  <c r="P32" i="46"/>
  <c r="P26" i="46"/>
  <c r="I6" i="46"/>
  <c r="V41" i="48"/>
  <c r="H35" i="48"/>
  <c r="R23" i="51"/>
  <c r="D22" i="51"/>
  <c r="D23" i="51"/>
  <c r="I32" i="54"/>
  <c r="X36" i="54"/>
  <c r="C39" i="42"/>
  <c r="U38" i="42"/>
  <c r="C40" i="42"/>
  <c r="R26" i="22"/>
  <c r="T26" i="22"/>
  <c r="C26" i="22"/>
  <c r="C25" i="22"/>
  <c r="D7" i="45"/>
  <c r="I7" i="46"/>
  <c r="N26" i="46"/>
  <c r="T26" i="46"/>
  <c r="N29" i="46"/>
  <c r="T29" i="46"/>
  <c r="N32" i="46"/>
  <c r="V32" i="46"/>
  <c r="C48" i="48"/>
  <c r="X33" i="48"/>
  <c r="R34" i="51"/>
  <c r="D33" i="51"/>
  <c r="D34" i="51"/>
  <c r="R32" i="51"/>
  <c r="D31" i="51"/>
  <c r="D32" i="51"/>
  <c r="R8" i="25"/>
  <c r="C8" i="25"/>
  <c r="V4" i="54"/>
  <c r="X9" i="54"/>
  <c r="D8" i="54"/>
  <c r="I26" i="54"/>
  <c r="I24" i="54"/>
  <c r="L7" i="35"/>
  <c r="C6" i="35"/>
  <c r="T35" i="36"/>
  <c r="C36" i="36"/>
  <c r="C35" i="36"/>
  <c r="P26" i="36"/>
  <c r="C27" i="36"/>
  <c r="C26" i="36"/>
  <c r="N43" i="18"/>
  <c r="N42" i="18"/>
  <c r="F57" i="18"/>
  <c r="H58" i="18"/>
  <c r="L41" i="18"/>
  <c r="D52" i="18"/>
  <c r="F53" i="18"/>
  <c r="T37" i="19"/>
  <c r="C37" i="19"/>
  <c r="D15" i="35"/>
  <c r="P15" i="35"/>
  <c r="C15" i="35"/>
  <c r="Q32" i="28"/>
  <c r="B32" i="28"/>
  <c r="S19" i="17"/>
  <c r="C19" i="17"/>
  <c r="X4" i="54"/>
  <c r="D4" i="54"/>
  <c r="R38" i="48"/>
  <c r="V38" i="48"/>
  <c r="C38" i="48"/>
  <c r="R40" i="48"/>
  <c r="V40" i="48"/>
  <c r="C40" i="48"/>
  <c r="R13" i="45"/>
  <c r="D13" i="45"/>
  <c r="R21" i="45"/>
  <c r="C20" i="45"/>
  <c r="N27" i="45"/>
  <c r="C26" i="45"/>
  <c r="I17" i="27"/>
  <c r="N27" i="27"/>
  <c r="T27" i="27"/>
  <c r="B27" i="27"/>
  <c r="J25" i="27"/>
  <c r="H33" i="48"/>
  <c r="R32" i="36"/>
  <c r="C33" i="36"/>
  <c r="C32" i="36"/>
  <c r="T34" i="34"/>
  <c r="L34" i="34"/>
  <c r="N35" i="34"/>
  <c r="N36" i="34"/>
  <c r="R28" i="19"/>
  <c r="H28" i="19"/>
  <c r="T38" i="19"/>
  <c r="C38" i="19"/>
  <c r="C22" i="23"/>
  <c r="P52" i="14"/>
  <c r="P48" i="14"/>
  <c r="H48" i="14"/>
  <c r="T48" i="14"/>
  <c r="H49" i="14"/>
  <c r="T52" i="14"/>
  <c r="H53" i="14"/>
  <c r="H52" i="14"/>
  <c r="D27" i="45"/>
  <c r="T27" i="45"/>
  <c r="D21" i="45"/>
  <c r="T21" i="45"/>
  <c r="C21" i="45"/>
  <c r="C13" i="45"/>
  <c r="P14" i="45"/>
  <c r="D7" i="35"/>
  <c r="P7" i="35"/>
  <c r="C7" i="35"/>
  <c r="N8" i="35"/>
  <c r="R14" i="45"/>
  <c r="C14" i="45"/>
  <c r="D14" i="45"/>
  <c r="C27" i="45"/>
  <c r="P28" i="45"/>
  <c r="R28" i="45"/>
  <c r="D28" i="45"/>
  <c r="P8" i="35"/>
  <c r="C8" i="35"/>
  <c r="D8" i="35"/>
  <c r="C28" i="45"/>
  <c r="P29" i="45"/>
  <c r="D29" i="45"/>
  <c r="R29" i="45"/>
  <c r="C29" i="45"/>
  <c r="C28" i="19"/>
  <c r="R29" i="19"/>
  <c r="P34" i="19"/>
  <c r="H29" i="19"/>
  <c r="R35" i="19"/>
  <c r="H35" i="19"/>
  <c r="C34" i="19"/>
</calcChain>
</file>

<file path=xl/sharedStrings.xml><?xml version="1.0" encoding="utf-8"?>
<sst xmlns="http://schemas.openxmlformats.org/spreadsheetml/2006/main" count="3957" uniqueCount="1688">
  <si>
    <t>total assets at the beginning of the year</t>
  </si>
  <si>
    <t>total liabilities at the beginning of the year</t>
  </si>
  <si>
    <t>total liabilities at the end of the year</t>
  </si>
  <si>
    <t>equity at the end of the year</t>
  </si>
  <si>
    <t>net income for the year</t>
  </si>
  <si>
    <t>revenue</t>
  </si>
  <si>
    <t>expense</t>
  </si>
  <si>
    <t>net income (net loss)</t>
  </si>
  <si>
    <t>prepaid rent, building</t>
  </si>
  <si>
    <t>property, plant, &amp; equip.</t>
  </si>
  <si>
    <t>salaries payable</t>
  </si>
  <si>
    <t>income tax payable</t>
  </si>
  <si>
    <t>notes payable (due in 10 years)</t>
  </si>
  <si>
    <t>retained earnings, beg.</t>
  </si>
  <si>
    <t>add: net income</t>
  </si>
  <si>
    <t>less: dividends</t>
  </si>
  <si>
    <t>retained earnings, end.</t>
  </si>
  <si>
    <t>net income (from above)</t>
  </si>
  <si>
    <t>accum depr, building</t>
  </si>
  <si>
    <t>accum depr, fixtures</t>
  </si>
  <si>
    <t>other assets</t>
  </si>
  <si>
    <t>building</t>
  </si>
  <si>
    <t>furniture</t>
  </si>
  <si>
    <t>rent expense, store equipment</t>
  </si>
  <si>
    <t>income taxes payable</t>
  </si>
  <si>
    <t>bonds payable (due in 7 years)</t>
  </si>
  <si>
    <t>berko</t>
  </si>
  <si>
    <t>manning</t>
  </si>
  <si>
    <t>lucas</t>
  </si>
  <si>
    <t>corey</t>
  </si>
  <si>
    <t>beginning</t>
  </si>
  <si>
    <t>add com stock</t>
  </si>
  <si>
    <t>beg. total assets</t>
  </si>
  <si>
    <t>add common stock</t>
  </si>
  <si>
    <t>total assets beginning of the year</t>
  </si>
  <si>
    <t>total liabilities beginning of the year</t>
  </si>
  <si>
    <t>total liabilities at end of the year</t>
  </si>
  <si>
    <t>equity at end of the year</t>
  </si>
  <si>
    <t>interest income</t>
  </si>
  <si>
    <t>floyd</t>
  </si>
  <si>
    <t>slater</t>
  </si>
  <si>
    <t>wooderson</t>
  </si>
  <si>
    <t>o'bannion</t>
  </si>
  <si>
    <t>crick</t>
  </si>
  <si>
    <t>pascal</t>
  </si>
  <si>
    <t>eiffel</t>
  </si>
  <si>
    <t>hilbert</t>
  </si>
  <si>
    <t>accum depr, equipment</t>
  </si>
  <si>
    <t>inventory, repair parts</t>
  </si>
  <si>
    <t>prepaid rent (3 months)</t>
  </si>
  <si>
    <t>investments (long-term)</t>
  </si>
  <si>
    <t>equipment</t>
  </si>
  <si>
    <t>wages payable</t>
  </si>
  <si>
    <t>interest payable</t>
  </si>
  <si>
    <t>There are many questions that can be answered based on each of the financial statements:</t>
  </si>
  <si>
    <t>a.</t>
  </si>
  <si>
    <t xml:space="preserve">What is the total amount of assets (economic resources) of a corporation? What is </t>
  </si>
  <si>
    <t>the total amount of liabilities (claims against the resources) for a corporation?</t>
  </si>
  <si>
    <t>b.</t>
  </si>
  <si>
    <t>How much equity do the owners of the corporation have in its assets?</t>
  </si>
  <si>
    <t>c.</t>
  </si>
  <si>
    <t>Is the corporation able to pay its debts as they become due?</t>
  </si>
  <si>
    <t xml:space="preserve">  </t>
  </si>
  <si>
    <t>How much revenue was earned last month? Last quarter? Last year?</t>
  </si>
  <si>
    <t>What was the total amount of expenses incurred to earn that revenue?</t>
  </si>
  <si>
    <t xml:space="preserve">How much better off is the corporation at the end of the year than it was at the </t>
  </si>
  <si>
    <t>beginning of the year?</t>
  </si>
  <si>
    <t>d.</t>
  </si>
  <si>
    <t xml:space="preserve">Was the corporation profitable, and what are the prospects for the corporation’s </t>
  </si>
  <si>
    <t>future profitability?</t>
  </si>
  <si>
    <t>e.</t>
  </si>
  <si>
    <t>What are the prospects for the future growth of the corporation?</t>
  </si>
  <si>
    <t>How much income was distributed in dividends by the corporation?</t>
  </si>
  <si>
    <t>What amount of equity in the business has been generated internally?</t>
  </si>
  <si>
    <t>How much cash was taken in or paid out as a result of operations?</t>
  </si>
  <si>
    <t>How much cash was invested in new equipment?</t>
  </si>
  <si>
    <t>How much cash was used to pay off business debt?</t>
  </si>
  <si>
    <t>10.</t>
  </si>
  <si>
    <t xml:space="preserve">Point-in-time measurement means as of a particular date. The balance sheet is a point-in-time </t>
  </si>
  <si>
    <t xml:space="preserve">measurement. The period-of-time description applies to what has happened over a time interval. </t>
  </si>
  <si>
    <t xml:space="preserve">The income statement is a period-of-time measurement that explains the business activities </t>
  </si>
  <si>
    <t>earnings are also period-of-time measurements.</t>
  </si>
  <si>
    <t>11.</t>
  </si>
  <si>
    <t>The fundamental accounting equation is:</t>
  </si>
  <si>
    <t xml:space="preserve">The equation is significant because it means that the balance sheet must always balance. This </t>
  </si>
  <si>
    <t xml:space="preserve">implies that what a company owns (its resources) must always be equal to the claims of its </t>
  </si>
  <si>
    <t xml:space="preserve">creditors (liabilities) and investors (stockholders’ equity). </t>
  </si>
  <si>
    <t>12.</t>
  </si>
  <si>
    <t xml:space="preserve">Each financial statement includes a heading that is comprised of (a) the name of the company, </t>
  </si>
  <si>
    <t xml:space="preserve">(b) the title of the financial statement, and (c) the time period covered—either a point-in-time </t>
  </si>
  <si>
    <t xml:space="preserve">measurement (an exact date) or a period-of-time description (e.g., a year ended in a specific </t>
  </si>
  <si>
    <t>date).</t>
  </si>
  <si>
    <t>13.</t>
  </si>
  <si>
    <t xml:space="preserve">Current assets are cash and other assets that are reasonably expected to be converted to cash </t>
  </si>
  <si>
    <t xml:space="preserve">   Since current assets are presented separately from other assets, statement users can see if </t>
  </si>
  <si>
    <t xml:space="preserve">the firm is likely to have enough resources available to meet its current liabilities as they come </t>
  </si>
  <si>
    <t xml:space="preserve">due. If current assets were presented among other assets, such a determination would be difficult. </t>
  </si>
  <si>
    <t xml:space="preserve">   Current liabilities are separated from long-term liabilities because current liabilities will require </t>
  </si>
  <si>
    <t xml:space="preserve">asset outflows (or replacement with another liability) much sooner than will long-term liabilities. If </t>
  </si>
  <si>
    <t>the assets (economic resources) required in the near future to satisfy the current liabilities.</t>
  </si>
  <si>
    <t>14.</t>
  </si>
  <si>
    <t xml:space="preserve">Current assets are generally listed on the balance sheet in order of liquidity or nearness to cash, </t>
  </si>
  <si>
    <t>whereas current liabilities are usually listed in the order in which they will be paid.</t>
  </si>
  <si>
    <t>15.</t>
  </si>
  <si>
    <t xml:space="preserve">The two main components of equity are contributed capital and retained earnings. Contributed </t>
  </si>
  <si>
    <t xml:space="preserve">capital is increased by investments of new capital in a company by its owners (the issue of </t>
  </si>
  <si>
    <t>common stock to stockholders). Retained earnings is the accumulated net income of a company</t>
  </si>
  <si>
    <t>that has not been distributed to owners. Retained earnings is increased by net income and</t>
  </si>
  <si>
    <t>decreased by net losses and dividends.</t>
  </si>
  <si>
    <t>16.</t>
  </si>
  <si>
    <t>Net Income</t>
  </si>
  <si>
    <t>=</t>
  </si>
  <si>
    <t>17.</t>
  </si>
  <si>
    <t xml:space="preserve">The single-step income statement format takes into account only two categories: total revenues </t>
  </si>
  <si>
    <t xml:space="preserve">and total expenses. Total expenses are subtracted from total revenues in a single step to arrive at </t>
  </si>
  <si>
    <t xml:space="preserve">net income. The multiple-step income statement format contains three important subtotals: gross </t>
  </si>
  <si>
    <t xml:space="preserve">margin (gross profit), income from operations, and net income. Gross margin is the difference </t>
  </si>
  <si>
    <t xml:space="preserve">between net sales and cost of sales (or cost of goods sold). Income from operations is the </t>
  </si>
  <si>
    <t xml:space="preserve">difference between gross margin and operating expenses. Net income is the difference between </t>
  </si>
  <si>
    <t>Depreciation expense (building)…………………………………………………….</t>
  </si>
  <si>
    <t>Rent expense…………………………………………………………..……………..</t>
  </si>
  <si>
    <t>Rent expense, office equipment</t>
  </si>
  <si>
    <t>Net income………………………………………………………………………………..</t>
  </si>
  <si>
    <t>Rent payable, office equipment</t>
  </si>
  <si>
    <t>Service revenue, cleaning</t>
  </si>
  <si>
    <t>Service revenue, docking</t>
  </si>
  <si>
    <t>Less: Dividends…………………………………………………………………………………………….</t>
  </si>
  <si>
    <t>Cash………………………………………………………………………</t>
  </si>
  <si>
    <t>Accounts receivable……………………………………………………</t>
  </si>
  <si>
    <t>Supplies………………………………………………….……………….</t>
  </si>
  <si>
    <t>Total current assets……………………………………………………………………………….</t>
  </si>
  <si>
    <t>Land………………………………………………………………………………………….</t>
  </si>
  <si>
    <t>Building…………………………………………………………………..</t>
  </si>
  <si>
    <t>Less: Accumulated depreciation……………………………………</t>
  </si>
  <si>
    <t>Equipment……….…………………….………………………….…………………………</t>
  </si>
  <si>
    <t>Less: Accumulated depreciation………….………………………….………………….</t>
  </si>
  <si>
    <t>Total assets…………………………………….………………………….…………………</t>
  </si>
  <si>
    <t>Total liabilities and stockholders’ equity……………….………………………….………………………….……………………</t>
  </si>
  <si>
    <t>Stackhouse Company:</t>
  </si>
  <si>
    <t>Compton Company:</t>
  </si>
  <si>
    <t>Bellefleur Company:</t>
  </si>
  <si>
    <t>Must solve for (i) first.</t>
  </si>
  <si>
    <t xml:space="preserve">(j) </t>
  </si>
  <si>
    <r>
      <t>PROBLEM SET A</t>
    </r>
    <r>
      <rPr>
        <sz val="14"/>
        <rFont val="Arial"/>
        <family val="2"/>
      </rPr>
      <t xml:space="preserve"> </t>
    </r>
  </si>
  <si>
    <t>Merlotte Company:</t>
  </si>
  <si>
    <t>Addn c. stock</t>
  </si>
  <si>
    <t>+ Net Income – Dividends</t>
  </si>
  <si>
    <t xml:space="preserve">a. </t>
  </si>
  <si>
    <t>Accounting Association</t>
  </si>
  <si>
    <t>American Accounting Association</t>
  </si>
  <si>
    <t>Office</t>
  </si>
  <si>
    <t xml:space="preserve">b. </t>
  </si>
  <si>
    <t>Business entities:</t>
  </si>
  <si>
    <t>executives), Financial Executives Institute</t>
  </si>
  <si>
    <t xml:space="preserve">c. </t>
  </si>
  <si>
    <t>Public practice:</t>
  </si>
  <si>
    <t>Institute of Certified Public Accountants</t>
  </si>
  <si>
    <t>Society of CPAs</t>
  </si>
  <si>
    <t xml:space="preserve">Activities and events in one segment of the accounting profession affect </t>
  </si>
  <si>
    <t xml:space="preserve">to cover the current liabilities in both years. In addition, its liquidity is </t>
  </si>
  <si>
    <t>Trends:</t>
  </si>
  <si>
    <t>common stock.</t>
  </si>
  <si>
    <t>by using the balance sheet equation and solving for the missing amount.</t>
  </si>
  <si>
    <t>equity are known.</t>
  </si>
  <si>
    <t xml:space="preserve">from the fundamental accounting equation if both assets and stockholders’ </t>
  </si>
  <si>
    <t>Total revenues………………………………………………………………………….</t>
  </si>
  <si>
    <t>Total expenses………………………………………………………………………………………</t>
  </si>
  <si>
    <t>Service revenue……………………………………………………………………………………………</t>
  </si>
  <si>
    <t>Salaries expense…………………………………………………………………………………………..</t>
  </si>
  <si>
    <t>Rent expense……………………………………………………………………………………………….</t>
  </si>
  <si>
    <t>Supplies expense………………………………………………………………………………………….</t>
  </si>
  <si>
    <t>Interest expense……………………………………………………………………………………………</t>
  </si>
  <si>
    <t>Income taxes expense…………………………………………………………….</t>
  </si>
  <si>
    <t>Revenue………………………………………………….……………………….………………….</t>
  </si>
  <si>
    <t>Less: Expenses………………………………………….………………………..…………………</t>
  </si>
  <si>
    <t>Net income…………………………….……….………………………………</t>
  </si>
  <si>
    <t>Net income computed as follows:</t>
  </si>
  <si>
    <t>Retained earnings, beginning of year*..……………………………………………………………….</t>
  </si>
  <si>
    <t>Add: Net income**……………………………………………………………….</t>
  </si>
  <si>
    <t xml:space="preserve">Both a single-step income statement and a multiple-step income statement report </t>
  </si>
  <si>
    <t xml:space="preserve">are subtracted to arrive at net income. A multiple-step income statement provides  </t>
  </si>
  <si>
    <t>Retained earnings*……………………………………………………………………………………..</t>
  </si>
  <si>
    <t>relationships between the accounts work.</t>
  </si>
  <si>
    <t xml:space="preserve">It is necessary to answer these questions out of order because of the way the </t>
  </si>
  <si>
    <t>Service revenue……………………………………………………………………</t>
  </si>
  <si>
    <t>Interest income..………………………………………………………………………….</t>
  </si>
  <si>
    <t>Total revenues……………………………………………………………………………</t>
  </si>
  <si>
    <t>in resource deployment or distribution have an incentive to misrepresent financial</t>
  </si>
  <si>
    <t>information or to pressure accountants to do so. Such individuals may even create</t>
  </si>
  <si>
    <t>financial incentives for accountants to bias or misrepresent the facts. Unethical</t>
  </si>
  <si>
    <t>behavior by an accountant, once revealed, usually brings loss of employment and</t>
  </si>
  <si>
    <t xml:space="preserve">operating activities. Financing activities involve obtaining the funds necessary to begin and </t>
  </si>
  <si>
    <t xml:space="preserve">operate a business. These funds come from either issuing stock or borrowing money. Investing </t>
  </si>
  <si>
    <t xml:space="preserve">activities involve buying and selling assets that enable a corporation to operate. Operating </t>
  </si>
  <si>
    <t xml:space="preserve">activities are the normal business activities that a company engages in as it conducts its </t>
  </si>
  <si>
    <t xml:space="preserve">business. These activities involve selling products or services, purchasing inventory, collecting </t>
  </si>
  <si>
    <t>amounts due from customers, and paying suppliers.</t>
  </si>
  <si>
    <t>Net Income = Total Revenues – Total Expenses</t>
  </si>
  <si>
    <t>Total revenues…………………………………………………………………………………………………………………</t>
  </si>
  <si>
    <t>Wages expense………………………………………………………………………………………………….</t>
  </si>
  <si>
    <t>Rent expense……………………………………………………………………….</t>
  </si>
  <si>
    <t>Supplies expense……………….………………………………………………….</t>
  </si>
  <si>
    <t>Interest expense………………………………………………………………………………………………….</t>
  </si>
  <si>
    <t>Depreciation expense……………..………………………………………………</t>
  </si>
  <si>
    <t>Income taxes expense…………………………………………………………………………………………….</t>
  </si>
  <si>
    <t>Total expenses…………………………………………………………………………………………………………………</t>
  </si>
  <si>
    <t xml:space="preserve">balance sheet, an income statement, a retained earnings statement, </t>
  </si>
  <si>
    <t xml:space="preserve">invest in the company. A retained earnings statement reports how </t>
  </si>
  <si>
    <t>E 1-44</t>
  </si>
  <si>
    <t xml:space="preserve">Keeping better track of his revenues, expenses, income, assets, and liabilities </t>
  </si>
  <si>
    <t>may have allowed Jim to avoid overspending his resources.</t>
  </si>
  <si>
    <t>activities and events in other segments of the profession. Education</t>
  </si>
  <si>
    <t>affects preparedness for public practice. New business activities require</t>
  </si>
  <si>
    <t>new auditing procedures. Accounting research affects the practice of</t>
  </si>
  <si>
    <t>accounting, and accounting practice influences the form of accounting</t>
  </si>
  <si>
    <t>research. Information about developments outside one’s own segment of</t>
  </si>
  <si>
    <t>accounting can help one better understand and, perhaps, shape</t>
  </si>
  <si>
    <t>developments inside one’s own segment.</t>
  </si>
  <si>
    <t>Student responses to this assignment will vary widely, but it is a good basis</t>
  </si>
  <si>
    <t>for classroom discussion. Some students will have interests in various</t>
  </si>
  <si>
    <t>accounting careers; others will have interests in other business careers or</t>
  </si>
  <si>
    <t>perhaps graduate professional degrees. Of those with plans for graduate</t>
  </si>
  <si>
    <t>education, some intend to work for several years before returning for</t>
  </si>
  <si>
    <t>additional education; others will plan to go directly into graduate school.</t>
  </si>
  <si>
    <t>Some will plan to start their careers in one field and then move into another</t>
  </si>
  <si>
    <t>after several years. Some may have plans to start their own business. The</t>
  </si>
  <si>
    <t>steps necessary to implement these plans can be an interesting basis for</t>
  </si>
  <si>
    <t>discussion.</t>
  </si>
  <si>
    <t>next year. While Apple’s working capital and current ratio have</t>
  </si>
  <si>
    <t xml:space="preserve">decreased during 2011 when compared to 2010, Apple still appears  </t>
  </si>
  <si>
    <t>to have sufficient liquidity.</t>
  </si>
  <si>
    <t xml:space="preserve">dramatic jump in 2011, as shown in the comparative income statements.  </t>
  </si>
  <si>
    <t xml:space="preserve">As noted in the Management Discussion &amp; Analysis, the large increase  </t>
  </si>
  <si>
    <t xml:space="preserve">in sales in 2011 is due primarily to increased iPhone-related sales (87% </t>
  </si>
  <si>
    <t>increase compared to 2010) and increases in the sales of iPad-related</t>
  </si>
  <si>
    <t>sales (311% increase compared to 2010). This has caused cost of sales</t>
  </si>
  <si>
    <t>been slightly larger than the cost of sales increases, which have led to</t>
  </si>
  <si>
    <t>Contributed capital:</t>
  </si>
  <si>
    <t>Total assets:</t>
  </si>
  <si>
    <t>Current assets</t>
  </si>
  <si>
    <t>Long-term liabilities</t>
  </si>
  <si>
    <t>Intangible assets</t>
  </si>
  <si>
    <t>Long-term investments</t>
  </si>
  <si>
    <t>Property, plant and equipment (net)</t>
  </si>
  <si>
    <t>Current liabilities</t>
  </si>
  <si>
    <t>Contributed capital</t>
  </si>
  <si>
    <t xml:space="preserve"> links   ↓</t>
  </si>
  <si>
    <t>long-term liab</t>
  </si>
  <si>
    <t>contributed capital</t>
  </si>
  <si>
    <t>tot stockholders' equity</t>
  </si>
  <si>
    <t>long-term invest</t>
  </si>
  <si>
    <t>tot liabilities</t>
  </si>
  <si>
    <t>(e) = Total assets</t>
  </si>
  <si>
    <t>(g) = Total liabilities and stockholders’ equity</t>
  </si>
  <si>
    <t>BE 1-29</t>
  </si>
  <si>
    <t>BE 1-30</t>
  </si>
  <si>
    <t>BE 1-26</t>
  </si>
  <si>
    <t>BE 1-27</t>
  </si>
  <si>
    <t>BE 1-28</t>
  </si>
  <si>
    <t>BE 1-21</t>
  </si>
  <si>
    <t>BE 1-22</t>
  </si>
  <si>
    <t>BE 1-23</t>
  </si>
  <si>
    <t>BE 1-24</t>
  </si>
  <si>
    <t>BE 1-25</t>
  </si>
  <si>
    <t xml:space="preserve">X </t>
  </si>
  <si>
    <t>BRIEF EXERCISES</t>
  </si>
  <si>
    <t>appear better on paper.</t>
  </si>
  <si>
    <t xml:space="preserve">The first concern for Front Row Entertainment is to obtain financing </t>
  </si>
  <si>
    <t xml:space="preserve">for the business. Normally, a concert promoter must pay a significant </t>
  </si>
  <si>
    <t xml:space="preserve">amount of up-front cash to secure the venue and advertise the tour. </t>
  </si>
  <si>
    <t>4.</t>
  </si>
  <si>
    <t xml:space="preserve">A sole proprietorship is a business entity owned by one person. A partnership is a business entity </t>
  </si>
  <si>
    <t>1-1.</t>
  </si>
  <si>
    <t>1-2.</t>
  </si>
  <si>
    <t>1-3.</t>
  </si>
  <si>
    <t>1-4.</t>
  </si>
  <si>
    <t>1-5.</t>
  </si>
  <si>
    <t>1-6.</t>
  </si>
  <si>
    <t>1-7.</t>
  </si>
  <si>
    <t>1-8.</t>
  </si>
  <si>
    <t>1-9.</t>
  </si>
  <si>
    <t>1-10.</t>
  </si>
  <si>
    <t>1-11.</t>
  </si>
  <si>
    <t>1-12.</t>
  </si>
  <si>
    <t>1-13.</t>
  </si>
  <si>
    <t xml:space="preserve">corporation. This is because the corporate tax rate is higher than the </t>
  </si>
  <si>
    <t xml:space="preserve">individual tax rate and the corporation’s income is taxed twice—once </t>
  </si>
  <si>
    <t xml:space="preserve">at the corporate level and again at the stockholder level as earnings </t>
  </si>
  <si>
    <t xml:space="preserve">are distributed. However, the corporate form also has advantages. </t>
  </si>
  <si>
    <t xml:space="preserve">First, it can raise larger amounts of resources through the issuance of </t>
  </si>
  <si>
    <t xml:space="preserve">stock. Second, the corporate form limits the liability of its stockholders </t>
  </si>
  <si>
    <t xml:space="preserve">to the amount they have invested in the business. If the business were </t>
  </si>
  <si>
    <t xml:space="preserve">to fail, shareholders would only lose their investment. On the other </t>
  </si>
  <si>
    <t xml:space="preserve">hand, creditors could attempt to recover their losses from the personal </t>
  </si>
  <si>
    <t xml:space="preserve">assets of the partners. Finally, corporations have an unlimited life, with </t>
  </si>
  <si>
    <t>ownership easily transferred by the sale of stock. However, partnerships</t>
  </si>
  <si>
    <t xml:space="preserve">are dissolved when any partner leaves the partnership. Cam and Anna </t>
  </si>
  <si>
    <t xml:space="preserve">Cam and Anna will need to prepare four basic financial statements: a </t>
  </si>
  <si>
    <t xml:space="preserve">and a statement of cash flows. A balance sheet reports the resources </t>
  </si>
  <si>
    <t xml:space="preserve">contains two categories—total revenues and total expenses. These two categories </t>
  </si>
  <si>
    <t xml:space="preserve">are subtracted to arrive at net income. A multiple-step income statement provides </t>
  </si>
  <si>
    <t xml:space="preserve">three important classifications that financial statement users find useful—gross </t>
  </si>
  <si>
    <t xml:space="preserve">margin, income from operations, and net income. The only difference between the </t>
  </si>
  <si>
    <t>two formats is how the revenues and expenses are classified.</t>
  </si>
  <si>
    <t>Using the computed amounts for retained earnings, dividends can be determined</t>
  </si>
  <si>
    <t xml:space="preserve">?  </t>
  </si>
  <si>
    <t>Income taxes expense……………………………………………………….….</t>
  </si>
  <si>
    <t>Salaries expense ……………………………………………….………………….</t>
  </si>
  <si>
    <t>Wages expense</t>
  </si>
  <si>
    <t>Depreciation expense ……………………………………….……………………</t>
  </si>
  <si>
    <t>Rent expense ……………..………………………………………………………..</t>
  </si>
  <si>
    <t>company. Another difference you can notice from these figures is that Under</t>
  </si>
  <si>
    <t>Armour is financed relatively more by stockholders’ equity, whereas a relatively</t>
  </si>
  <si>
    <t>notice is that both companies have large amounts of current assets relative to</t>
  </si>
  <si>
    <t>current liabilities, showing relatively good liquidity for both of the companies.</t>
  </si>
  <si>
    <t>Under Armour: In addition to operating activities, its major sources of cash</t>
  </si>
  <si>
    <t>Total liabilities and stockholders’ equity……………………………………………………………………………………………..</t>
  </si>
  <si>
    <t>CE 1-20</t>
  </si>
  <si>
    <t xml:space="preserve">Net Income </t>
  </si>
  <si>
    <t xml:space="preserve">Total Revenue </t>
  </si>
  <si>
    <t xml:space="preserve">– </t>
  </si>
  <si>
    <t>Total Expenses</t>
  </si>
  <si>
    <t>Sales revenue</t>
  </si>
  <si>
    <t xml:space="preserve">Rent expense </t>
  </si>
  <si>
    <t xml:space="preserve">at net income. Dividends do not affect the income statement. Dividends </t>
  </si>
  <si>
    <t>are a reduction of the balance in retained earnings.</t>
  </si>
  <si>
    <t>Beginning retained earnings ……………………………………………………………………………………………</t>
  </si>
  <si>
    <t>Retained Earnings</t>
  </si>
  <si>
    <t>Revenue</t>
  </si>
  <si>
    <t>–</t>
  </si>
  <si>
    <t>Dividends ……………………………………………………………………………………….</t>
  </si>
  <si>
    <t>Expense</t>
  </si>
  <si>
    <t>Ending retained earnings………………………………………………………………………………….</t>
  </si>
  <si>
    <t>Dividend</t>
  </si>
  <si>
    <t>ACCOUNTING AND THE
FINANCIAL STATEMENTS</t>
  </si>
  <si>
    <t>DISCUSSION QUESTIONS</t>
  </si>
  <si>
    <t xml:space="preserve">Accounting is a system for identifying, measuring, recording, and communicating financial </t>
  </si>
  <si>
    <t xml:space="preserve"> </t>
  </si>
  <si>
    <t xml:space="preserve">information about an organization’s activities to permit informed decisions by users of the </t>
  </si>
  <si>
    <t xml:space="preserve">information. Bookkeeping is the process—made up of mechanical “steps”—of recording </t>
  </si>
  <si>
    <t xml:space="preserve">transactions and maintaining accounting records. While bookkeeping is part of accounting, </t>
  </si>
  <si>
    <t xml:space="preserve">accounting is viewed as the complete information system that communicates the economic </t>
  </si>
  <si>
    <t xml:space="preserve">profitability, users are better able to judge a company’s ability to </t>
  </si>
  <si>
    <t xml:space="preserve">generate future income and growth potential. Such information </t>
  </si>
  <si>
    <t xml:space="preserve">impacts the decision of whether to make a loan to the company or </t>
  </si>
  <si>
    <t xml:space="preserve">much of a company’s income was retained in the business and how </t>
  </si>
  <si>
    <t xml:space="preserve">much was distributed to owners over a period of time. Insights into a </t>
  </si>
  <si>
    <t xml:space="preserve">ability to pursue future growth opportunities. Finally, a statement of </t>
  </si>
  <si>
    <t xml:space="preserve">cash flows reports the sources and uses of a company’s cash over a </t>
  </si>
  <si>
    <t>period of time. This information allows investors and creditors to judge</t>
  </si>
  <si>
    <t xml:space="preserve">assess the creditworthiness of a company and its ability to pay future </t>
  </si>
  <si>
    <t>dividends.</t>
  </si>
  <si>
    <t xml:space="preserve">than from previous years for the simple reason that Apple has a floating </t>
  </si>
  <si>
    <t xml:space="preserve">year-end. Apple’s year-end always falls on the last Saturday of the month </t>
  </si>
  <si>
    <t>of September, so the actual date changes from year to year.</t>
  </si>
  <si>
    <t xml:space="preserve">income statement information. </t>
  </si>
  <si>
    <t>Balance sheet information:</t>
  </si>
  <si>
    <t xml:space="preserve">The dollar amounts for all three categories have changed in the past </t>
  </si>
  <si>
    <t xml:space="preserve"> Net Income</t>
  </si>
  <si>
    <t xml:space="preserve"> Net Income (Loss)</t>
  </si>
  <si>
    <t>Inventory………………………………………………………………………………….</t>
  </si>
  <si>
    <t>interest</t>
  </si>
  <si>
    <t>Prepaid rent………………………………………………………………………………</t>
  </si>
  <si>
    <t>cash</t>
  </si>
  <si>
    <t>Accounts payable……………………………………………………………………….</t>
  </si>
  <si>
    <t>Working Capital</t>
  </si>
  <si>
    <t>Current Assets – Current Liabilities</t>
  </si>
  <si>
    <t>Current Ratio</t>
  </si>
  <si>
    <t>ability to pay obligations as they become due.  These ratios show that Dunn</t>
  </si>
  <si>
    <t>Sporting Goods has adequate current assets to cover all of the current liabilities</t>
  </si>
  <si>
    <t xml:space="preserve">that will become due in the near future. Comparing these ratios to other </t>
  </si>
  <si>
    <t xml:space="preserve">companies in the same industry and examining the trend in these measures </t>
  </si>
  <si>
    <t>over time will yield additional insights.</t>
  </si>
  <si>
    <t>Hanson Construction</t>
  </si>
  <si>
    <t>notes receivable</t>
  </si>
  <si>
    <t>supplies</t>
  </si>
  <si>
    <t>notes payable</t>
  </si>
  <si>
    <t>A/R Paid in 2 months</t>
  </si>
  <si>
    <t>term asset. The construction equipment and related accumulated depreciation</t>
  </si>
  <si>
    <t>are classified as property, plant, and equipment (a noncurrent asset).</t>
  </si>
  <si>
    <t>E 1-31</t>
  </si>
  <si>
    <t>Equipment cost</t>
  </si>
  <si>
    <t>Dep. Py</t>
  </si>
  <si>
    <t xml:space="preserve">section of the balance sheet. </t>
  </si>
  <si>
    <t>multiple-step income statement, depreciation expense will be reported as an</t>
  </si>
  <si>
    <t>operating expense.</t>
  </si>
  <si>
    <t>E 1-32</t>
  </si>
  <si>
    <t>Mulcahy Manufacturing Inc.</t>
  </si>
  <si>
    <t>Common stock………………………………………………………………………..</t>
  </si>
  <si>
    <t>Retained earnings…………………………………………………………………….</t>
  </si>
  <si>
    <t>Reported net income</t>
  </si>
  <si>
    <t>Total stockholders’ equity…………………………………………………………..</t>
  </si>
  <si>
    <t>balances.</t>
  </si>
  <si>
    <t>E 1-33</t>
  </si>
  <si>
    <t>College Spirit</t>
  </si>
  <si>
    <t>Cash…………………………………………………………………….</t>
  </si>
  <si>
    <t>Accumulated depreciation</t>
  </si>
  <si>
    <t>Accounts receivable………………………………………..……………</t>
  </si>
  <si>
    <t>Inventory .…………………………………………………………….</t>
  </si>
  <si>
    <t>Prepaid rent  ……….……………………………………..…………….</t>
  </si>
  <si>
    <t>Furniture</t>
  </si>
  <si>
    <t>Long-term investments:</t>
  </si>
  <si>
    <t>Investment ……………………...…………………………...……………………</t>
  </si>
  <si>
    <t>Property, plant, and equipment:</t>
  </si>
  <si>
    <t>Investment (long-term)</t>
  </si>
  <si>
    <t>Furniture  ……………. ………………………………………………</t>
  </si>
  <si>
    <t>Note payable, short-term</t>
  </si>
  <si>
    <t>Less: Accumulated depreciation………………………………………………….</t>
  </si>
  <si>
    <t>Prepaid rent (current)</t>
  </si>
  <si>
    <t>Total assets ……………………………………………..……………………………………</t>
  </si>
  <si>
    <t>Accounts payable………………………………………………………………</t>
  </si>
  <si>
    <t>Notes payable .…………….……………………………………………………</t>
  </si>
  <si>
    <t>Income taxes payable ……………………………………………</t>
  </si>
  <si>
    <t xml:space="preserve">    </t>
  </si>
  <si>
    <t>Bonds payable…………………………………………………………………………………………….</t>
  </si>
  <si>
    <t>Common stock………………………………………………………………….</t>
  </si>
  <si>
    <t>Retained earnings………………………………………………………………</t>
  </si>
  <si>
    <t>Total liabilities and stockholders’ equity………………………………………………………………………………</t>
  </si>
  <si>
    <t xml:space="preserve">The working capital and current ratios show that College Spirit has adequate </t>
  </si>
  <si>
    <t xml:space="preserve">current assets to cover all of the current liabilities that will become due in the </t>
  </si>
  <si>
    <t xml:space="preserve">near future. Therefore, College Spirit’s liquidity should not be a major concern. </t>
  </si>
  <si>
    <t xml:space="preserve">Comparing these items to those of other companies in the same industry and </t>
  </si>
  <si>
    <t>examining the trends in these measures over time will yield additional insights.</t>
  </si>
  <si>
    <t>Jerrison Company</t>
  </si>
  <si>
    <t>Cash ………………………………………………………………………………………….</t>
  </si>
  <si>
    <t>Investments (short-term) …………………………………………………………………</t>
  </si>
  <si>
    <t>Accounts receivable……………………………………………………………………….</t>
  </si>
  <si>
    <t>Prepaid insurance………………………………………………………………………….</t>
  </si>
  <si>
    <t>Inventory ………………...………………………………………………………………….</t>
  </si>
  <si>
    <t>Land………………………………………………………………………………….</t>
  </si>
  <si>
    <t>Building ………………………………………….…………………………………</t>
  </si>
  <si>
    <t>Accumulated depreciation on data processing equipment</t>
  </si>
  <si>
    <t>Less: Accumulated depreciation……………………………………………….</t>
  </si>
  <si>
    <t>Accumulated depreciation on building</t>
  </si>
  <si>
    <t>Trucks …………………...………………………………………………………….</t>
  </si>
  <si>
    <t>Accumulated depreciation on warehouse operations equipment</t>
  </si>
  <si>
    <t>Bonds payable (due 2015)</t>
  </si>
  <si>
    <t>Equipment (data processing)………………………………………………….</t>
  </si>
  <si>
    <t>Building, warehouse</t>
  </si>
  <si>
    <t>Total assets…………………………………………………………………………….</t>
  </si>
  <si>
    <t>Equipment, data processing</t>
  </si>
  <si>
    <t>Equipment, warehouse operations</t>
  </si>
  <si>
    <t>Accounts payable…………………………………………………………………..</t>
  </si>
  <si>
    <t>Notes Payable (due June 1, 2012)………………………………………………..</t>
  </si>
  <si>
    <t>Interest payable</t>
  </si>
  <si>
    <t>Salaries payable……………………………………………………………………</t>
  </si>
  <si>
    <t>Income taxes payable…………………………………………………………….</t>
  </si>
  <si>
    <t>Land</t>
  </si>
  <si>
    <t>Interest payable……………………………………………………………………</t>
  </si>
  <si>
    <t>Investments (long-term)</t>
  </si>
  <si>
    <t>Notes payable (due June 1, 2012)</t>
  </si>
  <si>
    <t>Prepaid insurance (for 4 months)</t>
  </si>
  <si>
    <t>Bonds payable (due 2015)………………………………………………………..</t>
  </si>
  <si>
    <t>Salaries payable</t>
  </si>
  <si>
    <t>Investments (short-term)</t>
  </si>
  <si>
    <t>Common stock…………………………………………………………………….</t>
  </si>
  <si>
    <t>Retained earnings*………………………………………………………………..</t>
  </si>
  <si>
    <t>Total liabilities and stockholders’ equity………………………………………………………………………</t>
  </si>
  <si>
    <t>accounting equation. Because assets must equal liabilities plus stockholders’ equity,</t>
  </si>
  <si>
    <t>retained earnings is computed by determining the amount that causes both sides of the</t>
  </si>
  <si>
    <t>accounting equation to remain equal. This amount is computed as:</t>
  </si>
  <si>
    <t>Next, compute retained earnings:</t>
  </si>
  <si>
    <t>Common stock + Retained earnings</t>
  </si>
  <si>
    <t xml:space="preserve"> +   Y</t>
  </si>
  <si>
    <t xml:space="preserve">           Y</t>
  </si>
  <si>
    <t>E 1-35</t>
  </si>
  <si>
    <t>Butler Company</t>
  </si>
  <si>
    <t>Income Statement</t>
  </si>
  <si>
    <t>For a Period of Time</t>
  </si>
  <si>
    <t>Revenues:</t>
  </si>
  <si>
    <t>Expenses:</t>
  </si>
  <si>
    <t>Advertising expense</t>
  </si>
  <si>
    <t>Utilities expense</t>
  </si>
  <si>
    <t>Depreciation expense</t>
  </si>
  <si>
    <t>Interest expense</t>
  </si>
  <si>
    <t>Income tax expense</t>
  </si>
  <si>
    <t>Net income</t>
  </si>
  <si>
    <t xml:space="preserve">Information contained on the income statement can be used to predict a </t>
  </si>
  <si>
    <t xml:space="preserve">company’s ability to generate future income.  Specifically, by examining a </t>
  </si>
  <si>
    <t xml:space="preserve">statement user can gain insights into management’s ability to control </t>
  </si>
  <si>
    <t>expenses, a critical factor to achieve future profitability.</t>
  </si>
  <si>
    <t xml:space="preserve">Revenues: </t>
  </si>
  <si>
    <t>Service revenue…………………………………...……..………………………….</t>
  </si>
  <si>
    <t>Insurance expense</t>
  </si>
  <si>
    <t>Service revenue</t>
  </si>
  <si>
    <t>Salaries expense ………………...………………..………………….</t>
  </si>
  <si>
    <t>Supplies expense</t>
  </si>
  <si>
    <t>Cavernous Homes Inc.</t>
  </si>
  <si>
    <t>Intangible assets:</t>
  </si>
  <si>
    <t>assets. Instead, they are classified as property, plant, and equipment.</t>
  </si>
  <si>
    <t>ERS Inc.</t>
  </si>
  <si>
    <t>For the year ended December 31</t>
  </si>
  <si>
    <t>Revenue……………………………………………………………………………………………..</t>
  </si>
  <si>
    <t>Less: Expenses…………………………………………………………………………………….</t>
  </si>
  <si>
    <t>Net income……………………………………………………………………………………………</t>
  </si>
  <si>
    <t>You must solve for (e) prior to solving for (c) or (d):</t>
  </si>
  <si>
    <t>You must solve for (d) prior to solving for (c):</t>
  </si>
  <si>
    <t xml:space="preserve">of other income and expenses and was subtracted from expenses. </t>
  </si>
  <si>
    <t>Depreciation expense, fixtures</t>
  </si>
  <si>
    <t>Income taxes expense…………………………………………………………………</t>
  </si>
  <si>
    <t>Depreciation expense (furniture)……………………………………………………</t>
  </si>
  <si>
    <t>Income taxes expense</t>
  </si>
  <si>
    <t>Depreciation expense (building)……………………………………………………</t>
  </si>
  <si>
    <t>entity as listed below.</t>
  </si>
  <si>
    <t xml:space="preserve">There are many advantages and disadvantages to each particular type of business </t>
  </si>
  <si>
    <t xml:space="preserve">CASES     </t>
  </si>
  <si>
    <t>Accounts payable……………………………………………………………………………………..</t>
  </si>
  <si>
    <t>Income taxes payable……………………………………………………………………………………</t>
  </si>
  <si>
    <t>Salaries payable……………………………………………………………………………………….</t>
  </si>
  <si>
    <t>Total current liabilities………………………………………………………………………………..</t>
  </si>
  <si>
    <t>Bonds payable…………………………………………………………………………………………</t>
  </si>
  <si>
    <t>Total liabilities …………………………………………………………………………………………</t>
  </si>
  <si>
    <t>Common stock…………………………………………………………………………………………</t>
  </si>
  <si>
    <t>Total stockholders’ equity……………………………………………………………………………</t>
  </si>
  <si>
    <t>Total liabilities and stockholders’ equity……………………………………………………………..</t>
  </si>
  <si>
    <t>Berko Company:</t>
  </si>
  <si>
    <t xml:space="preserve">(a) </t>
  </si>
  <si>
    <t xml:space="preserve">(b) </t>
  </si>
  <si>
    <t>Equity, 12/31/2010</t>
  </si>
  <si>
    <t xml:space="preserve">(c) </t>
  </si>
  <si>
    <t>$(i)</t>
  </si>
  <si>
    <t xml:space="preserve">(d) </t>
  </si>
  <si>
    <t>Manning Company:</t>
  </si>
  <si>
    <t>Net income (loss) for 2011</t>
  </si>
  <si>
    <t>(m)</t>
  </si>
  <si>
    <t xml:space="preserve">(e) </t>
  </si>
  <si>
    <t>Dividends during 2011</t>
  </si>
  <si>
    <t>$ -0-</t>
  </si>
  <si>
    <t>(j)</t>
  </si>
  <si>
    <t xml:space="preserve">(f) </t>
  </si>
  <si>
    <t>Equity, 12/31/2011</t>
  </si>
  <si>
    <t xml:space="preserve">(g) </t>
  </si>
  <si>
    <t xml:space="preserve">(h) </t>
  </si>
  <si>
    <t>(k)</t>
  </si>
  <si>
    <t>(n)</t>
  </si>
  <si>
    <t>Total assets, 12/31/2011</t>
  </si>
  <si>
    <t>(o)</t>
  </si>
  <si>
    <t>Total liabilities, 12/31/2011</t>
  </si>
  <si>
    <t>(l)</t>
  </si>
  <si>
    <t>Lucas Company:</t>
  </si>
  <si>
    <t xml:space="preserve">(i) </t>
  </si>
  <si>
    <t xml:space="preserve">Must solve for (k) before (j): </t>
  </si>
  <si>
    <t xml:space="preserve">(k) </t>
  </si>
  <si>
    <t xml:space="preserve">(l) </t>
  </si>
  <si>
    <t>Corey Company:</t>
  </si>
  <si>
    <t xml:space="preserve">(m) </t>
  </si>
  <si>
    <t xml:space="preserve">(n) </t>
  </si>
  <si>
    <t xml:space="preserve">(o) </t>
  </si>
  <si>
    <t>First, use the fundamental accounting equation to determine stockholders’</t>
  </si>
  <si>
    <t>equity:</t>
  </si>
  <si>
    <t>Stockholders’ Equity</t>
  </si>
  <si>
    <t>End</t>
  </si>
  <si>
    <t>Next, use these fundamental relationships to solve for each situation:</t>
  </si>
  <si>
    <t xml:space="preserve">Stockholders’ Equity  = </t>
  </si>
  <si>
    <t>Common Stock + Retained Earnings</t>
  </si>
  <si>
    <t xml:space="preserve">Change in Common Stock </t>
  </si>
  <si>
    <t>+ Change in Retained Earnings</t>
  </si>
  <si>
    <t xml:space="preserve">Change in Retained Earnings  = </t>
  </si>
  <si>
    <t>Net Income – Dividends</t>
  </si>
  <si>
    <t>Therefore,</t>
  </si>
  <si>
    <t xml:space="preserve">Change in Common Stock + Net Income </t>
  </si>
  <si>
    <t>Cost of goods sold………………………………………………………………….</t>
  </si>
  <si>
    <t>Wages expense ……..………………………………………………………………</t>
  </si>
  <si>
    <t>Salaries expense………………….…………………………………………………</t>
  </si>
  <si>
    <t>Rent expense……………………………………………………..…………………..</t>
  </si>
  <si>
    <t>Insurance expense………………………………………………………………….</t>
  </si>
  <si>
    <t>Depreciation expense, building</t>
  </si>
  <si>
    <t>Total liabilities + Total stockholders’ equity</t>
  </si>
  <si>
    <t xml:space="preserve">Total stockholders’ equity </t>
  </si>
  <si>
    <t>O’Bannion:</t>
  </si>
  <si>
    <t xml:space="preserve">Change in Stockholders’ Equity  = </t>
  </si>
  <si>
    <t>company’s dividend policy assist investors in determining a company’s</t>
  </si>
  <si>
    <t xml:space="preserve">contingencies policy. This information was found in the management’s </t>
  </si>
  <si>
    <t>Interest payable on equipment loan (see f above)…………………………………………………………………………….</t>
  </si>
  <si>
    <t>Total current liabilities……………………………………………………………………………………………….</t>
  </si>
  <si>
    <t>Months</t>
  </si>
  <si>
    <t>Hanson Construction’s liquidity may be evaluated by examining its current ratio</t>
  </si>
  <si>
    <t>current liabilities, Hanson appears to be able to pay its debts that become due</t>
  </si>
  <si>
    <t>within the next year.</t>
  </si>
  <si>
    <t>Cash………………………………………………………………………………………….</t>
  </si>
  <si>
    <t>Accounts receivable………………………………………………………………………</t>
  </si>
  <si>
    <t>Notes receivable…………………………………………………………………………..</t>
  </si>
  <si>
    <t>Supplies…………………………………………………………………………………….</t>
  </si>
  <si>
    <t>Notes payable ……………………………………………………………………………</t>
  </si>
  <si>
    <t>see *</t>
  </si>
  <si>
    <t>see **</t>
  </si>
  <si>
    <t>see ***</t>
  </si>
  <si>
    <t>long-lived assets minus the cash spent to purchase long-term assets. The cash flows from</t>
  </si>
  <si>
    <t xml:space="preserve">investing activities by a healthy, growing business will usually represent an excess of </t>
  </si>
  <si>
    <t xml:space="preserve">expenditures over receipts. Cash flows from financing activities are the cash flows related to </t>
  </si>
  <si>
    <t xml:space="preserve">obtaining the capital of the company, including the cash contributed by owners and borrowed </t>
  </si>
  <si>
    <t xml:space="preserve">from creditors minus amounts paid as dividends and repayments of liabilities. A business can </t>
  </si>
  <si>
    <t xml:space="preserve">finance its growth either internally with cash generated by operations or externally with cash </t>
  </si>
  <si>
    <t>from owners and creditors.</t>
  </si>
  <si>
    <t xml:space="preserve">Other than the financial statements, users will find notes to the financial statements, </t>
  </si>
  <si>
    <t xml:space="preserve">management’s discussion and analysis of the condition of the company, and the auditor’s report </t>
  </si>
  <si>
    <t xml:space="preserve">in the annual report of a company. The notes to the financial statements are an integral part of the </t>
  </si>
  <si>
    <t xml:space="preserve">financial statements that clarify and expand upon the information in the financial statements. </t>
  </si>
  <si>
    <t>Management’s discussion and analysis provides a discussion and explanation of various items</t>
  </si>
  <si>
    <t xml:space="preserve">reported in the financial statements. Additionally, management uses this opportunity to highlight </t>
  </si>
  <si>
    <t xml:space="preserve">favorable and unfavorable trends and significant risks facing the company. The auditor’s report </t>
  </si>
  <si>
    <t xml:space="preserve">expresses the opinion of the auditor as to whether the financial statements fairly present the </t>
  </si>
  <si>
    <t>financial position and results of operations of the company.</t>
  </si>
  <si>
    <t>between balance sheet dates. The statement of cash flows and the statement of retained</t>
  </si>
  <si>
    <t>Loss on disposal of property, plant, and equipment</t>
  </si>
  <si>
    <t>Total property, plant, and equipment</t>
  </si>
  <si>
    <t>Total liabilities:</t>
  </si>
  <si>
    <t>Cash flow from operating activities:</t>
  </si>
  <si>
    <t>Cash flow from operating activities.…………………………………………………………</t>
  </si>
  <si>
    <t xml:space="preserve">in the form of dividends. This large dividend payout will result in investors </t>
  </si>
  <si>
    <t xml:space="preserve">receiving relatively more of the company’s earnings in the form of cash during </t>
  </si>
  <si>
    <t xml:space="preserve">the year rather than in share appreciation. Financial statement users should </t>
  </si>
  <si>
    <t xml:space="preserve">examine the dividend payout ratio in relation to the firm’s current ratio and  </t>
  </si>
  <si>
    <t xml:space="preserve">working capital to ensure that Sherwood is not paying too much in dividends </t>
  </si>
  <si>
    <t>so that it will be able to repay its debts when they become due.</t>
  </si>
  <si>
    <t>Walters has positive cash flow, especially from operations, showing the company</t>
  </si>
  <si>
    <t xml:space="preserve">is in a good financial position to pay its debts as they come due. The negative </t>
  </si>
  <si>
    <t xml:space="preserve">cash flow (cash outflow) in investing is a sign of a growing company that is </t>
  </si>
  <si>
    <t xml:space="preserve">investing in revenue-producing assets. In addition, from the large amount of </t>
  </si>
  <si>
    <t>large amounts of capital to finance its operations.</t>
  </si>
  <si>
    <t xml:space="preserve">cash received from financing activities, it appears that Walters is able to raise </t>
  </si>
  <si>
    <t xml:space="preserve">Retained Earnings, Beginning (2013) </t>
  </si>
  <si>
    <t>Retained Earnings, Ending (2012)</t>
  </si>
  <si>
    <t xml:space="preserve">Retained Earnings, Beginning (2014) </t>
  </si>
  <si>
    <t xml:space="preserve">Retained Earnings, Ending (2013) </t>
  </si>
  <si>
    <t>Beginning retained earnings, January 1, 2013….……………………………………………………………….</t>
  </si>
  <si>
    <t>Ending retained earnings, December 31, 2013………………………………………………………………………………….</t>
  </si>
  <si>
    <t>P 1-60B  (Continued)</t>
  </si>
  <si>
    <t xml:space="preserve">Retained Earnings, Ending (2012) </t>
  </si>
  <si>
    <t>Retained Earnings, Beginning (2013)</t>
  </si>
  <si>
    <t>Retained Earnings, Beginning (2014)</t>
  </si>
  <si>
    <t>= Retained Earnings, Ending, 2013 (e) + Dividends</t>
  </si>
  <si>
    <r>
      <t xml:space="preserve">Net Income = (d) </t>
    </r>
    <r>
      <rPr>
        <b/>
        <sz val="12"/>
        <rFont val="Arial"/>
        <family val="2"/>
      </rPr>
      <t>–</t>
    </r>
    <r>
      <rPr>
        <b/>
        <sz val="12"/>
        <rFont val="Arial"/>
        <family val="2"/>
      </rPr>
      <t xml:space="preserve"> Retained Earnings, Beginning (2013)</t>
    </r>
  </si>
  <si>
    <t>= Retained Earnings, Beginning (2014) + Net Income</t>
  </si>
  <si>
    <r>
      <t xml:space="preserve">Dividends = (f) </t>
    </r>
    <r>
      <rPr>
        <b/>
        <sz val="12"/>
        <rFont val="Arial"/>
        <family val="2"/>
      </rPr>
      <t>–</t>
    </r>
    <r>
      <rPr>
        <b/>
        <sz val="12"/>
        <rFont val="Arial"/>
        <family val="2"/>
      </rPr>
      <t xml:space="preserve"> Retained Earnings, Ending (2014)</t>
    </r>
  </si>
  <si>
    <t>Retained earnings, January 1, 2013………………………………………………………………………………</t>
  </si>
  <si>
    <t>Retained earnings, December 31, 2013………………………………………………………………………………</t>
  </si>
  <si>
    <t>P 1-63B (Continued)</t>
  </si>
  <si>
    <t>Case 1-67 (Continued)</t>
  </si>
  <si>
    <t xml:space="preserve">Net income (loss) was down dramatically from 2012 and seems to be slowly </t>
  </si>
  <si>
    <t xml:space="preserve">frequently loss of professional credentials (e.g., professional license) as well. In </t>
  </si>
  <si>
    <t>addition, individuals may face criminal or civil prosecution.</t>
  </si>
  <si>
    <t xml:space="preserve">Apple presents 2 years of balance sheet information and 3 years of </t>
  </si>
  <si>
    <t>Case 1-73 (Continued)</t>
  </si>
  <si>
    <t>Sales have been increasing throughout the 3-year period, with a</t>
  </si>
  <si>
    <t>(an expense) to increase as well. However, the sales increases have</t>
  </si>
  <si>
    <t xml:space="preserve">the observed increases in gross margin and net income.  </t>
  </si>
  <si>
    <t>Under Armour’s principal business activities are the development, marketing and</t>
  </si>
  <si>
    <t xml:space="preserve">consists of a variety of styles and is marketed under the trademarks “HEATGEAR,” </t>
  </si>
  <si>
    <t xml:space="preserve">“COLDGEAR,” and “ALLSEASONGEAR.” Its footwear includes cleats, slides, </t>
  </si>
  <si>
    <t xml:space="preserve">performance training footwear, running footwear, basketball footwear, and hunting </t>
  </si>
  <si>
    <t>running), and other items.</t>
  </si>
  <si>
    <t xml:space="preserve">boots. Accessories include hats, bags, gloves (baseball batting, football, golf, and </t>
  </si>
  <si>
    <t>The fiscal year-end for Under Armour is December 31, and the fiscal year-end for</t>
  </si>
  <si>
    <t>distribution of branded performance apparel, footwear, and accessories. Its apparel</t>
  </si>
  <si>
    <t>VF is a global apparel and footwear company that sells a variety of products. A review</t>
  </si>
  <si>
    <t>of its product offerings (from an Internet search) indicates that VF’s brands include</t>
  </si>
  <si>
    <t xml:space="preserve">“Nautica,” and “7 For All Mankind.” </t>
  </si>
  <si>
    <t xml:space="preserve">“The North Face,” “Vans,” “Timberland,” “JanSport,” “Eastpak,” “Wrangler,” “Lee,” </t>
  </si>
  <si>
    <t xml:space="preserve">VF is December 31. We would expect these year-ends to be the same or similar </t>
  </si>
  <si>
    <t>because they are in the same industry and follow the same major trends in sales.</t>
  </si>
  <si>
    <t>As explained in footnote 1 of VF’s financial statements, its fiscal year ends on the</t>
  </si>
  <si>
    <t xml:space="preserve">Saturday closest to December 31 of each year. This typically results in a 52-week </t>
  </si>
  <si>
    <t xml:space="preserve">year, but a fiscal year may occasionally contain an additional week, resulting in a </t>
  </si>
  <si>
    <t xml:space="preserve">53-week year. This practice is quite common. Note that VF’s last 3 fiscal years </t>
  </si>
  <si>
    <t xml:space="preserve">ended on December 31, 2011, January 1, 2011, and January 2, 2010. It refers to </t>
  </si>
  <si>
    <t xml:space="preserve">each of these fiscal years as “2011,” “2010,” “2009,” respectively.   </t>
  </si>
  <si>
    <t>VF (at December 31, 2011):</t>
  </si>
  <si>
    <t>VF (for the fiscal year ending December 31, 2011):</t>
  </si>
  <si>
    <t>VF’s financial statements show a much larger amount of assets, but also a much</t>
  </si>
  <si>
    <t>larger amount of liabilities than Under Armour. Thus, VF is a larger company.</t>
  </si>
  <si>
    <t>larger portion of VF’s financing has been done by liabilities. Another trend to</t>
  </si>
  <si>
    <t>Total expenses……………………………………………………………………………………..</t>
  </si>
  <si>
    <t>Net income………………………………………………………………………………………………………..</t>
  </si>
  <si>
    <t>Sales revenue…………………………………………………………………………………………</t>
  </si>
  <si>
    <t>Gross margin………………………………………………………………………………………….</t>
  </si>
  <si>
    <t>Wages expense …………….……………………………..………………………</t>
  </si>
  <si>
    <t>Salaries expense ………………….……………………………………………….</t>
  </si>
  <si>
    <t>Depreciation expense ………….…………………………………………………</t>
  </si>
  <si>
    <t>Rent expense …………….………………………………………………………..</t>
  </si>
  <si>
    <t>Income from operations………………………………………………………………………….</t>
  </si>
  <si>
    <t>Interest expense…………………………………………………………………………………..</t>
  </si>
  <si>
    <t>Income before taxes………………………………………………………………………………</t>
  </si>
  <si>
    <t>Net income ………………………………………………………………………………………………………..</t>
  </si>
  <si>
    <t>E 1-39</t>
  </si>
  <si>
    <t xml:space="preserve">+ </t>
  </si>
  <si>
    <t xml:space="preserve">= </t>
  </si>
  <si>
    <t>Expenses</t>
  </si>
  <si>
    <t>Dividends</t>
  </si>
  <si>
    <t>Revenues……………………………………………………………………………..</t>
  </si>
  <si>
    <t>Expenses……………………………………………………………………………..</t>
  </si>
  <si>
    <t>Net income……………………………………………………………………………</t>
  </si>
  <si>
    <t>Obtained from the statements of cash flows for each of the companies:</t>
  </si>
  <si>
    <t>You can find this information in the management’s discussion and analysis</t>
  </si>
  <si>
    <t>the results for the current year are good and sees good prospects for future</t>
  </si>
  <si>
    <r>
      <t>The Accounting Review</t>
    </r>
    <r>
      <rPr>
        <b/>
        <sz val="12"/>
        <rFont val="Arial"/>
        <family val="2"/>
      </rPr>
      <t xml:space="preserve"> (university and college educators), American</t>
    </r>
  </si>
  <si>
    <r>
      <t>Issues in Accounting Education</t>
    </r>
    <r>
      <rPr>
        <b/>
        <sz val="12"/>
        <rFont val="Arial"/>
        <family val="2"/>
      </rPr>
      <t xml:space="preserve"> (university and college educators), </t>
    </r>
  </si>
  <si>
    <r>
      <t xml:space="preserve">The GAO Journal </t>
    </r>
    <r>
      <rPr>
        <b/>
        <sz val="12"/>
        <rFont val="Arial"/>
        <family val="2"/>
      </rPr>
      <t xml:space="preserve">(governmental accountants), U.S. General Accounting    </t>
    </r>
  </si>
  <si>
    <r>
      <t xml:space="preserve">Financial Executive </t>
    </r>
    <r>
      <rPr>
        <b/>
        <sz val="12"/>
        <rFont val="Arial"/>
        <family val="2"/>
      </rPr>
      <t xml:space="preserve">(controllers, treasurers, and senior financial </t>
    </r>
  </si>
  <si>
    <r>
      <t>Note:</t>
    </r>
    <r>
      <rPr>
        <b/>
        <sz val="12"/>
        <rFont val="Arial"/>
        <family val="2"/>
      </rPr>
      <t xml:space="preserve"> Transactions among stockholders do not change stockholders’ equity</t>
    </r>
  </si>
  <si>
    <t>Interest expense……………………………………………………………………</t>
  </si>
  <si>
    <t xml:space="preserve">From the information given in the problem and the fundamental accounting </t>
  </si>
  <si>
    <t>sheet.</t>
  </si>
  <si>
    <t>Retained earnings, beginning of year*..……………………………………………………….</t>
  </si>
  <si>
    <t>Add: Net income**…………………………………………………………………………………….</t>
  </si>
  <si>
    <t>Total expenses……………………………………………………………………….</t>
  </si>
  <si>
    <t>Net income……………………………………………………………………………….</t>
  </si>
  <si>
    <t>E 1-37</t>
  </si>
  <si>
    <t>Bergin Pastry Shop</t>
  </si>
  <si>
    <t>Net sales ..………………………………………………………………………………………………</t>
  </si>
  <si>
    <t>Gross margin ………………………………………………………………………………………….</t>
  </si>
  <si>
    <t>Income from operations …………………………………………………………………………….</t>
  </si>
  <si>
    <t>Interest expense……………………………………………………………………………………</t>
  </si>
  <si>
    <t>Income before taxes……………………………………………………………………………….</t>
  </si>
  <si>
    <t>Net income………………………………………………………………………………………………</t>
  </si>
  <si>
    <t>E 1-38</t>
  </si>
  <si>
    <t>Wright Auto Supply</t>
  </si>
  <si>
    <t>Sales revenue………………………………………………………………………</t>
  </si>
  <si>
    <t xml:space="preserve">Income taxes expense </t>
  </si>
  <si>
    <t xml:space="preserve">Expenses: </t>
  </si>
  <si>
    <t>Cost of goods sold………………………………………………………………..</t>
  </si>
  <si>
    <t>Rent expense</t>
  </si>
  <si>
    <t>Wages expense ……………………………………………….…………………..</t>
  </si>
  <si>
    <t>Salaries</t>
  </si>
  <si>
    <t>$ (e)</t>
  </si>
  <si>
    <t xml:space="preserve">Retained Earnings, Ending (e) = (c) – Dividends (d) </t>
  </si>
  <si>
    <t>You must solve for (g) prior to solving for (f):</t>
  </si>
  <si>
    <t xml:space="preserve">Retained Earnings, Ending = (g) – Dividends </t>
  </si>
  <si>
    <t>Retained Earnings, Beginning + Net Income (f) = (g)</t>
  </si>
  <si>
    <t>Ashton Appliances</t>
  </si>
  <si>
    <t>Accumulated depreciation, building</t>
  </si>
  <si>
    <t>Sales revenue………………………………………………………………………………………………………..</t>
  </si>
  <si>
    <r>
      <t>The CPA Journal</t>
    </r>
    <r>
      <rPr>
        <b/>
        <sz val="12"/>
        <rFont val="Arial"/>
        <family val="2"/>
      </rPr>
      <t xml:space="preserve"> (certified public accountants), New York State </t>
    </r>
  </si>
  <si>
    <t>CE 1-17</t>
  </si>
  <si>
    <t xml:space="preserve">statements, the definition of retained earnings is income that has not been </t>
  </si>
  <si>
    <t xml:space="preserve">distributed to stockholders. Therefore, by definition, this item is part of a </t>
  </si>
  <si>
    <t>company’s retained earnings.)</t>
  </si>
  <si>
    <t xml:space="preserve">g </t>
  </si>
  <si>
    <r>
      <t>Note:</t>
    </r>
    <r>
      <rPr>
        <b/>
        <sz val="12"/>
        <rFont val="Arial"/>
        <family val="2"/>
      </rPr>
      <t xml:space="preserve"> The dividends do not appear on the income statement in arriving </t>
    </r>
  </si>
  <si>
    <t>Total liabilities and stockholders’ equity</t>
  </si>
  <si>
    <t>To assess liquidity, it would be helpful to have information on Higgins Company’s</t>
  </si>
  <si>
    <t>Total stockholders’ equity</t>
  </si>
  <si>
    <t>These ratios give users insights into a company’s liquidity—that is a company’s</t>
  </si>
  <si>
    <t>First, compute stockholders’ equity as:</t>
  </si>
  <si>
    <t>CE 1-15</t>
  </si>
  <si>
    <t>Total assets</t>
  </si>
  <si>
    <t>X</t>
  </si>
  <si>
    <t>Total liabilities</t>
  </si>
  <si>
    <t>*</t>
  </si>
  <si>
    <t>**</t>
  </si>
  <si>
    <t>CE 1-16</t>
  </si>
  <si>
    <t>Balance sheet (B)</t>
  </si>
  <si>
    <t>Statement of cash flows (CF)</t>
  </si>
  <si>
    <t>Income statement (I)</t>
  </si>
  <si>
    <t>f.</t>
  </si>
  <si>
    <t>g.</t>
  </si>
  <si>
    <t>h.</t>
  </si>
  <si>
    <t>CE 1-18</t>
  </si>
  <si>
    <t>1.</t>
  </si>
  <si>
    <t>2.</t>
  </si>
  <si>
    <t>3.</t>
  </si>
  <si>
    <t>f</t>
  </si>
  <si>
    <t>CE 1-19</t>
  </si>
  <si>
    <t>Balance Sheet</t>
  </si>
  <si>
    <t>Cash……………………………………………………………………………………………………….</t>
  </si>
  <si>
    <t>Accounts receivable……………………………………………………………………………………</t>
  </si>
  <si>
    <t xml:space="preserve">Cash </t>
  </si>
  <si>
    <t>Supplies………………………………………………………………………………………………….</t>
  </si>
  <si>
    <t xml:space="preserve">Accounts receivable </t>
  </si>
  <si>
    <t>Total assets……………………………………………………………………………………..</t>
  </si>
  <si>
    <t xml:space="preserve">Supplies </t>
  </si>
  <si>
    <t>Liabilities and Stockholders’ Equity</t>
  </si>
  <si>
    <t xml:space="preserve">Notes payable </t>
  </si>
  <si>
    <t xml:space="preserve">Liabilities: </t>
  </si>
  <si>
    <t xml:space="preserve">   </t>
  </si>
  <si>
    <t>Notes payable………………………………………………………………………………………..</t>
  </si>
  <si>
    <t xml:space="preserve">Retained earnings </t>
  </si>
  <si>
    <t xml:space="preserve">   Total liabilities………………………………………………………………………………..</t>
  </si>
  <si>
    <t>liabilities</t>
  </si>
  <si>
    <t>equity</t>
  </si>
  <si>
    <t>assets</t>
  </si>
  <si>
    <r>
      <t xml:space="preserve">Note:  </t>
    </r>
    <r>
      <rPr>
        <b/>
        <sz val="12"/>
        <rFont val="Arial"/>
        <family val="2"/>
      </rPr>
      <t>Be sure to treat situations b. through d. independently.</t>
    </r>
  </si>
  <si>
    <t>(change here first, please)</t>
  </si>
  <si>
    <t>prepaid rent</t>
  </si>
  <si>
    <t>rent per month</t>
  </si>
  <si>
    <t xml:space="preserve"> × </t>
  </si>
  <si>
    <t>equipment loan</t>
  </si>
  <si>
    <t>accounts payable</t>
  </si>
  <si>
    <t>sale of inventory</t>
  </si>
  <si>
    <t>interest for 2011</t>
  </si>
  <si>
    <t>store equipment</t>
  </si>
  <si>
    <t>remaining interest</t>
  </si>
  <si>
    <t>accounts receivable</t>
  </si>
  <si>
    <t>(all links)</t>
  </si>
  <si>
    <t>↓   links   ↓</t>
  </si>
  <si>
    <t>A/R due in 18 months</t>
  </si>
  <si>
    <t>(links to prev. pg.)</t>
  </si>
  <si>
    <t>Y</t>
  </si>
  <si>
    <t>admin salaries expense</t>
  </si>
  <si>
    <t>service tech wages</t>
  </si>
  <si>
    <t>shares</t>
  </si>
  <si>
    <t>advertising expense</t>
  </si>
  <si>
    <t>income taxes expense</t>
  </si>
  <si>
    <t>interest expense</t>
  </si>
  <si>
    <t>service revenue</t>
  </si>
  <si>
    <t>bonds payable</t>
  </si>
  <si>
    <t>long-term market. securities</t>
  </si>
  <si>
    <t>short-term market. securities</t>
  </si>
  <si>
    <t>(also change here, please)</t>
  </si>
  <si>
    <t>↑   links   ↓</t>
  </si>
  <si>
    <t xml:space="preserve">in more detail in later chapters.) The equipment and accumulated depreciation </t>
  </si>
  <si>
    <t xml:space="preserve">will be reported under the caption “Property, plant, and equipment” in the asset </t>
  </si>
  <si>
    <t>Total current liabilities…………………………………………………………</t>
  </si>
  <si>
    <t>Total liabilities…………………………………………………………………..</t>
  </si>
  <si>
    <t>Total stockholders’ equity…………………………………………………….</t>
  </si>
  <si>
    <r>
      <t xml:space="preserve">  *</t>
    </r>
    <r>
      <rPr>
        <b/>
        <i/>
        <sz val="10"/>
        <color indexed="9"/>
        <rFont val="Arial"/>
        <family val="2"/>
      </rPr>
      <t>Note</t>
    </r>
    <r>
      <rPr>
        <b/>
        <sz val="10"/>
        <color indexed="9"/>
        <rFont val="Arial"/>
        <family val="2"/>
      </rPr>
      <t xml:space="preserve">: Retained earnings is computed using the concepts implied by the fundamental </t>
    </r>
  </si>
  <si>
    <t>Investment ……………………………………………………………………….……………………………………………….</t>
  </si>
  <si>
    <t>not generate sufficient cash flow to pay its obligations as they become due.</t>
  </si>
  <si>
    <t>While Jerrison appears to be liquid, inventory is its largest current asset at</t>
  </si>
  <si>
    <t>Cost of goods sold* …………………………………………………………………………..</t>
  </si>
  <si>
    <t>Operating expenses**…………………………………………………………………………</t>
  </si>
  <si>
    <t xml:space="preserve">activities of a company to interested parties. Accounting is often referred to as the “language </t>
  </si>
  <si>
    <t xml:space="preserve">of business” because it communicates information about economic activities of a company </t>
  </si>
  <si>
    <t>that help people make decisions.</t>
  </si>
  <si>
    <t xml:space="preserve">Accounting information is demanded or needed by decision-makers both inside and outside the </t>
  </si>
  <si>
    <t xml:space="preserve">business to provide information about business activities and finances so that informed decisions </t>
  </si>
  <si>
    <t xml:space="preserve">can be made. Five groups that create the demand for accounting information and their uses of </t>
  </si>
  <si>
    <t>accounting information are described below.</t>
  </si>
  <si>
    <t xml:space="preserve">Managers need accounting information to plan and make decisions about the business </t>
  </si>
  <si>
    <t xml:space="preserve">(e.g., predicting the consequences of their actions and deciding on which actions to take) </t>
  </si>
  <si>
    <t>and to control its operations (e.g., evaluating the effectiveness of their past decisions).</t>
  </si>
  <si>
    <t xml:space="preserve">Employees use accounting information about their employer to aid in planning their careers </t>
  </si>
  <si>
    <t>(e.g., judging the future prospects of the company).</t>
  </si>
  <si>
    <t xml:space="preserve">Investors (owners) need accounting information about a business to evaluate the future </t>
  </si>
  <si>
    <t>prospects of a business and to decide where to invest their money.</t>
  </si>
  <si>
    <t xml:space="preserve">Creditors (lenders) need accounting information to decide whether or not to lend money or </t>
  </si>
  <si>
    <t>extend credit to a business.</t>
  </si>
  <si>
    <t>(5)</t>
  </si>
  <si>
    <t xml:space="preserve">Governments need accounting information about businesses to determine taxes owed by </t>
  </si>
  <si>
    <t xml:space="preserve">businesses, to implement a variety of regulatory objectives, and to make national economic </t>
  </si>
  <si>
    <t>policy decisions.</t>
  </si>
  <si>
    <t xml:space="preserve">An accounting entity is a company that has an identity separate from that of its owners and </t>
  </si>
  <si>
    <t xml:space="preserve">managers and for which accounting records are kept. There are three main forms that </t>
  </si>
  <si>
    <t>accounting entities take: a sole proprietorship, a partnership, and a corporation.</t>
  </si>
  <si>
    <t>EXERCISES</t>
  </si>
  <si>
    <t>Bank (B)</t>
  </si>
  <si>
    <t>Government (G)</t>
  </si>
  <si>
    <t>Business managers (M)</t>
  </si>
  <si>
    <t>Investor (I)</t>
  </si>
  <si>
    <t>Labor union (U)</t>
  </si>
  <si>
    <t>Sole proprietorship: 1, 2, 4, 5</t>
  </si>
  <si>
    <t>Partnership: 2, 3, 4, 5, 7</t>
  </si>
  <si>
    <t>Corporation: 2, 3, 4, 5, 6, 8</t>
  </si>
  <si>
    <t>Sole Proprietorship</t>
  </si>
  <si>
    <t>•  Advantages:</t>
  </si>
  <si>
    <t>(i)</t>
  </si>
  <si>
    <t>(ii)</t>
  </si>
  <si>
    <t>(iii)</t>
  </si>
  <si>
    <t>•  Disadvantages:</t>
  </si>
  <si>
    <t>Partnership:</t>
  </si>
  <si>
    <t>Corporation:</t>
  </si>
  <si>
    <t>Investing (I)</t>
  </si>
  <si>
    <t>Financing (F)</t>
  </si>
  <si>
    <t>Operating (O)</t>
  </si>
  <si>
    <t>i.</t>
  </si>
  <si>
    <t>j.</t>
  </si>
  <si>
    <t>e</t>
  </si>
  <si>
    <t>g</t>
  </si>
  <si>
    <t>?</t>
  </si>
  <si>
    <t>***</t>
  </si>
  <si>
    <t>Higgins Company</t>
  </si>
  <si>
    <t>Specific Point in Time</t>
  </si>
  <si>
    <t>Current assets:</t>
  </si>
  <si>
    <t>Accounts receivable</t>
  </si>
  <si>
    <t>Prepaid insurance</t>
  </si>
  <si>
    <t>Total current assets</t>
  </si>
  <si>
    <t>Building</t>
  </si>
  <si>
    <t>Equipment</t>
  </si>
  <si>
    <t>Less:  Accumulated depreciation</t>
  </si>
  <si>
    <t>Trademarks</t>
  </si>
  <si>
    <t>Liabilities:</t>
  </si>
  <si>
    <t>Current liabilities:</t>
  </si>
  <si>
    <t>Accounts payable</t>
  </si>
  <si>
    <t>Income taxes payable</t>
  </si>
  <si>
    <t>Wages payable</t>
  </si>
  <si>
    <t>Total current liabilities</t>
  </si>
  <si>
    <t>Long-term liabilities:</t>
  </si>
  <si>
    <t>Notes payable</t>
  </si>
  <si>
    <t>Bonds payable</t>
  </si>
  <si>
    <t>Total long-term liabilities</t>
  </si>
  <si>
    <t>current assets (cash, accounts receivable, inventory, and prepaid insurance)</t>
  </si>
  <si>
    <t>and current liabilities (accounts payable, income taxes payable, and wages payable).</t>
  </si>
  <si>
    <t xml:space="preserve">With this information, a user could compute a company’s working capital (current </t>
  </si>
  <si>
    <t xml:space="preserve">These two measures are helpful in assessing a company’s ability to pay its debts </t>
  </si>
  <si>
    <t>as they become due.</t>
  </si>
  <si>
    <t xml:space="preserve">Since all items are expected to be sold within 12 months, the entire </t>
  </si>
  <si>
    <t xml:space="preserve">The store equipment and its accumulated depreciation are not current </t>
  </si>
  <si>
    <t>Dunn Sporting Goods</t>
  </si>
  <si>
    <t>Partial Balance Sheet</t>
  </si>
  <si>
    <t>A/P</t>
  </si>
  <si>
    <t>inventory</t>
  </si>
  <si>
    <t>Cash……………………………………………………………………………………….</t>
  </si>
  <si>
    <t>Short-term investment in marketable securities………………………………….</t>
  </si>
  <si>
    <t>Accounts receivable……………………………………………………………………</t>
  </si>
  <si>
    <t>etc.</t>
  </si>
  <si>
    <t>Depr., Equipment</t>
  </si>
  <si>
    <t>(both charts link to these numbers)</t>
  </si>
  <si>
    <t>From the information given in the problem and the fundamental accounting</t>
  </si>
  <si>
    <t>equation:</t>
  </si>
  <si>
    <t xml:space="preserve">Assets </t>
  </si>
  <si>
    <t>For each year, solve for retained earnings:</t>
  </si>
  <si>
    <t>Assets – Liabilities – Common Stock</t>
  </si>
  <si>
    <t>Beginning retained earnings………………………………………………………………………………</t>
  </si>
  <si>
    <t>Net income………………………………………………………………………………</t>
  </si>
  <si>
    <t xml:space="preserve">− </t>
  </si>
  <si>
    <t>Dividends………………………………………………………………………………</t>
  </si>
  <si>
    <t>Ending retained earnings………………………………………………………………………………</t>
  </si>
  <si>
    <t>E 1-43</t>
  </si>
  <si>
    <t>Using the computed amounts for retained earnings, net income can be</t>
  </si>
  <si>
    <t>Beginning retained earnings……………………………………………………</t>
  </si>
  <si>
    <t>Net income……………………………………………………</t>
  </si>
  <si>
    <t>Dividends……………………………………………………</t>
  </si>
  <si>
    <t>Ending retained earnings…………………………</t>
  </si>
  <si>
    <t>Management’s discussion and analysis</t>
  </si>
  <si>
    <t>Notes to the financial statements</t>
  </si>
  <si>
    <t>Financial statements (balance sheet)</t>
  </si>
  <si>
    <t>Report of independent accountants</t>
  </si>
  <si>
    <t>Financial statements (income statement)</t>
  </si>
  <si>
    <t>Unethical (U)</t>
  </si>
  <si>
    <t>Ethical (E)</t>
  </si>
  <si>
    <t>Unethical, and probably illegal (U)</t>
  </si>
  <si>
    <t xml:space="preserve">The fundamental accounting equation requires that there be an equality </t>
  </si>
  <si>
    <t xml:space="preserve">between assets and liabilities plus stockholders’ equity. Therefore, the </t>
  </si>
  <si>
    <t>total liabilities</t>
  </si>
  <si>
    <t>common stock</t>
  </si>
  <si>
    <t>Common</t>
  </si>
  <si>
    <t>Retained</t>
  </si>
  <si>
    <t>Stockholders’</t>
  </si>
  <si>
    <t>dividends</t>
  </si>
  <si>
    <t>Stock</t>
  </si>
  <si>
    <t>Earnings</t>
  </si>
  <si>
    <t>ending</t>
  </si>
  <si>
    <t>Common stock issued</t>
  </si>
  <si>
    <t xml:space="preserve">It is necessary to answer these questions out of order because of the </t>
  </si>
  <si>
    <t>way the relationships among the accounts work.</t>
  </si>
  <si>
    <t xml:space="preserve">Stockholders’ Equity </t>
  </si>
  <si>
    <t>(all at end of the year)</t>
  </si>
  <si>
    <t>(all at the beginning of the year)</t>
  </si>
  <si>
    <t xml:space="preserve">Stockholders’ Equity  </t>
  </si>
  <si>
    <t xml:space="preserve"> Stockholders’ Equity</t>
  </si>
  <si>
    <t>Beginning</t>
  </si>
  <si>
    <t xml:space="preserve">Ending </t>
  </si>
  <si>
    <t xml:space="preserve">Stockholders’ </t>
  </si>
  <si>
    <t>(d)</t>
  </si>
  <si>
    <t>Powers Wrecking Service</t>
  </si>
  <si>
    <t>Service revenue ……..…………………………………………………………..</t>
  </si>
  <si>
    <t>revenue from salvage sales</t>
  </si>
  <si>
    <t>Sales revenue……………………………………………………………………..</t>
  </si>
  <si>
    <t>interest revenue from investments</t>
  </si>
  <si>
    <t>Interest income………………………………………………………………….</t>
  </si>
  <si>
    <t xml:space="preserve"> wages expense</t>
  </si>
  <si>
    <t>depreciation expense</t>
  </si>
  <si>
    <t>supplies expense</t>
  </si>
  <si>
    <t>Wages expense……………………………………………………………………</t>
  </si>
  <si>
    <t>rent expense</t>
  </si>
  <si>
    <t>Rent expense……………………………………………………………………..</t>
  </si>
  <si>
    <t>miscellaneous expense</t>
  </si>
  <si>
    <t>Supplies expense……………………………………………………………………..</t>
  </si>
  <si>
    <t xml:space="preserve"> income tax expense</t>
  </si>
  <si>
    <t>Income taxes expense……………………………………………………………..</t>
  </si>
  <si>
    <t>Depreciation expense…………………………………………………………..</t>
  </si>
  <si>
    <t>Miscellaneous expense…………………………………………………………</t>
  </si>
  <si>
    <t>Net income………………………………………………………………...……………………………………….</t>
  </si>
  <si>
    <t>Floyd:</t>
  </si>
  <si>
    <t>$(e)</t>
  </si>
  <si>
    <t>(g)</t>
  </si>
  <si>
    <t>(f )</t>
  </si>
  <si>
    <t>Slater:</t>
  </si>
  <si>
    <t>Total equity</t>
  </si>
  <si>
    <t>(h)</t>
  </si>
  <si>
    <t>Wooderson:</t>
  </si>
  <si>
    <t>(e)</t>
  </si>
  <si>
    <t xml:space="preserve">Expenses </t>
  </si>
  <si>
    <t>(f)</t>
  </si>
  <si>
    <t xml:space="preserve">Revenues </t>
  </si>
  <si>
    <t>Rogers Enterprises</t>
  </si>
  <si>
    <t>Net income…………………………………………………………………………………………………….</t>
  </si>
  <si>
    <t xml:space="preserve">Common stock </t>
  </si>
  <si>
    <t>Cash………………………………………………………………………………………………………</t>
  </si>
  <si>
    <t>Prepaid rent……………………………………………………………..……………………………….</t>
  </si>
  <si>
    <t>Total current assets……………………………………………………………………………………</t>
  </si>
  <si>
    <t>Property, plant, and equipment…………………………………………………………………………</t>
  </si>
  <si>
    <t>Total assets…………………………………………………………………………………………………</t>
  </si>
  <si>
    <t>Supplies</t>
  </si>
  <si>
    <t>Salaries payable………………………………………………………………………………………..</t>
  </si>
  <si>
    <t>Income taxes payable…………………………………………………………………………………….</t>
  </si>
  <si>
    <t>Total current liabilities…………………………………………………………………………………</t>
  </si>
  <si>
    <t xml:space="preserve">Long-term liabilities: </t>
  </si>
  <si>
    <t>Notes payable (due in 10 years)…………………………………………………………………………</t>
  </si>
  <si>
    <t>Total liabilities………………………………………………………………………………………………</t>
  </si>
  <si>
    <t xml:space="preserve">Stockholders’ equity: </t>
  </si>
  <si>
    <t>Common stock (10,000 shares)…………………………………………………………………………………………………</t>
  </si>
  <si>
    <t>Retained earnings*…………………………………………………………….</t>
  </si>
  <si>
    <t>Total stockholders’ equity……………………………………………………………………………….</t>
  </si>
  <si>
    <t>Total liabilities and stockholders’ equity…………………………………………………………………</t>
  </si>
  <si>
    <t>Dittman Expositions</t>
  </si>
  <si>
    <t>Total stockholders' equity:</t>
  </si>
  <si>
    <t>$47,200 (h) + (j) = $149,200</t>
  </si>
  <si>
    <t>(j) = $102,000</t>
  </si>
  <si>
    <t>(i) + $67,000 = $102,000 (j)</t>
  </si>
  <si>
    <t>(i) = $35,000</t>
  </si>
  <si>
    <t xml:space="preserve">United States is conducted by corporations. </t>
  </si>
  <si>
    <t>5.</t>
  </si>
  <si>
    <t xml:space="preserve">The three main types of business activities are financing activities, investing activities, and </t>
  </si>
  <si>
    <t>6.</t>
  </si>
  <si>
    <t xml:space="preserve">Assets are the economic resources or future economic benefits obtained or controlled by a </t>
  </si>
  <si>
    <t xml:space="preserve">business. Liabilities are the creditors’ claims on the resources of a business. Stockholders’ equity </t>
  </si>
  <si>
    <t xml:space="preserve">residual interest in the assets of a business that remain after deducting the business’s liabilities. </t>
  </si>
  <si>
    <t>All three items appear on the balance sheet, forming the following equation:</t>
  </si>
  <si>
    <t>Assets = Liabilities + Stockholders’ Equity</t>
  </si>
  <si>
    <t>– Dividends</t>
  </si>
  <si>
    <t>PROBLEM SET B</t>
  </si>
  <si>
    <t xml:space="preserve">The fundamental accounting equation requires that there be an equality between </t>
  </si>
  <si>
    <t>assets and liabilities plus stockholders’ equity. Therefore, the amount of liabilities</t>
  </si>
  <si>
    <t xml:space="preserve">fundamental accounting equation if both assets and stockholders’ equity are </t>
  </si>
  <si>
    <t>known.</t>
  </si>
  <si>
    <t>retained earnings</t>
  </si>
  <si>
    <t>net income</t>
  </si>
  <si>
    <t>stock.</t>
  </si>
  <si>
    <t xml:space="preserve"> Retained</t>
  </si>
  <si>
    <t>using the balance sheet equation and solving for the missing amount.</t>
  </si>
  <si>
    <t xml:space="preserve">Beginning </t>
  </si>
  <si>
    <t>Ending Stockholders’ Equity</t>
  </si>
  <si>
    <t>(all at end of year)</t>
  </si>
  <si>
    <t>Parker Renovation Inc.</t>
  </si>
  <si>
    <t>revenue from demolition</t>
  </si>
  <si>
    <t>For both companies, revenues show an increasing trend through the 3 years</t>
  </si>
  <si>
    <t>presented. With that, the cost of sales and other expenses have also continued to</t>
  </si>
  <si>
    <t xml:space="preserve">increase throughout the period shown. Also, as you can see from the earnings </t>
  </si>
  <si>
    <t>are providing for their investors.</t>
  </si>
  <si>
    <t xml:space="preserve">per share information, both companies have continually increased the returns they </t>
  </si>
  <si>
    <t>off their debts as they become due.</t>
  </si>
  <si>
    <t>VF: Its major sources of cash arise from its operations as well as proceeds</t>
  </si>
  <si>
    <t xml:space="preserve">from this growth. Similarly, VF management also believes future prospects </t>
  </si>
  <si>
    <t xml:space="preserve">for the company are good. Specifically, VF owns a diverse portfolio of brands </t>
  </si>
  <si>
    <t xml:space="preserve">and national chains, VF believes it is well-positioned to take advantage of </t>
  </si>
  <si>
    <t>Case 1-75 (Continued)</t>
  </si>
  <si>
    <t>Less: Dividends……………………………………………………………………………………………</t>
  </si>
  <si>
    <t>Retained earnings, end of year………………………………………………………………………….</t>
  </si>
  <si>
    <t>$ (b)</t>
  </si>
  <si>
    <t>Retained Earnings, Beginning (b) + Net Income = (c)</t>
  </si>
  <si>
    <t>You must solve for (e) prior to solving for (d):</t>
  </si>
  <si>
    <t>E 1-42</t>
  </si>
  <si>
    <t>Ethical behavior by accountants is important to society because capital markets</t>
  </si>
  <si>
    <t>and businesses cannot operate efficiently or effectively without reliable financial</t>
  </si>
  <si>
    <t>information. Financial information determines the way in which resources are</t>
  </si>
  <si>
    <t>deployed and distributed. Thus, individuals who stand to benefit from changes</t>
  </si>
  <si>
    <t>Interest expense……………………………………………………………………..</t>
  </si>
  <si>
    <t xml:space="preserve">A retained earnings statement summarizes and explains the changes in retained earnings </t>
  </si>
  <si>
    <t xml:space="preserve">paid to the owners in the form of dividends. The retained earnings statement starts with the </t>
  </si>
  <si>
    <t>The retained earnings statement describes the changes in retained earnings, a balance sheet</t>
  </si>
  <si>
    <t>Retained earnings statement (RE)</t>
  </si>
  <si>
    <t>using the relationships found in the retained earnings statement.</t>
  </si>
  <si>
    <t>determined using the relationships found in the retained earnings statement.</t>
  </si>
  <si>
    <t>Financial statements (retained earnings statement)</t>
  </si>
  <si>
    <t>Retained Earnings Statement</t>
  </si>
  <si>
    <t>Retained earnings, 12/31/2010</t>
  </si>
  <si>
    <t>Add: Net income*…………………………………………………………………………………………………………</t>
  </si>
  <si>
    <t>Wages expense, store</t>
  </si>
  <si>
    <t>Cash……………………………………………………………………………………</t>
  </si>
  <si>
    <t>Accounts receivable…………………………………………………………………………………………………</t>
  </si>
  <si>
    <t>Inventory………………………………………………………………………………………………………………</t>
  </si>
  <si>
    <t>Total current assets…………………………………………………………………………………………………</t>
  </si>
  <si>
    <t>Building………………………………………………………………………………..</t>
  </si>
  <si>
    <t>Less: Accumulated depreciation…………………………………………………</t>
  </si>
  <si>
    <t>Furniture……………...……………………………………………………………….</t>
  </si>
  <si>
    <t>Other assets…………………………………………………………………………………………………………..</t>
  </si>
  <si>
    <t>Total assets………………………………………………………………………………………………………………</t>
  </si>
  <si>
    <t xml:space="preserve">owned jointly by two or more individuals. Proprietorships and partnerships are not legally separate </t>
  </si>
  <si>
    <t xml:space="preserve">from the personal affairs of the owners. That is, the owners are responsible for the debts of the </t>
  </si>
  <si>
    <t xml:space="preserve">business. A corporation is a separate legal entity formed by one or more persons called </t>
  </si>
  <si>
    <t>E 1-40</t>
  </si>
  <si>
    <t>Cash received from owners</t>
  </si>
  <si>
    <t>Cash received from customers………………………………………………………..………</t>
  </si>
  <si>
    <t>Cash paid for purchase of land and building</t>
  </si>
  <si>
    <t>Cash paid for advertising……………………………………………………………..………..</t>
  </si>
  <si>
    <t>Cash paid for advertising</t>
  </si>
  <si>
    <t>Cash paid to employees for salaries…………………………………………………..……..</t>
  </si>
  <si>
    <t>Cash received from customers</t>
  </si>
  <si>
    <t>Cash paid for supplies………………………………………………………………..…………</t>
  </si>
  <si>
    <t>Cash paid to purchase machine</t>
  </si>
  <si>
    <t>Net cash provided by operating activities…………………………………………………………</t>
  </si>
  <si>
    <t>Cash paid to employees for salaries</t>
  </si>
  <si>
    <t>Cash flow from investing activities:</t>
  </si>
  <si>
    <t>Cash paid for dividends to stockholders</t>
  </si>
  <si>
    <t>Cash paid for purchase of land and building..……………………………………………..</t>
  </si>
  <si>
    <t>Cash paid for supplies</t>
  </si>
  <si>
    <t>Cash paid to purchase machine……………………………………………………..……….</t>
  </si>
  <si>
    <t>Cash flow from financing activities:</t>
  </si>
  <si>
    <t>Cash received from owners……………………………………………………………..…….</t>
  </si>
  <si>
    <t>Cash paid for dividends to stockholders…………………………………………………...</t>
  </si>
  <si>
    <t>Net cash provided by financing activities …………………………………………………………</t>
  </si>
  <si>
    <t>E 1-41</t>
  </si>
  <si>
    <t>Cash at the end of the year:</t>
  </si>
  <si>
    <t>Cash outflow for investing activities…………………………………………………………..</t>
  </si>
  <si>
    <t>Cash flow from financing activities..…………………………………………………………..</t>
  </si>
  <si>
    <t>Change in cash……………………………………………………………………………………</t>
  </si>
  <si>
    <t xml:space="preserve">amount of liabilities that Huffer must have at the end of 2013 can be inferred </t>
  </si>
  <si>
    <t>equity at the end of 2013 is the amount of stockholders’ equity at the beginning</t>
  </si>
  <si>
    <t>Equity, 1/1/13</t>
  </si>
  <si>
    <t xml:space="preserve">Equity, 12/31/13    </t>
  </si>
  <si>
    <t>The amount of liabilities that Huffer must have at the end of 2013 is determined</t>
  </si>
  <si>
    <t>At 12/31/13</t>
  </si>
  <si>
    <t>that KJ Corporation must have at the end of 2013 can be inferred from the</t>
  </si>
  <si>
    <t>at the end of 2013 is the amount of stockholders’ equity at the beginning of the</t>
  </si>
  <si>
    <t>Equity, 12/31/13</t>
  </si>
  <si>
    <t>The amount of liabilities that KJ must have at the end of 2013 is determined by</t>
  </si>
  <si>
    <t xml:space="preserve"> At 12/31/13</t>
  </si>
  <si>
    <t>For the year ended December 31, 2013</t>
  </si>
  <si>
    <t>December 31, 2013</t>
  </si>
  <si>
    <t>earnings balance for 2014.</t>
  </si>
  <si>
    <t>2013</t>
  </si>
  <si>
    <t>2014</t>
  </si>
  <si>
    <t>For the years ended December 31, 2013, and December 31, 2014</t>
  </si>
  <si>
    <t xml:space="preserve">The ending retained earnings balance for 2013 becomes the beginning retained </t>
  </si>
  <si>
    <t>Retained earnings, 12/31/2012</t>
  </si>
  <si>
    <t>Add: Net income for 2013…………………………………………………………………………………</t>
  </si>
  <si>
    <t>12/31/2012</t>
  </si>
  <si>
    <t>12/31/2013</t>
  </si>
  <si>
    <t>net income (loss) for 2013</t>
  </si>
  <si>
    <t>dividends 2013</t>
  </si>
  <si>
    <t>total assets, 12/31/2013</t>
  </si>
  <si>
    <t>total liabilities, 12/31/2013</t>
  </si>
  <si>
    <t>$420,250 – $156,600 = $263,650</t>
  </si>
  <si>
    <t>$256,500 – $92,650 = $163,850</t>
  </si>
  <si>
    <t>$358,200 – $121,900 = $236,300</t>
  </si>
  <si>
    <t>($236,300 – $163,850) = $0 + Net Income – $0</t>
  </si>
  <si>
    <t>Net Income  =  $72,450</t>
  </si>
  <si>
    <t>($236,300 – $163,850) = $15,000 + Net Income – $0</t>
  </si>
  <si>
    <t>Net Income  =  $57,450</t>
  </si>
  <si>
    <t>($236,300 – $163,850) = $0 + Net Income – $10,000</t>
  </si>
  <si>
    <t>Net Income  =  $82,450</t>
  </si>
  <si>
    <t>($236,300 – $163,850) = $20,000 + Net Income – $12,000</t>
  </si>
  <si>
    <t>Net Income  =  $64,450</t>
  </si>
  <si>
    <t xml:space="preserve">Current assets (1/31/12) </t>
  </si>
  <si>
    <t xml:space="preserve">Current liabilities (1/31/12) </t>
  </si>
  <si>
    <t xml:space="preserve">Current assets (1/31/13) </t>
  </si>
  <si>
    <t xml:space="preserve">Current liabilities (1/31/13) </t>
  </si>
  <si>
    <t>01/31/13</t>
  </si>
  <si>
    <t>01/31/12</t>
  </si>
  <si>
    <t xml:space="preserve">in 2012. These ratios show that the company has adequate current assets </t>
  </si>
  <si>
    <t>improving between 2012 and 2013.</t>
  </si>
  <si>
    <t>(1/31/2012) + Dividends*</t>
  </si>
  <si>
    <t>Revenues decreased dramatically from 2011 to 2012.</t>
  </si>
  <si>
    <t>recovering in 2013 with a much smaller loss.</t>
  </si>
  <si>
    <t>E 1-45</t>
  </si>
  <si>
    <t xml:space="preserve">is the ownership claim on the resources of a business. Stockholders’ equity is considered a </t>
  </si>
  <si>
    <t xml:space="preserve">will not be recognized until 2014 and, therefore, is not on the 2013 balance </t>
  </si>
  <si>
    <t>The balance sheet at December 31, 2013, will show equipment at its historical</t>
  </si>
  <si>
    <t>Bonds payable (due 2017)………………………………………………………..</t>
  </si>
  <si>
    <t>Add: Cash at 12/31/12……………………………………………………………………………</t>
  </si>
  <si>
    <t>Cash at 12/31/13…………………………………………………………………………………..</t>
  </si>
  <si>
    <t>Retained earnings at end of 2013:</t>
  </si>
  <si>
    <t>Retained earnings at 12/31/12…………………………………………………………………..</t>
  </si>
  <si>
    <t>Less: 2013 dividends…………………………………………………………………………….</t>
  </si>
  <si>
    <t>Retained earnings at 12/31/13…………………………………………………………………..</t>
  </si>
  <si>
    <t>cash at 12/31/12</t>
  </si>
  <si>
    <t>net income 2013</t>
  </si>
  <si>
    <t xml:space="preserve">Apple’s fiscal year ended on September 24, 2011. This year-end is different </t>
  </si>
  <si>
    <t xml:space="preserve">For 2011, Apple reported revenues (net sales) of $108,249,000,000 and       </t>
  </si>
  <si>
    <t xml:space="preserve">expenses of $82,327,000,000 ($64,431,000,000 + $10,028,000,000 + </t>
  </si>
  <si>
    <t>Apple’s net income was $25,922,000,000.</t>
  </si>
  <si>
    <t xml:space="preserve">The financial statements are audited by Ernst &amp; Young.  </t>
  </si>
  <si>
    <t>E 1-34</t>
  </si>
  <si>
    <t>E 1-46</t>
  </si>
  <si>
    <t>E 1-47</t>
  </si>
  <si>
    <t>E 1-48</t>
  </si>
  <si>
    <t>E 1-49</t>
  </si>
  <si>
    <t>E 1-50</t>
  </si>
  <si>
    <t>E 1-51</t>
  </si>
  <si>
    <t>E 1-52</t>
  </si>
  <si>
    <t>E 1-53</t>
  </si>
  <si>
    <t>E 1-54</t>
  </si>
  <si>
    <t>E 1-55</t>
  </si>
  <si>
    <t>P 1-56A</t>
  </si>
  <si>
    <t>P 1-57A</t>
  </si>
  <si>
    <t xml:space="preserve">P 1-58A </t>
  </si>
  <si>
    <t xml:space="preserve">P 1-59A </t>
  </si>
  <si>
    <t>P 1-60A</t>
  </si>
  <si>
    <t>P 1-61A</t>
  </si>
  <si>
    <t>P 1-62A</t>
  </si>
  <si>
    <t>P 1-63A</t>
  </si>
  <si>
    <t>P 1-64A</t>
  </si>
  <si>
    <t>P 1-65A</t>
  </si>
  <si>
    <t>P 1-56B</t>
  </si>
  <si>
    <t>P 1-57B</t>
  </si>
  <si>
    <t>P 1-58B</t>
  </si>
  <si>
    <t xml:space="preserve">P 1-59B </t>
  </si>
  <si>
    <t xml:space="preserve">P 1-60B </t>
  </si>
  <si>
    <t>P 1-61B</t>
  </si>
  <si>
    <t>P 1-62B</t>
  </si>
  <si>
    <t>P 1-63B</t>
  </si>
  <si>
    <t>P 1-64B</t>
  </si>
  <si>
    <t xml:space="preserve">P 1-65B </t>
  </si>
  <si>
    <t>Case 1-67</t>
  </si>
  <si>
    <t>Case 1-66</t>
  </si>
  <si>
    <t>Case 1-68</t>
  </si>
  <si>
    <t>Case 1-69</t>
  </si>
  <si>
    <t>Case 1-70</t>
  </si>
  <si>
    <t>Case 1-71</t>
  </si>
  <si>
    <t>Case 1-72</t>
  </si>
  <si>
    <t>Case 1-73</t>
  </si>
  <si>
    <t>Case 1-74</t>
  </si>
  <si>
    <t>Case 1-75</t>
  </si>
  <si>
    <t xml:space="preserve">Balance sheet: a presentation of information about a company’s economic resources </t>
  </si>
  <si>
    <t>(assets) and the claims against those resources by creditors and owners (liabilities and</t>
  </si>
  <si>
    <t>stockholders’ equity) at a specific point in time</t>
  </si>
  <si>
    <t>Income statement:  a report on how well a company has performed its operations—</t>
  </si>
  <si>
    <t>the profitability of a company—over a period of time</t>
  </si>
  <si>
    <t xml:space="preserve">Retained earnings statement:  a report on how much of the company’s income was </t>
  </si>
  <si>
    <t>retained in the business and how much was distributed to owners over a period of time</t>
  </si>
  <si>
    <t xml:space="preserve">Statement of cash flows:  a report on the changes in a company’s cash during a period </t>
  </si>
  <si>
    <t>Balance sheet:</t>
  </si>
  <si>
    <t>Income statement:</t>
  </si>
  <si>
    <t>Retained earnings statement:</t>
  </si>
  <si>
    <t>Statement of cash flows:</t>
  </si>
  <si>
    <t>all liabilities were presented together, financial statement users would have difficulty determining</t>
  </si>
  <si>
    <t xml:space="preserve">minus cash paid for goods, services, wages, salaries, and interest. Cash flows from investing </t>
  </si>
  <si>
    <t xml:space="preserve">account, that occur between two balance sheet dates. One of the major sources of change in </t>
  </si>
  <si>
    <t>Overstated income may lead decision-makers to make the wrong choices. Decision-makers</t>
  </si>
  <si>
    <t xml:space="preserve">              (a)</t>
  </si>
  <si>
    <t>The business is easily formed.</t>
  </si>
  <si>
    <t>Control over the operations of the business is maintained by owner.</t>
  </si>
  <si>
    <t>Sole proprietorships pay less taxes relative to corporations.</t>
  </si>
  <si>
    <t>The owner is personally liable for the debt of the business.</t>
  </si>
  <si>
    <t>The life of the business is limited to the owner’s life.</t>
  </si>
  <si>
    <t>Have increased access to the financial resources and individual skills of</t>
  </si>
  <si>
    <t>each of the partners.</t>
  </si>
  <si>
    <t>Partnerships pay less taxes relative to corporations.</t>
  </si>
  <si>
    <t>partners.</t>
  </si>
  <si>
    <t>The partners are personally liable for the debt of the business.</t>
  </si>
  <si>
    <t>The life of the business is limited to life of the partners.</t>
  </si>
  <si>
    <t>Can more easily raise large amounts of money.</t>
  </si>
  <si>
    <t>Ownership of the business can be easily transferred by selling stock.</t>
  </si>
  <si>
    <t>The owners’ liability is limited to the amount invested in the business.</t>
  </si>
  <si>
    <t>The formation and organization of the business is more complex.</t>
  </si>
  <si>
    <t>Corporations generally pay higher taxes.</t>
  </si>
  <si>
    <t xml:space="preserve">assets – current liabilities) and current ratio (current assets ÷ current liabilities). </t>
  </si>
  <si>
    <t>E 1-38 (Continued)</t>
  </si>
  <si>
    <t>E 1-42 (Continued)</t>
  </si>
  <si>
    <t>Total property, plant, &amp; equipment ………………………………………………………………………</t>
  </si>
  <si>
    <t>E 1-43 (Continued)</t>
  </si>
  <si>
    <t>Notes payable (due June 1, 2014)………………………………………………..</t>
  </si>
  <si>
    <t>Total Assets</t>
  </si>
  <si>
    <t>Total Liabilities + Total Stockholders’ Equity</t>
  </si>
  <si>
    <t>Total Stockholders’ Equity</t>
  </si>
  <si>
    <t>Net cash used by investing activities……………………………………………………………..</t>
  </si>
  <si>
    <t xml:space="preserve">of the year plus (minus) net income (loss) minus dividends plus the sale of </t>
  </si>
  <si>
    <t>P 1-63A (Continued)</t>
  </si>
  <si>
    <t>year plus (minus) net income (loss) minus dividends plus the sale of common</t>
  </si>
  <si>
    <r>
      <t xml:space="preserve">$8,283,000,000 – $415,000,000). </t>
    </r>
    <r>
      <rPr>
        <b/>
        <i/>
        <sz val="12"/>
        <rFont val="Arial"/>
        <family val="2"/>
      </rPr>
      <t>Note:</t>
    </r>
    <r>
      <rPr>
        <b/>
        <sz val="12"/>
        <rFont val="Arial"/>
        <family val="2"/>
      </rPr>
      <t xml:space="preserve"> The $415,000,0000 is a combination </t>
    </r>
  </si>
  <si>
    <t>MULTIPLE-CHOICE QUESTIONS</t>
  </si>
  <si>
    <t>U A</t>
  </si>
  <si>
    <t>VF</t>
  </si>
  <si>
    <t>assets at 2011</t>
  </si>
  <si>
    <t>liabilities at 2011</t>
  </si>
  <si>
    <t>total liabilities at 2011</t>
  </si>
  <si>
    <t>stockholders' equity at 2011</t>
  </si>
  <si>
    <t>Under Armour (at December 31, 2011):</t>
  </si>
  <si>
    <t>V.F.</t>
  </si>
  <si>
    <t>in each of the companies’ annual reports. Under Armour management feels</t>
  </si>
  <si>
    <t>opportunities in the highly competitive apparel industry.</t>
  </si>
  <si>
    <t>E 1-36</t>
  </si>
  <si>
    <t>Corporation</t>
  </si>
  <si>
    <t>Financing</t>
  </si>
  <si>
    <t>incr assets</t>
  </si>
  <si>
    <t>decr liab</t>
  </si>
  <si>
    <t>Government</t>
  </si>
  <si>
    <t>Manager</t>
  </si>
  <si>
    <t>Creditor</t>
  </si>
  <si>
    <t>Employee</t>
  </si>
  <si>
    <t>Investor</t>
  </si>
  <si>
    <t>Sole Proprietorship, Partnership</t>
  </si>
  <si>
    <t>Partnership</t>
  </si>
  <si>
    <t>Operating</t>
  </si>
  <si>
    <t>Investing</t>
  </si>
  <si>
    <t>Rutherford Company</t>
  </si>
  <si>
    <t>Revenues and gains:</t>
  </si>
  <si>
    <t>Total revenues</t>
  </si>
  <si>
    <t xml:space="preserve">Expenses and losses: </t>
  </si>
  <si>
    <t>Total expenses and losses</t>
  </si>
  <si>
    <t>loss on disposal</t>
  </si>
  <si>
    <t>cost of goods</t>
  </si>
  <si>
    <t>I – Increases retained earnings</t>
  </si>
  <si>
    <t>D – Decreases retained earnings</t>
  </si>
  <si>
    <t>NE – No effect on retained earnings</t>
  </si>
  <si>
    <t>O – Operating activities</t>
  </si>
  <si>
    <t>F – Financing activities</t>
  </si>
  <si>
    <t>I – Investing activities</t>
  </si>
  <si>
    <t>4.       (a) Notes to the financial statements</t>
  </si>
  <si>
    <t>3.       (b) Management’s discussion and analysis</t>
  </si>
  <si>
    <t>1.       (a) Notes to the financial statements</t>
  </si>
  <si>
    <t>2.       (c) Report of independent accountants</t>
  </si>
  <si>
    <t>Total liabilities and stockholders’ equity:</t>
  </si>
  <si>
    <t>Total stockholders’ equity:</t>
  </si>
  <si>
    <t>include borrowings from revolving credit facilities, proceeds from a term loan,</t>
  </si>
  <si>
    <t>and inflows related to its common stock. Major uses of cash include capital</t>
  </si>
  <si>
    <t>expenditures (purchases of property, plant, and equipment), purchase of a</t>
  </si>
  <si>
    <t>corporate headquarters, and repayment of borrowings.</t>
  </si>
  <si>
    <t>from short and long-term borrowings. Major uses of cash include capital</t>
  </si>
  <si>
    <t>earnings. Specifically, Under Armour sees a growth in the demand for</t>
  </si>
  <si>
    <t>performance products and feels that they have a strong brand that will benefit</t>
  </si>
  <si>
    <t>with strong market positions in many categories. Because of its broad customer</t>
  </si>
  <si>
    <t xml:space="preserve">base and distribution through leading specialty stores as well as upscale stores </t>
  </si>
  <si>
    <t xml:space="preserve"> / </t>
  </si>
  <si>
    <t>Current Assets / Current Liabilities</t>
  </si>
  <si>
    <t xml:space="preserve">company’s net profit margin (Net Income / Sales Revenue), a financial </t>
  </si>
  <si>
    <r>
      <t xml:space="preserve">Liabilities = $710,100 </t>
    </r>
    <r>
      <rPr>
        <b/>
        <sz val="12"/>
        <rFont val="Arial"/>
        <family val="2"/>
      </rPr>
      <t>–</t>
    </r>
    <r>
      <rPr>
        <b/>
        <sz val="12"/>
        <rFont val="Arial"/>
        <family val="2"/>
      </rPr>
      <t xml:space="preserve"> $445,400 = $264,700</t>
    </r>
  </si>
  <si>
    <t xml:space="preserve">Net Income = Stockholders’ Equity (1/31/2013) – Stockholders’ Equity </t>
  </si>
  <si>
    <t>Case 1-74 (Continued)</t>
  </si>
  <si>
    <t xml:space="preserve">stockholders’ legal responsibility for the debt of the business to the amount that the stockholders </t>
  </si>
  <si>
    <t xml:space="preserve">invested in the business. Corporate shareholders generally pay more taxes than owners of sole </t>
  </si>
  <si>
    <t xml:space="preserve">proprietorships or partnerships. Although the combined number of sole proprietorships and </t>
  </si>
  <si>
    <t xml:space="preserve">partnerships greatly outnumber the number of corporations, the majority of business in the </t>
  </si>
  <si>
    <t xml:space="preserve">stockholder(s). A corporation is legally separate from the affairs of its owners, which limits the </t>
  </si>
  <si>
    <t xml:space="preserve">within 1 year or the operating cycle, whichever is longer. Current liabilities are obligations that </t>
  </si>
  <si>
    <t xml:space="preserve">will be satisfied within 1 year or the operating cycle, whichever is longer. </t>
  </si>
  <si>
    <t>between current and noncurrent items.</t>
  </si>
  <si>
    <t xml:space="preserve">Since the operating cycle is 6 months, Dunn would use 1 year as the breakpoint </t>
  </si>
  <si>
    <t>Wages expense ……………………………..………….………………………………..</t>
  </si>
  <si>
    <t>Supplies expense …………..…………………………….………..…………………….</t>
  </si>
  <si>
    <t>Rent expense …………………………….....……………..…………………………………</t>
  </si>
  <si>
    <t>Utilities expense ..…………………………………..………………………..……………………</t>
  </si>
  <si>
    <t>Advertising expense…………………………..………………………………………………………</t>
  </si>
  <si>
    <t>Depreciation expense ………………………………..…………………………………...……………….</t>
  </si>
  <si>
    <t>Insurance expense …………………………..……………………………………………………….</t>
  </si>
  <si>
    <t>Interest expense…………………………..……………………………………………………………</t>
  </si>
  <si>
    <t>Income taxes expense …………………………..……………………………………………………</t>
  </si>
  <si>
    <t>Total expenses………………………….………………………………………………………………..</t>
  </si>
  <si>
    <t>Net income……………………...…………………………………………………………………………..</t>
  </si>
  <si>
    <t>achieve larger profits, it should focus on controlling its expenses.</t>
  </si>
  <si>
    <t>A declining profit margin implies that ERS is having difficulty maintaining control</t>
  </si>
  <si>
    <t>over its expenses. While further investigation is warranted to determine the cause</t>
  </si>
  <si>
    <t xml:space="preserve">of the growing expenses (e.g., is it due to increasing costs that are within </t>
  </si>
  <si>
    <t>management control or are the cost increases due to economic factors beyond</t>
  </si>
  <si>
    <t>ERS’s short-term control), the declining profit margin signals that ERS may have</t>
  </si>
  <si>
    <t>difficulty generating future profits that are comparable with its past performance.</t>
  </si>
  <si>
    <t>Total property, plant, and equipment ………………………………………………………………………………..</t>
  </si>
  <si>
    <t>$385,500 – $152,800 = $232,700</t>
  </si>
  <si>
    <t>Answers to this question may vary; however, many students will focus on income.</t>
  </si>
  <si>
    <t xml:space="preserve">If Jim had kept track of his revenues (e.g., his earnings from the summer job, the </t>
  </si>
  <si>
    <t>small scholarship, and the fixed amount from his parents) and his expenses (e.g.,</t>
  </si>
  <si>
    <t xml:space="preserve">tuition, books, apartment, and entertainment) during earlier semesters, he might </t>
  </si>
  <si>
    <t xml:space="preserve">have been able to budget for the spring term. Many of his expenses will be the </t>
  </si>
  <si>
    <t>same or very similar from term to term. Jim could use the information from the fall</t>
  </si>
  <si>
    <t>term to predict what his revenues and expenses would be for the spring term. He</t>
  </si>
  <si>
    <t xml:space="preserve">would then have a better idea of how much he could spend on entertainment </t>
  </si>
  <si>
    <t>without “maxing out” his credit card. In addition, Jim could keep track of his</t>
  </si>
  <si>
    <t xml:space="preserve">assets and liabilities. He could track which assets were current (e.g., cash in his </t>
  </si>
  <si>
    <t xml:space="preserve">bank account) and which liabilities would be coming due in the near term (e.g., </t>
  </si>
  <si>
    <t>spring tuition, living expenses). He could then know prior to the spring term which</t>
  </si>
  <si>
    <t xml:space="preserve">bills would be coming due and if he had enough liquid assets to pay these bills. </t>
  </si>
  <si>
    <t>Nonbusiness entities (including governments and educational institutions):</t>
  </si>
  <si>
    <t>The following examples are illustrative and student answers may vary:</t>
  </si>
  <si>
    <r>
      <t>Strategic Finance</t>
    </r>
    <r>
      <rPr>
        <b/>
        <sz val="12"/>
        <rFont val="Arial"/>
        <family val="2"/>
      </rPr>
      <t xml:space="preserve"> (management accountants and finance professionals),</t>
    </r>
  </si>
  <si>
    <t>Institute of Management Accountants</t>
  </si>
  <si>
    <t>Operating income (loss) has fluctuated dramatically in the 5-year period,</t>
  </si>
  <si>
    <t>but shows some improvement (less of a loss) in 2013.</t>
  </si>
  <si>
    <t>In 2009 and 2010, Wright Brothers Aviation Company had adequate assets to</t>
  </si>
  <si>
    <t>cover the current liabilities, but the ratio changed dramatically in 2011, 2012,</t>
  </si>
  <si>
    <t>and 2013, causing current liabilities to be much larger than current assets. It</t>
  </si>
  <si>
    <t>seems as though Wright Brothers used its assets to pay down its long-term debt</t>
  </si>
  <si>
    <t>in 2011.</t>
  </si>
  <si>
    <t>Yes, the company has shown a considerable decrease throughout the 5-year</t>
  </si>
  <si>
    <t>current liabilities with the small amount of current assets it has.</t>
  </si>
  <si>
    <t xml:space="preserve">period in net income and also shows that it may have difficulty in paying </t>
  </si>
  <si>
    <t>There are many ethical implications involved with the discussion between Lola and</t>
  </si>
  <si>
    <t xml:space="preserve">Frank. It is not ethical to change items in the financial statements simply to appear </t>
  </si>
  <si>
    <t>better to the public. This can be very misleading to both creditors and investors and</t>
  </si>
  <si>
    <t>could potentially cause harm to these parties who based their expectations of future</t>
  </si>
  <si>
    <t xml:space="preserve">performance on the past numbers that have been changed. If the company doesn’t </t>
  </si>
  <si>
    <t>perform as well as expected, these creditors and investors will likely blame the</t>
  </si>
  <si>
    <t xml:space="preserve">accounting numbers that have been misrepresented. If management intends to pay </t>
  </si>
  <si>
    <t>off accounts within a year, they need to be classified as current liabilities. Also,</t>
  </si>
  <si>
    <t>investments that have been purchased with the intent to hold them for a long period</t>
  </si>
  <si>
    <t xml:space="preserve">of time should be considered long-term investments. Management should not </t>
  </si>
  <si>
    <t xml:space="preserve">reclassify these unless their intent changes and they plan to sell the investments </t>
  </si>
  <si>
    <t xml:space="preserve">within the next year. In addition, the company should follow generally accepted </t>
  </si>
  <si>
    <t>accounting principles and record its assets at historical cost. Management cannot</t>
  </si>
  <si>
    <t xml:space="preserve">pick and choose which assets to present at their market value. Management should </t>
  </si>
  <si>
    <t xml:space="preserve">not use the excuse of “judgment” to alter numbers in order to make the company </t>
  </si>
  <si>
    <t>Under Armour (for the fiscal year ending December 31, 2011):</t>
  </si>
  <si>
    <t>expenditures, business acquisitions, and cash dividends.</t>
  </si>
  <si>
    <t>/</t>
  </si>
  <si>
    <t xml:space="preserve">Under Armour’s current assets are almost four times that of its current </t>
  </si>
  <si>
    <t xml:space="preserve">(assets) owned by a company and the claims against those resources </t>
  </si>
  <si>
    <t xml:space="preserve">(liabilities and stockholders’ equity) at a specific point in time. By </t>
  </si>
  <si>
    <t xml:space="preserve">providing information about the structure of assets, liabilities, and </t>
  </si>
  <si>
    <t xml:space="preserve">stockholders’ equity, a balance sheet provides users insights into </t>
  </si>
  <si>
    <t xml:space="preserve">whether a company can pay its obligations as they become due </t>
  </si>
  <si>
    <t xml:space="preserve">(liquidity). An income statement reports how well a company has </t>
  </si>
  <si>
    <t xml:space="preserve">performed its operations (revenues, expenses, and income) over a </t>
  </si>
  <si>
    <t xml:space="preserve">period of time. By providing information about a company’s current </t>
  </si>
  <si>
    <t>7.</t>
  </si>
  <si>
    <t xml:space="preserve">Revenues are the increases in assets (resources) that result from the sale of products or services. </t>
  </si>
  <si>
    <t xml:space="preserve">Expenses are the costs of assets (resources) used, or the liabilities created, in the operation of </t>
  </si>
  <si>
    <t>the business. If revenues are greater than expenses, a corporation has earned net income. If</t>
  </si>
  <si>
    <t>expenses are greater than revenues, a corporation has incurred a net loss.</t>
  </si>
  <si>
    <t>8.</t>
  </si>
  <si>
    <t>The four primary financial statements are:</t>
  </si>
  <si>
    <t>(1)</t>
  </si>
  <si>
    <t>(2)</t>
  </si>
  <si>
    <t>(3)</t>
  </si>
  <si>
    <t>(4)</t>
  </si>
  <si>
    <t xml:space="preserve">of time. The statement of cash flows provides information about the company’s cash inflows </t>
  </si>
  <si>
    <t>(sources) and outflows (uses) from operating, investing, and financing activities.</t>
  </si>
  <si>
    <t>9.</t>
  </si>
  <si>
    <t>stackhouse</t>
  </si>
  <si>
    <t>compton</t>
  </si>
  <si>
    <t>bellefleur</t>
  </si>
  <si>
    <t>merlotte</t>
  </si>
  <si>
    <t>total equity</t>
  </si>
  <si>
    <t>property and equip.</t>
  </si>
  <si>
    <t>liabilities and stockholders’ equity</t>
  </si>
  <si>
    <t>other noncurrent liabilities</t>
  </si>
  <si>
    <t>stockholders’ equity</t>
  </si>
  <si>
    <t>dividends paid</t>
  </si>
  <si>
    <t xml:space="preserve">    links   ↓</t>
  </si>
  <si>
    <t>total assets</t>
  </si>
  <si>
    <t>total stockholders' equity</t>
  </si>
  <si>
    <t>current assets</t>
  </si>
  <si>
    <t>current liabilities</t>
  </si>
  <si>
    <t>(÷ 1,000,000)</t>
  </si>
  <si>
    <t>↓   links to prev   ↓</t>
  </si>
  <si>
    <t>total expenses</t>
  </si>
  <si>
    <t>expenses:</t>
  </si>
  <si>
    <t>net cash out from investing</t>
  </si>
  <si>
    <t>cash in from operating</t>
  </si>
  <si>
    <t>net cash in from financing</t>
  </si>
  <si>
    <t>acq of prop, plant &amp; equip.</t>
  </si>
  <si>
    <t>(÷ 1,000)</t>
  </si>
  <si>
    <t>(new data ÷ 1,000)</t>
  </si>
  <si>
    <t xml:space="preserve">d. </t>
  </si>
  <si>
    <t xml:space="preserve">greater than its current liabilities for both years, which indicates that </t>
  </si>
  <si>
    <t xml:space="preserve">Apple should be able to pay the liabilities that become due within the </t>
  </si>
  <si>
    <t>Income statement information:</t>
  </si>
  <si>
    <t>Statement of cash flows information:</t>
  </si>
  <si>
    <t>and equipment.</t>
  </si>
  <si>
    <t>Management’s discussion and analysis information:</t>
  </si>
  <si>
    <t xml:space="preserve">Apple’s management considers several accounting policies critical, </t>
  </si>
  <si>
    <t xml:space="preserve">including: following generally accepted accounting principles, revenue </t>
  </si>
  <si>
    <t xml:space="preserve">recognition, allowance for doubtful accounts, inventory valuation, </t>
  </si>
  <si>
    <t xml:space="preserve">warranty costs, valuation of marketable securities, income taxes, and </t>
  </si>
  <si>
    <t xml:space="preserve">discussion and analysis section of the annual report.  More detail on </t>
  </si>
  <si>
    <t xml:space="preserve">significant accounting policies can also be found in the notes to the </t>
  </si>
  <si>
    <t>financial statements (Note 1).</t>
  </si>
  <si>
    <t xml:space="preserve">The company does believe that it has performed well during the current </t>
  </si>
  <si>
    <t xml:space="preserve">year. Its analysis can be found in the management’s discussion and </t>
  </si>
  <si>
    <t xml:space="preserve">analysis section (Item 7 of the 10-K). Management lays out its beliefs on </t>
  </si>
  <si>
    <t xml:space="preserve">current operations as well as future prospects in this part of the </t>
  </si>
  <si>
    <t>financial statements.</t>
  </si>
  <si>
    <t>income from operations and any nonoperating revenues and expenses.</t>
  </si>
  <si>
    <t>18.</t>
  </si>
  <si>
    <t xml:space="preserve">during an accounting period. Retained earnings is the income earned by the company but not </t>
  </si>
  <si>
    <t xml:space="preserve">balance in retained earnings at the beginning of the period. To this balance, add net income (or </t>
  </si>
  <si>
    <t xml:space="preserve">subtract the net loss) obtained from the income statement. Next, subtract any dividends the </t>
  </si>
  <si>
    <t>company declared during the period. The total is the retained earnings at the end of the period</t>
  </si>
  <si>
    <t>that is reported on the balance sheet.</t>
  </si>
  <si>
    <t>19.</t>
  </si>
  <si>
    <t xml:space="preserve">The statement of cash flows classifies cash flows into three categories: (1) cash flows from </t>
  </si>
  <si>
    <t xml:space="preserve">operating activities, (2) cash flows from investing activities, and (3) cash flows from financing </t>
  </si>
  <si>
    <t xml:space="preserve">activities. Cash flows from operating activities are the cash flows related to the normal operations </t>
  </si>
  <si>
    <t xml:space="preserve">of the business in earning income, and include cash sales and collections of accounts receivable </t>
  </si>
  <si>
    <t xml:space="preserve">activities are cash flows related to the acquisition or sale of investments and long-term assets, </t>
  </si>
  <si>
    <t xml:space="preserve">including cash received from the sales of property, plant, and equipment; investments; and other </t>
  </si>
  <si>
    <t>20.</t>
  </si>
  <si>
    <t xml:space="preserve">retained earnings is the net income (or net loss) for the year, which is determined on the income </t>
  </si>
  <si>
    <t xml:space="preserve">statement. The other major source of change in retained earnings is dividends, which are not </t>
  </si>
  <si>
    <t>considered a part of income.</t>
  </si>
  <si>
    <t>21.</t>
  </si>
  <si>
    <t>22.</t>
  </si>
  <si>
    <t xml:space="preserve">Examples of unethical behavior will differ from one student to another. One example is an </t>
  </si>
  <si>
    <t xml:space="preserve">accountant who gives in to personal pressure to prepare financial statements that overstate the </t>
  </si>
  <si>
    <t xml:space="preserve">income of the company by bending or violating generally accepted accounting principles. </t>
  </si>
  <si>
    <t xml:space="preserve">inside and outside the business must be able to rely on the financial information they receive to </t>
  </si>
  <si>
    <t>make proper decisions. Therefore, ethical behavior by accountants is necessary. Acting ethically</t>
  </si>
  <si>
    <t xml:space="preserve">is not always easy. However, because of the important role of accounting in society, accountants </t>
  </si>
  <si>
    <t xml:space="preserve">are expected to maintain the highest level of ethical behavior. </t>
  </si>
  <si>
    <t>a</t>
  </si>
  <si>
    <t>b</t>
  </si>
  <si>
    <t>Assets</t>
  </si>
  <si>
    <t>Liabilities</t>
  </si>
  <si>
    <t>d</t>
  </si>
  <si>
    <t>Cash</t>
  </si>
  <si>
    <t>Inventory</t>
  </si>
  <si>
    <t>c</t>
  </si>
  <si>
    <t>Common stock</t>
  </si>
  <si>
    <t>Retained earnings</t>
  </si>
  <si>
    <t>Revenues</t>
  </si>
  <si>
    <t>Cost of goods sold</t>
  </si>
  <si>
    <t>Salaries expense</t>
  </si>
  <si>
    <t>CORNERSTONE EXERCISES</t>
  </si>
  <si>
    <t>CE 1-14</t>
  </si>
  <si>
    <t xml:space="preserve">Scenario 1: </t>
  </si>
  <si>
    <t>+</t>
  </si>
  <si>
    <t>Equity</t>
  </si>
  <si>
    <t xml:space="preserve">              X</t>
  </si>
  <si>
    <t>(a)</t>
  </si>
  <si>
    <t xml:space="preserve">Scenario 2: </t>
  </si>
  <si>
    <t>(b)</t>
  </si>
  <si>
    <t>(c)</t>
  </si>
  <si>
    <t xml:space="preserve">Scenario 3: </t>
  </si>
  <si>
    <t xml:space="preserve">Therefore, it is critical that Front Row Entertainment raise a large </t>
  </si>
  <si>
    <t xml:space="preserve">amount of cash if the business is to succeed. This cash may be raised </t>
  </si>
  <si>
    <t xml:space="preserve">by issuing debt (e.g., notes payable, bonds payable), shares of stock </t>
  </si>
  <si>
    <t xml:space="preserve">(e.g., common stock), or a combination of both. Next, Front Row </t>
  </si>
  <si>
    <t xml:space="preserve">Entertainment must purchase the assets necessary to operate. </t>
  </si>
  <si>
    <t xml:space="preserve">Because a concert promoter provides a service, the initial investment </t>
  </si>
  <si>
    <t xml:space="preserve">in property, plant, and equipment is likely to be relatively small and </t>
  </si>
  <si>
    <t xml:space="preserve">involve typical office equipment (e.g., desks, telephones, computers). </t>
  </si>
  <si>
    <t xml:space="preserve">These assets are normally combined and reported as equipment on the </t>
  </si>
  <si>
    <r>
      <t xml:space="preserve">Note: </t>
    </r>
    <r>
      <rPr>
        <b/>
        <sz val="12"/>
        <rFont val="Arial"/>
        <family val="2"/>
      </rPr>
      <t>Dividends do not appear on the income statement or the balance sheet.</t>
    </r>
  </si>
  <si>
    <t>Total expenses………………………………………………………………………</t>
  </si>
  <si>
    <t>Total property, plant, and equipment……….………………………….………………………….………………………….………………………….…………………</t>
  </si>
  <si>
    <t>Total current liabilities………………….…………………………………..</t>
  </si>
  <si>
    <t>Total liabilities…………….…………………………………………………</t>
  </si>
  <si>
    <t>Total stockholders’ equity………………….………………………….………………………………</t>
  </si>
  <si>
    <t>Accounts payable……………….………………………….…………………………………………….</t>
  </si>
  <si>
    <t>Wages payable……………….………………………….………………………………………………..</t>
  </si>
  <si>
    <t>Interest payable…………………….………………………………………….</t>
  </si>
  <si>
    <t>Rent payable…………………………….………………….………………….</t>
  </si>
  <si>
    <t>Bonds payable…………………….…………………………………………..</t>
  </si>
  <si>
    <t>Common stock……………………….………………………….………………………………………..</t>
  </si>
  <si>
    <t>Retained earnings…………………….………………………….………………………………………</t>
  </si>
  <si>
    <t xml:space="preserve">First, use the fundamental accounting equation to determine stockholders’ </t>
  </si>
  <si>
    <t>the ability of a company to generate cash in the future, as well as to</t>
  </si>
  <si>
    <t xml:space="preserve">need to carefully weigh the advantages and disadvantages of each form </t>
  </si>
  <si>
    <t>of business organization and select the form that best fits their needs.</t>
  </si>
  <si>
    <t xml:space="preserve">Control over the operations of the business is shared among the </t>
  </si>
  <si>
    <t>Wages expense…………………………………………………………………………..</t>
  </si>
  <si>
    <t>Depreciation expense……………………………………………………………………</t>
  </si>
  <si>
    <t>Utilities expense………………………………………………………………………………………………….</t>
  </si>
  <si>
    <t>Insurance expense……………………………………………………………………………………………….</t>
  </si>
  <si>
    <t>Income taxes expense……………………………………………………………………………………………..</t>
  </si>
  <si>
    <t>Miscellaneous expense…………………………………………………………………………………………</t>
  </si>
  <si>
    <t>Total expenses…………………………………………………………………………</t>
  </si>
  <si>
    <t>Service revenue (parking)………………………………………………………………………………………</t>
  </si>
  <si>
    <t>Service revenue (repair)…………………………………………………………………………………………</t>
  </si>
  <si>
    <t>Interest income………………………………………………………………………………………….……….</t>
  </si>
  <si>
    <t>Total current assets………………………………………………………………………………………………….</t>
  </si>
  <si>
    <t>Total current assets…………………………………………………………………….</t>
  </si>
  <si>
    <t>Total current liabilities……………………………………………………………….</t>
  </si>
  <si>
    <t>Total current assets……………………………………………………………….</t>
  </si>
  <si>
    <t>Total liabilities…………………………………………………………………………………………..</t>
  </si>
  <si>
    <t>Total stockholders’ equity…………………………………………………………………………….</t>
  </si>
  <si>
    <t>Total current assets……………………………………………………………………………………………………………………………………..</t>
  </si>
  <si>
    <t xml:space="preserve">Retained earnings is computed as the amount needed to make the fundamental accounting </t>
  </si>
  <si>
    <t>equation balance.</t>
  </si>
  <si>
    <t>From the income statement</t>
  </si>
  <si>
    <t xml:space="preserve">From the retained earnings statement </t>
  </si>
  <si>
    <t>Total current assets…………………………………………………………………………………….</t>
  </si>
  <si>
    <t>Total liabilities …..………………………………………………………………………………………</t>
  </si>
  <si>
    <t>Total service revenues..……………………………………………………………</t>
  </si>
  <si>
    <r>
      <t xml:space="preserve">Note: </t>
    </r>
    <r>
      <rPr>
        <b/>
        <sz val="10"/>
        <rFont val="Arial"/>
        <family val="2"/>
      </rPr>
      <t xml:space="preserve">Retained earnings is computed using the concepts implied by the fundamental </t>
    </r>
  </si>
  <si>
    <r>
      <t>Internal Auditor</t>
    </r>
    <r>
      <rPr>
        <b/>
        <sz val="12"/>
        <rFont val="Arial"/>
        <family val="2"/>
      </rPr>
      <t xml:space="preserve"> (internal auditors), Institute of Internal Auditors</t>
    </r>
  </si>
  <si>
    <r>
      <t>Journal of Accountancy</t>
    </r>
    <r>
      <rPr>
        <b/>
        <sz val="12"/>
        <rFont val="Arial"/>
        <family val="2"/>
      </rPr>
      <t xml:space="preserve"> (certified public accountants), American </t>
    </r>
  </si>
  <si>
    <t xml:space="preserve">balance sheet. The business can now begin to operate. Revenues (e.g., </t>
  </si>
  <si>
    <t xml:space="preserve">sales revenue, service revenue) will be generated as Front Row </t>
  </si>
  <si>
    <t xml:space="preserve">Entertainment fulfills its contractual duties (e.g., sells tickets). One of </t>
  </si>
  <si>
    <t xml:space="preserve">the major expenses for a concert promoter would be the fees paid to </t>
  </si>
  <si>
    <t xml:space="preserve">the musical artist upon completion of the event (reported as cost of </t>
  </si>
  <si>
    <t xml:space="preserve">sales). In addition, Front Row Entertainment will likely incur large </t>
  </si>
  <si>
    <t xml:space="preserve">expenses initially as it books the venue and advertises the concert. </t>
  </si>
  <si>
    <t xml:space="preserve">Typical expenses may include rent expense (for office space of the </t>
  </si>
  <si>
    <t xml:space="preserve">business as well as a rental fee on the venue), utilities expense, </t>
  </si>
  <si>
    <t xml:space="preserve">salaries expense (for Cam and Anna’s salaries), advertising expense, </t>
  </si>
  <si>
    <t xml:space="preserve">and insurance expense. Some of these expenses may be prepaid </t>
  </si>
  <si>
    <t xml:space="preserve">(resulting in accounts such as prepaid advertising or prepaid rent) </t>
  </si>
  <si>
    <t xml:space="preserve">while payment for others may be delayed (resulting in accounts such </t>
  </si>
  <si>
    <t xml:space="preserve">as accounts payable, salaries payable, and rent payable). </t>
  </si>
  <si>
    <t xml:space="preserve">Cam and Anna can choose to organize Front Row Entertainment as </t>
  </si>
  <si>
    <t xml:space="preserve">either a partnership or a corporation. Relative to the corporate form of </t>
  </si>
  <si>
    <t xml:space="preserve">organization, partnerships are easier to organize. In addition, the </t>
  </si>
  <si>
    <t xml:space="preserve">control of the partnership would be shared by Cam and Anna, and the </t>
  </si>
  <si>
    <t xml:space="preserve">business would have access to the financial resources and skills of </t>
  </si>
  <si>
    <t xml:space="preserve">each partner. Finally, a partnership would also pay less taxes than a </t>
  </si>
  <si>
    <t>ending total assets</t>
  </si>
  <si>
    <t xml:space="preserve"> = </t>
  </si>
  <si>
    <t xml:space="preserve"> + </t>
  </si>
  <si>
    <t xml:space="preserve"> – </t>
  </si>
  <si>
    <t>Stockholders’ equity:</t>
  </si>
  <si>
    <t>Common stock………………………………………………………………………………………</t>
  </si>
  <si>
    <t>Retained earnings…………………………………………………………………………………..</t>
  </si>
  <si>
    <t xml:space="preserve">   Total stockholders’ equity …………………………………………………………………</t>
  </si>
  <si>
    <t>net sales</t>
  </si>
  <si>
    <t>gross margin</t>
  </si>
  <si>
    <t>income from operations</t>
  </si>
  <si>
    <t>Dividends………………………………………………..………………………………………………..……………………..</t>
  </si>
  <si>
    <t>Ending retained earnings………………………………………………………………………………..…………………………………..</t>
  </si>
  <si>
    <t>Beginning retained earnings…………...…………..…………………………………………………..…………………………………………………..</t>
  </si>
  <si>
    <t>cash:</t>
  </si>
  <si>
    <t>inflow from operating activities</t>
  </si>
  <si>
    <t>outflow for investing activities</t>
  </si>
  <si>
    <t>inflow from financing activities</t>
  </si>
  <si>
    <t>revenues</t>
  </si>
  <si>
    <t>expenses</t>
  </si>
  <si>
    <t>common stock:</t>
  </si>
  <si>
    <t>liabilities:</t>
  </si>
  <si>
    <t>assets:</t>
  </si>
  <si>
    <t xml:space="preserve">   links   ↓</t>
  </si>
  <si>
    <t>↓     links     ↓</t>
  </si>
  <si>
    <t>wages expense</t>
  </si>
  <si>
    <t>insurance expense</t>
  </si>
  <si>
    <t>utilities expense</t>
  </si>
  <si>
    <t>income tax expense</t>
  </si>
  <si>
    <t>Net income…………………………………………………………………………………..</t>
  </si>
  <si>
    <t>Crick:</t>
  </si>
  <si>
    <t>Pascal:</t>
  </si>
  <si>
    <t>Eiffel:</t>
  </si>
  <si>
    <t>Hilbert:</t>
  </si>
  <si>
    <t>Net Income (Loss)</t>
  </si>
  <si>
    <t>Ross Airport Auto Service</t>
  </si>
  <si>
    <t>Accumulated depreciation, equipment</t>
  </si>
  <si>
    <t>Depreciation expense, equipment</t>
  </si>
  <si>
    <t>Interest income</t>
  </si>
  <si>
    <t>Net income………………………………………………………………………………………………………….</t>
  </si>
  <si>
    <t>Service revenue, parking</t>
  </si>
  <si>
    <t>Service revenue, repair</t>
  </si>
  <si>
    <t>Supplies expense, repair parts</t>
  </si>
  <si>
    <t>Cash…………………………………………………………………………………………………………</t>
  </si>
  <si>
    <t>Accounts receivable………………………………………………………………………………………</t>
  </si>
  <si>
    <t>Inventory……………….……………………………………………………………………………………</t>
  </si>
  <si>
    <t>Prepaid rent………………………………………………………………………………………………..</t>
  </si>
  <si>
    <t>Investments…………………………………………………………………………………………………………</t>
  </si>
  <si>
    <t>Equipment………………………………………………………………………………………………….</t>
  </si>
  <si>
    <t>Less: Accumulated depreciation…………………………………………………………………………………………………</t>
  </si>
  <si>
    <t xml:space="preserve"> Total assets………………………………………………………………………………………………………………………………………..</t>
  </si>
  <si>
    <t>Accounts payable…………………………………………………………………………………………</t>
  </si>
  <si>
    <t>Wages payable…………………………………………………………………………………………….</t>
  </si>
  <si>
    <t>Income taxes payable……………………………………………………………………………………….</t>
  </si>
  <si>
    <t>Interest payable……………………………………………………………………………………………</t>
  </si>
  <si>
    <t>Notes payable……………………………………………………………………………………………..</t>
  </si>
  <si>
    <t>Common stock…………………………………………………………………………………………….</t>
  </si>
  <si>
    <t>Instead, dividends are reported on the retained earnings statement.</t>
  </si>
  <si>
    <t>Magical Experiences Vacation Company</t>
  </si>
  <si>
    <t>Less: Dividends………………………………………………………………………………………</t>
  </si>
  <si>
    <t>Retained earnings, end of year…………………………………………………………………….</t>
  </si>
  <si>
    <t>$ (a)</t>
  </si>
  <si>
    <t>McDonald Marina</t>
  </si>
  <si>
    <t>Service revenue (docking)……………………………………………………………</t>
  </si>
  <si>
    <t>Bonds payable (due 2016)</t>
  </si>
  <si>
    <t>Service revenue (cleaning)…………………………………………………………..</t>
  </si>
  <si>
    <t>Common stock (40,000 shares)</t>
  </si>
  <si>
    <t>Wages expense……………………………………………………………………….</t>
  </si>
  <si>
    <t>Depreciation expense (equipment)………………………………………………………</t>
  </si>
  <si>
    <t>Utilities expense ……………………………………………………………………..</t>
  </si>
  <si>
    <t>Interest expense………………………………………………………………………</t>
  </si>
  <si>
    <t>Equipment, docks</t>
  </si>
  <si>
    <t>Supplies expense…………………………………………………………………….</t>
  </si>
  <si>
    <t>Income taxes expense………………………………………………………………</t>
  </si>
  <si>
    <t>Other expenses and losses:</t>
  </si>
  <si>
    <t>Income taxes expense***…..………………………………….…..………………………………….…………….…………….</t>
  </si>
  <si>
    <t>Operating expenses:</t>
  </si>
  <si>
    <t>Income taxes expense ……………………………………………………………………</t>
  </si>
  <si>
    <t>Cost of goods sold……………………………………………………………………………</t>
  </si>
  <si>
    <t>Both a single-step income statement and a multiple-step income statement report</t>
  </si>
  <si>
    <t xml:space="preserve">the same amount for net income. However, a single-step income statement only </t>
  </si>
  <si>
    <t xml:space="preserve">(Data x </t>
  </si>
  <si>
    <t xml:space="preserve">indicates that Under Armour should be able to pay off liabilities that come due in </t>
  </si>
  <si>
    <t>)</t>
  </si>
  <si>
    <t xml:space="preserve">(Note: While net income and dividends are reported on other financial </t>
  </si>
  <si>
    <t>change here first, please →</t>
  </si>
  <si>
    <t>← links to previous page</t>
  </si>
  <si>
    <t>retained earnings*</t>
  </si>
  <si>
    <t>← link</t>
  </si>
  <si>
    <t>← links</t>
  </si>
  <si>
    <t xml:space="preserve">change here first, please  ↓ </t>
  </si>
  <si>
    <t>Note: Item (c) is found prior to finding item (b).</t>
  </si>
  <si>
    <t>Note: Item (d) is found prior to finding items (b) and (c).</t>
  </si>
  <si>
    <r>
      <t xml:space="preserve">change here first, please </t>
    </r>
    <r>
      <rPr>
        <sz val="9"/>
        <color theme="0"/>
        <rFont val="Arial"/>
        <family val="2"/>
      </rPr>
      <t>→</t>
    </r>
  </si>
  <si>
    <r>
      <t xml:space="preserve">change here first, please, then bold items in footnotes </t>
    </r>
    <r>
      <rPr>
        <sz val="9"/>
        <color theme="0"/>
        <rFont val="Arial"/>
        <family val="2"/>
      </rPr>
      <t>→</t>
    </r>
  </si>
  <si>
    <r>
      <t xml:space="preserve">change here first, please  </t>
    </r>
    <r>
      <rPr>
        <sz val="9"/>
        <color theme="0"/>
        <rFont val="Arial"/>
        <family val="2"/>
      </rPr>
      <t xml:space="preserve">↓ </t>
    </r>
  </si>
  <si>
    <r>
      <t xml:space="preserve">change here first, please </t>
    </r>
    <r>
      <rPr>
        <sz val="9"/>
        <color theme="0"/>
        <rFont val="Arial"/>
        <family val="2"/>
      </rPr>
      <t>↓</t>
    </r>
  </si>
  <si>
    <r>
      <t xml:space="preserve">change here first, please  </t>
    </r>
    <r>
      <rPr>
        <sz val="9"/>
        <color theme="0"/>
        <rFont val="Arial"/>
        <family val="2"/>
      </rPr>
      <t xml:space="preserve">↓                     ↓  </t>
    </r>
  </si>
  <si>
    <r>
      <t>change here first, please</t>
    </r>
    <r>
      <rPr>
        <sz val="9"/>
        <color theme="0"/>
        <rFont val="Arial"/>
        <family val="2"/>
      </rPr>
      <t xml:space="preserve"> ↓</t>
    </r>
  </si>
  <si>
    <r>
      <t>please change here</t>
    </r>
    <r>
      <rPr>
        <sz val="9"/>
        <color theme="0"/>
        <rFont val="Arial"/>
        <family val="2"/>
      </rPr>
      <t xml:space="preserve"> ↓</t>
    </r>
  </si>
  <si>
    <r>
      <rPr>
        <sz val="9"/>
        <color theme="0"/>
        <rFont val="Wingdings"/>
        <charset val="2"/>
      </rPr>
      <t>ß</t>
    </r>
    <r>
      <rPr>
        <sz val="9"/>
        <color theme="0"/>
        <rFont val="Arial"/>
        <family val="2"/>
      </rPr>
      <t xml:space="preserve"> link</t>
    </r>
  </si>
  <si>
    <r>
      <rPr>
        <sz val="9"/>
        <color theme="0"/>
        <rFont val="Wingdings"/>
        <charset val="2"/>
      </rPr>
      <t xml:space="preserve"> </t>
    </r>
    <r>
      <rPr>
        <sz val="9"/>
        <color theme="0"/>
        <rFont val="Calibri"/>
        <family val="2"/>
      </rPr>
      <t xml:space="preserve">calc </t>
    </r>
    <r>
      <rPr>
        <sz val="9"/>
        <color theme="0"/>
        <rFont val="Wingdings"/>
        <charset val="2"/>
      </rPr>
      <t>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</si>
</sst>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3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;\(0\)"/>
    <numFmt numFmtId="165" formatCode="_(* #,##0_);_(* \(#,##0\);_(* &quot;-&quot;??_);_(@_)"/>
    <numFmt numFmtId="166" formatCode="_(&quot;$&quot;##,##0_);[Red]\(&quot;$&quot;##,##0\);_(&quot;$&quot;_#?&quot;—&quot;??_);_(@_)"/>
    <numFmt numFmtId="167" formatCode="&quot;$&quot;_##,##0_);[Red]\(&quot;$&quot;#,##0\)"/>
    <numFmt numFmtId="168" formatCode="&quot;$&quot;_,###,##0_);&quot;$&quot;\(#,##0\)"/>
    <numFmt numFmtId="169" formatCode="&quot;$&quot;#,##0;[Red]&quot;$&quot;#,##0"/>
    <numFmt numFmtId="170" formatCode="&quot;$&quot;_#_##,##0_);[Red]\(&quot;$&quot;#,##0\)"/>
    <numFmt numFmtId="171" formatCode="&quot;$&quot;_#_,#,##0_);[Red]\(&quot;$&quot;#,##0\)"/>
    <numFmt numFmtId="172" formatCode="&quot;$&quot;_#_,_###,##0_);[Red]\(&quot;$&quot;#,##0\)"/>
    <numFmt numFmtId="173" formatCode="&quot;$&quot;_#_,###,##0_);[Red]\(&quot;$&quot;#,##0\)"/>
    <numFmt numFmtId="174" formatCode="_(&quot;$&quot;###,##0_);[Red]\(&quot;$&quot;###,##0\);_(&quot;$&quot;_[_[_[&quot;—&quot;???_);_(@_)"/>
    <numFmt numFmtId="175" formatCode="_(_$###,##0_);[Red]\(_$###,##0\);_(_$_|_[_[&quot;—&quot;???_);_(@_)"/>
    <numFmt numFmtId="176" formatCode="_(_$_###,##0_);_$_#\(##,##0\);_(_$_[_[_|&quot;—&quot;???_);_(@_)"/>
    <numFmt numFmtId="177" formatCode="_(_$_###,##0_);[Red]\(_$_###,##0\);_(_$_[_[_|&quot;—&quot;???_);_(@_)"/>
    <numFmt numFmtId="178" formatCode="_(_$##,##0_);[Red]\(_$##,##0\);_(_$_#?&quot;—&quot;??_);_(@_)"/>
    <numFmt numFmtId="179" formatCode="_(_$###,##0_);_$\(###,##0\);_(_$_|_[_[&quot;—&quot;???_);_(@_)"/>
    <numFmt numFmtId="180" formatCode="_(&quot;$&quot;_##,##0_);[Red]\(&quot;$&quot;_##,##0\);_(&quot;$&quot;_[_[_[&quot;—&quot;???_);_(@_)"/>
    <numFmt numFmtId="181" formatCode="_(_$_#_##,##0_);[Red]\(_$_#_##,##0\);_(_$_[_[_|&quot;—&quot;???_);_(@_)"/>
    <numFmt numFmtId="182" formatCode="_(&quot;$&quot;#,###,##0_);&quot;$&quot;\(#,###,##0\);_(&quot;$&quot;_,???&quot;—&quot;???_);_(@_)"/>
    <numFmt numFmtId="183" formatCode="_(&quot;$&quot;_#_,###,##0_);&quot;$&quot;_#_,\(###,##0\);_(&quot;$&quot;_,???&quot;—&quot;???_);_(@_)"/>
    <numFmt numFmtId="184" formatCode="_(_$_#_,_###,##0_);_$_#_,_#\(#,##0\);_(_$_,???&quot;—&quot;???_);_(@_)"/>
    <numFmt numFmtId="185" formatCode="_(&quot;$&quot;_#_,_###,##0_);&quot;$&quot;_#_,_#\(##,##0\);_(&quot;$&quot;_,???&quot;—&quot;???_);_(@_)"/>
    <numFmt numFmtId="186" formatCode="_(_$_#_,###,##0_);_$_#_,\(###,##0\);_(_$_,???&quot;—&quot;???_);_(@_)"/>
    <numFmt numFmtId="187" formatCode="_(_$_#_,_#_##,##0_);_$_[_#_,_#\(#,##0\);_(_$_,???&quot;—&quot;???_);_(@_)"/>
    <numFmt numFmtId="188" formatCode="#,##0.000_);\(#,##0.000\)"/>
    <numFmt numFmtId="189" formatCode="_(&quot;$&quot;##0_);_(&quot;$&quot;\(##0\);_(_$_,???&quot;—&quot;???_);_(@_)"/>
    <numFmt numFmtId="190" formatCode="_(&quot;$&quot;#,##0_);_(&quot;$&quot;\(#,##0\);_(_$_,???&quot;—&quot;???_);_(@_)"/>
    <numFmt numFmtId="191" formatCode="[$-409]mmmm\ d\,\ yyyy;@"/>
    <numFmt numFmtId="192" formatCode="0."/>
    <numFmt numFmtId="193" formatCode="&quot;$&quot;#,##0;[Red]\(&quot;$&quot;#,##0\)"/>
    <numFmt numFmtId="194" formatCode="_(_$#,##0_);_(&quot;$&quot;* \(#,##0\);_(&quot;$&quot;* &quot;-&quot;??_);_(@_)"/>
    <numFmt numFmtId="195" formatCode="_(&quot;$&quot;##,##0_);[Red]\(&quot;$&quot;#,##0\)"/>
    <numFmt numFmtId="196" formatCode="_(&quot;$&quot;#,##0_);[Red]\(&quot;$&quot;#,##0\)"/>
    <numFmt numFmtId="197" formatCode="_(_$##,##0_);[Red]\(&quot;$&quot;#,##0\)"/>
    <numFmt numFmtId="198" formatCode="#,##0_);_#_(_$\(#,##0\)"/>
    <numFmt numFmtId="199" formatCode="_(&quot;$&quot;_(###,##0_);[Red]\(&quot;$&quot;###,##0\);_(&quot;$&quot;_[_[_[&quot;—&quot;???_);_(@_)"/>
    <numFmt numFmtId="200" formatCode="_(&quot;$&quot;_(##,##0_);[Red]\(&quot;$&quot;###,##0\);_(&quot;$&quot;_[_[_[&quot;—&quot;???_);_(@_)"/>
    <numFmt numFmtId="201" formatCode="_(&quot;$&quot;_(_###,##0_);[Red]\(&quot;$&quot;###,##0\);_(&quot;$&quot;_[_[_[&quot;—&quot;???_);_(@_)"/>
    <numFmt numFmtId="202" formatCode="_(&quot;$&quot;_###,##0_);[Red]\(&quot;$&quot;###,##0\);_(&quot;$&quot;_[_[_[&quot;—&quot;???_);_(@_)"/>
    <numFmt numFmtId="203" formatCode="_(&quot;$&quot;_#_,###,##0_);[Red]\(&quot;$&quot;###,##0\);_(&quot;$&quot;_[_[_[&quot;—&quot;???_);_(@_)"/>
    <numFmt numFmtId="204" formatCode="&quot;$&quot;##,##0_);[Red]\(&quot;$&quot;#,##0\)"/>
    <numFmt numFmtId="205" formatCode="_(&quot;$&quot;_###,##0_);[Red]\(&quot;$&quot;_##,##0\);_(&quot;$&quot;_[_[_[&quot;—&quot;???_);_(@_)"/>
    <numFmt numFmtId="206" formatCode="_(&quot;$&quot;#,##0_);_(&quot;$&quot;* \(#,##0\);_(&quot;$&quot;* &quot;-&quot;??_);_(@_)"/>
    <numFmt numFmtId="207" formatCode="#,##0;[Red]\(#,##0\)"/>
    <numFmt numFmtId="208" formatCode="&quot;$&quot;_##,##0;[Red]\(&quot;$&quot;#,##0\)"/>
    <numFmt numFmtId="209" formatCode="&quot;$&quot;##,##0;[Red]\(&quot;$&quot;#,##0\)"/>
    <numFmt numFmtId="210" formatCode="_(_$_###,##0_);_$\(##,##0\);_(_$_[_[_|&quot;—&quot;???_);_(@_)"/>
    <numFmt numFmtId="211" formatCode="_(&quot;$&quot;* #,##0_);_(&quot;$&quot;* \(#,##0\);_(&quot;$&quot;* &quot;-&quot;??_);_(@_)"/>
  </numFmts>
  <fonts count="70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Times New Roman"/>
      <family val="1"/>
    </font>
    <font>
      <b/>
      <sz val="12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36"/>
      <name val="Arial"/>
      <family val="2"/>
    </font>
    <font>
      <b/>
      <sz val="22"/>
      <name val="Arial Narrow"/>
      <family val="2"/>
    </font>
    <font>
      <sz val="48"/>
      <name val="Arial"/>
      <family val="2"/>
    </font>
    <font>
      <sz val="30"/>
      <name val="Arial Narrow"/>
      <family val="2"/>
    </font>
    <font>
      <b/>
      <sz val="12"/>
      <color indexed="40"/>
      <name val="Arial"/>
      <family val="2"/>
    </font>
    <font>
      <sz val="12"/>
      <name val="Arial"/>
      <family val="2"/>
    </font>
    <font>
      <b/>
      <i/>
      <sz val="10"/>
      <name val="Arial"/>
      <family val="2"/>
    </font>
    <font>
      <sz val="11"/>
      <name val="Calibri"/>
      <family val="2"/>
    </font>
    <font>
      <u/>
      <sz val="11"/>
      <name val="Calibri"/>
      <family val="2"/>
    </font>
    <font>
      <b/>
      <sz val="12"/>
      <name val="Arial"/>
      <family val="2"/>
    </font>
    <font>
      <sz val="14"/>
      <name val="Arial"/>
      <family val="2"/>
    </font>
    <font>
      <b/>
      <sz val="12"/>
      <color indexed="8"/>
      <name val="Arial"/>
      <family val="2"/>
    </font>
    <font>
      <b/>
      <sz val="12"/>
      <color indexed="9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i/>
      <sz val="10"/>
      <color indexed="9"/>
      <name val="Arial"/>
      <family val="2"/>
    </font>
    <font>
      <sz val="12"/>
      <name val="Arial"/>
      <family val="2"/>
    </font>
    <font>
      <sz val="10"/>
      <color indexed="56"/>
      <name val="Arial"/>
      <family val="2"/>
    </font>
    <font>
      <sz val="9"/>
      <color indexed="56"/>
      <name val="Arial"/>
      <family val="2"/>
    </font>
    <font>
      <sz val="9"/>
      <color indexed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u val="singleAccounting"/>
      <sz val="12"/>
      <name val="Arial"/>
      <family val="2"/>
    </font>
    <font>
      <b/>
      <u val="doubleAccounting"/>
      <sz val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u/>
      <sz val="9"/>
      <name val="Calibri"/>
      <family val="2"/>
    </font>
    <font>
      <b/>
      <sz val="9"/>
      <color indexed="8"/>
      <name val="Arial"/>
      <family val="2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sz val="9"/>
      <color theme="0"/>
      <name val="Arial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sz val="12"/>
      <color theme="0"/>
      <name val="Arial"/>
      <family val="2"/>
    </font>
    <font>
      <b/>
      <i/>
      <sz val="9"/>
      <color theme="0"/>
      <name val="Arial"/>
      <family val="2"/>
    </font>
    <font>
      <u/>
      <sz val="9"/>
      <color theme="0"/>
      <name val="Calibri"/>
      <family val="2"/>
    </font>
    <font>
      <sz val="9"/>
      <color theme="0"/>
      <name val="Wingdings"/>
      <charset val="2"/>
    </font>
    <font>
      <sz val="9"/>
      <color theme="0"/>
      <name val="Calibri"/>
      <family val="2"/>
    </font>
    <font>
      <sz val="8"/>
      <color theme="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" fillId="23" borderId="7" applyNumberFormat="0" applyFont="0" applyAlignment="0" applyProtection="0"/>
    <xf numFmtId="0" fontId="15" fillId="20" borderId="8" applyNumberFormat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480">
    <xf numFmtId="0" fontId="0" fillId="0" borderId="0" xfId="0"/>
    <xf numFmtId="49" fontId="1" fillId="24" borderId="0" xfId="0" applyNumberFormat="1" applyFont="1" applyFill="1" applyAlignment="1">
      <alignment horizontal="center" vertical="top"/>
    </xf>
    <xf numFmtId="0" fontId="1" fillId="24" borderId="0" xfId="0" applyFont="1" applyFill="1"/>
    <xf numFmtId="0" fontId="20" fillId="24" borderId="0" xfId="0" quotePrefix="1" applyFont="1" applyFill="1"/>
    <xf numFmtId="0" fontId="21" fillId="24" borderId="0" xfId="0" applyFont="1" applyFill="1"/>
    <xf numFmtId="0" fontId="21" fillId="24" borderId="0" xfId="0" applyNumberFormat="1" applyFont="1" applyFill="1"/>
    <xf numFmtId="49" fontId="21" fillId="24" borderId="0" xfId="0" applyNumberFormat="1" applyFont="1" applyFill="1" applyAlignment="1">
      <alignment horizontal="center" vertical="top"/>
    </xf>
    <xf numFmtId="0" fontId="21" fillId="24" borderId="0" xfId="0" quotePrefix="1" applyFont="1" applyFill="1"/>
    <xf numFmtId="0" fontId="21" fillId="24" borderId="0" xfId="0" applyNumberFormat="1" applyFont="1" applyFill="1" applyAlignment="1">
      <alignment horizontal="left" indent="1"/>
    </xf>
    <xf numFmtId="0" fontId="22" fillId="24" borderId="0" xfId="0" applyNumberFormat="1" applyFont="1" applyFill="1"/>
    <xf numFmtId="0" fontId="23" fillId="24" borderId="0" xfId="0" applyFont="1" applyFill="1"/>
    <xf numFmtId="0" fontId="23" fillId="24" borderId="0" xfId="0" quotePrefix="1" applyFont="1" applyFill="1"/>
    <xf numFmtId="0" fontId="23" fillId="0" borderId="0" xfId="0" applyFont="1" applyFill="1"/>
    <xf numFmtId="0" fontId="23" fillId="24" borderId="0" xfId="0" applyFont="1" applyFill="1" applyAlignment="1">
      <alignment horizontal="center"/>
    </xf>
    <xf numFmtId="0" fontId="23" fillId="24" borderId="0" xfId="0" quotePrefix="1" applyFont="1" applyFill="1" applyAlignment="1">
      <alignment horizontal="center"/>
    </xf>
    <xf numFmtId="0" fontId="23" fillId="24" borderId="0" xfId="0" applyFont="1" applyFill="1" applyAlignment="1">
      <alignment horizontal="left" indent="1"/>
    </xf>
    <xf numFmtId="0" fontId="23" fillId="24" borderId="0" xfId="0" applyFont="1" applyFill="1" applyAlignment="1">
      <alignment horizontal="left"/>
    </xf>
    <xf numFmtId="6" fontId="23" fillId="24" borderId="0" xfId="0" applyNumberFormat="1" applyFont="1" applyFill="1" applyAlignment="1">
      <alignment horizontal="right"/>
    </xf>
    <xf numFmtId="6" fontId="23" fillId="24" borderId="0" xfId="0" applyNumberFormat="1" applyFont="1" applyFill="1" applyAlignment="1">
      <alignment horizontal="left" indent="1"/>
    </xf>
    <xf numFmtId="6" fontId="23" fillId="24" borderId="0" xfId="0" applyNumberFormat="1" applyFont="1" applyFill="1" applyBorder="1" applyAlignment="1">
      <alignment horizontal="center"/>
    </xf>
    <xf numFmtId="0" fontId="23" fillId="24" borderId="0" xfId="0" applyFont="1" applyFill="1" applyBorder="1" applyAlignment="1">
      <alignment horizontal="center"/>
    </xf>
    <xf numFmtId="6" fontId="23" fillId="24" borderId="0" xfId="0" applyNumberFormat="1" applyFont="1" applyFill="1"/>
    <xf numFmtId="0" fontId="23" fillId="24" borderId="0" xfId="0" applyFont="1" applyFill="1" applyAlignment="1"/>
    <xf numFmtId="0" fontId="1" fillId="24" borderId="0" xfId="0" applyFont="1" applyFill="1" applyAlignment="1">
      <alignment horizontal="right"/>
    </xf>
    <xf numFmtId="0" fontId="25" fillId="24" borderId="0" xfId="0" applyFont="1" applyFill="1" applyAlignment="1">
      <alignment horizontal="left"/>
    </xf>
    <xf numFmtId="0" fontId="23" fillId="24" borderId="0" xfId="0" applyFont="1" applyFill="1" applyAlignment="1">
      <alignment horizontal="right"/>
    </xf>
    <xf numFmtId="0" fontId="23" fillId="24" borderId="0" xfId="0" applyFont="1" applyFill="1" applyBorder="1"/>
    <xf numFmtId="6" fontId="23" fillId="24" borderId="0" xfId="0" applyNumberFormat="1" applyFont="1" applyFill="1" applyAlignment="1"/>
    <xf numFmtId="6" fontId="23" fillId="24" borderId="0" xfId="0" applyNumberFormat="1" applyFont="1" applyFill="1" applyAlignment="1">
      <alignment horizontal="left"/>
    </xf>
    <xf numFmtId="0" fontId="26" fillId="24" borderId="0" xfId="0" applyFont="1" applyFill="1"/>
    <xf numFmtId="0" fontId="26" fillId="24" borderId="0" xfId="0" applyFont="1" applyFill="1" applyAlignment="1"/>
    <xf numFmtId="0" fontId="26" fillId="24" borderId="0" xfId="0" applyFont="1" applyFill="1" applyAlignment="1">
      <alignment horizontal="left"/>
    </xf>
    <xf numFmtId="0" fontId="26" fillId="24" borderId="0" xfId="0" applyFont="1" applyFill="1" applyAlignment="1">
      <alignment horizontal="right"/>
    </xf>
    <xf numFmtId="0" fontId="1" fillId="24" borderId="0" xfId="0" applyFont="1" applyFill="1" applyAlignment="1"/>
    <xf numFmtId="6" fontId="23" fillId="24" borderId="0" xfId="0" applyNumberFormat="1" applyFont="1" applyFill="1" applyAlignment="1">
      <alignment horizontal="center"/>
    </xf>
    <xf numFmtId="0" fontId="1" fillId="24" borderId="0" xfId="0" applyFont="1" applyFill="1" applyAlignment="1">
      <alignment horizontal="left"/>
    </xf>
    <xf numFmtId="0" fontId="27" fillId="24" borderId="0" xfId="0" applyFont="1" applyFill="1"/>
    <xf numFmtId="6" fontId="0" fillId="0" borderId="0" xfId="0" applyNumberFormat="1" applyAlignment="1">
      <alignment horizontal="right"/>
    </xf>
    <xf numFmtId="0" fontId="23" fillId="24" borderId="0" xfId="0" quotePrefix="1" applyFont="1" applyFill="1" applyAlignment="1">
      <alignment horizontal="right"/>
    </xf>
    <xf numFmtId="0" fontId="23" fillId="24" borderId="10" xfId="0" applyFont="1" applyFill="1" applyBorder="1"/>
    <xf numFmtId="0" fontId="1" fillId="24" borderId="10" xfId="0" applyFont="1" applyFill="1" applyBorder="1"/>
    <xf numFmtId="6" fontId="23" fillId="24" borderId="0" xfId="0" applyNumberFormat="1" applyFont="1" applyFill="1" applyBorder="1" applyAlignment="1">
      <alignment horizontal="right"/>
    </xf>
    <xf numFmtId="38" fontId="23" fillId="24" borderId="0" xfId="0" applyNumberFormat="1" applyFont="1" applyFill="1" applyBorder="1"/>
    <xf numFmtId="38" fontId="23" fillId="24" borderId="10" xfId="0" applyNumberFormat="1" applyFont="1" applyFill="1" applyBorder="1"/>
    <xf numFmtId="6" fontId="23" fillId="24" borderId="11" xfId="0" applyNumberFormat="1" applyFont="1" applyFill="1" applyBorder="1" applyAlignment="1">
      <alignment horizontal="right"/>
    </xf>
    <xf numFmtId="6" fontId="23" fillId="24" borderId="0" xfId="0" applyNumberFormat="1" applyFont="1" applyFill="1" applyBorder="1"/>
    <xf numFmtId="38" fontId="23" fillId="24" borderId="0" xfId="0" applyNumberFormat="1" applyFont="1" applyFill="1" applyAlignment="1">
      <alignment horizontal="right"/>
    </xf>
    <xf numFmtId="6" fontId="23" fillId="24" borderId="12" xfId="0" applyNumberFormat="1" applyFont="1" applyFill="1" applyBorder="1" applyAlignment="1">
      <alignment horizontal="right"/>
    </xf>
    <xf numFmtId="0" fontId="1" fillId="24" borderId="0" xfId="0" applyFont="1" applyFill="1" applyBorder="1"/>
    <xf numFmtId="0" fontId="25" fillId="24" borderId="0" xfId="0" applyFont="1" applyFill="1"/>
    <xf numFmtId="38" fontId="23" fillId="24" borderId="0" xfId="0" applyNumberFormat="1" applyFont="1" applyFill="1"/>
    <xf numFmtId="37" fontId="23" fillId="24" borderId="0" xfId="0" applyNumberFormat="1" applyFont="1" applyFill="1"/>
    <xf numFmtId="6" fontId="23" fillId="24" borderId="12" xfId="0" applyNumberFormat="1" applyFont="1" applyFill="1" applyBorder="1"/>
    <xf numFmtId="38" fontId="23" fillId="24" borderId="10" xfId="0" applyNumberFormat="1" applyFont="1" applyFill="1" applyBorder="1" applyAlignment="1">
      <alignment horizontal="right"/>
    </xf>
    <xf numFmtId="167" fontId="23" fillId="24" borderId="11" xfId="0" applyNumberFormat="1" applyFont="1" applyFill="1" applyBorder="1" applyAlignment="1">
      <alignment horizontal="right"/>
    </xf>
    <xf numFmtId="0" fontId="30" fillId="24" borderId="0" xfId="0" applyFont="1" applyFill="1" applyBorder="1" applyAlignment="1">
      <alignment horizontal="center" vertical="center"/>
    </xf>
    <xf numFmtId="0" fontId="31" fillId="24" borderId="0" xfId="0" applyFont="1" applyFill="1" applyBorder="1" applyAlignment="1">
      <alignment horizontal="center" vertical="center" wrapText="1"/>
    </xf>
    <xf numFmtId="0" fontId="21" fillId="24" borderId="0" xfId="0" applyNumberFormat="1" applyFont="1" applyFill="1" applyAlignment="1">
      <alignment horizontal="left"/>
    </xf>
    <xf numFmtId="49" fontId="1" fillId="24" borderId="0" xfId="0" applyNumberFormat="1" applyFont="1" applyFill="1" applyAlignment="1">
      <alignment horizontal="left"/>
    </xf>
    <xf numFmtId="49" fontId="23" fillId="24" borderId="0" xfId="0" applyNumberFormat="1" applyFont="1" applyFill="1" applyAlignment="1">
      <alignment horizontal="left"/>
    </xf>
    <xf numFmtId="49" fontId="23" fillId="24" borderId="0" xfId="0" applyNumberFormat="1" applyFont="1" applyFill="1"/>
    <xf numFmtId="49" fontId="23" fillId="24" borderId="0" xfId="0" quotePrefix="1" applyNumberFormat="1" applyFont="1" applyFill="1"/>
    <xf numFmtId="49" fontId="23" fillId="24" borderId="0" xfId="0" quotePrefix="1" applyNumberFormat="1" applyFont="1" applyFill="1" applyAlignment="1">
      <alignment horizontal="left" indent="1"/>
    </xf>
    <xf numFmtId="49" fontId="23" fillId="24" borderId="0" xfId="0" applyNumberFormat="1" applyFont="1" applyFill="1" applyAlignment="1">
      <alignment horizontal="left" indent="1"/>
    </xf>
    <xf numFmtId="167" fontId="23" fillId="24" borderId="0" xfId="0" applyNumberFormat="1" applyFont="1" applyFill="1" applyBorder="1" applyAlignment="1">
      <alignment horizontal="right"/>
    </xf>
    <xf numFmtId="3" fontId="23" fillId="24" borderId="0" xfId="0" applyNumberFormat="1" applyFont="1" applyFill="1" applyAlignment="1">
      <alignment horizontal="right"/>
    </xf>
    <xf numFmtId="3" fontId="23" fillId="24" borderId="0" xfId="0" applyNumberFormat="1" applyFont="1" applyFill="1" applyAlignment="1">
      <alignment horizontal="left"/>
    </xf>
    <xf numFmtId="0" fontId="23" fillId="24" borderId="10" xfId="0" applyFont="1" applyFill="1" applyBorder="1" applyAlignment="1">
      <alignment horizontal="center"/>
    </xf>
    <xf numFmtId="0" fontId="32" fillId="24" borderId="0" xfId="0" applyFont="1" applyFill="1"/>
    <xf numFmtId="0" fontId="23" fillId="24" borderId="0" xfId="0" applyFont="1" applyFill="1" applyAlignment="1">
      <alignment horizontal="left" indent="2"/>
    </xf>
    <xf numFmtId="0" fontId="23" fillId="24" borderId="0" xfId="0" applyFont="1" applyFill="1" applyAlignment="1">
      <alignment horizontal="left" indent="3"/>
    </xf>
    <xf numFmtId="0" fontId="23" fillId="24" borderId="0" xfId="0" applyNumberFormat="1" applyFont="1" applyFill="1"/>
    <xf numFmtId="15" fontId="23" fillId="24" borderId="0" xfId="0" applyNumberFormat="1" applyFont="1" applyFill="1" applyAlignment="1">
      <alignment horizontal="center"/>
    </xf>
    <xf numFmtId="0" fontId="33" fillId="24" borderId="0" xfId="0" applyFont="1" applyFill="1"/>
    <xf numFmtId="0" fontId="33" fillId="24" borderId="0" xfId="0" applyFont="1" applyFill="1" applyBorder="1"/>
    <xf numFmtId="49" fontId="23" fillId="24" borderId="0" xfId="0" applyNumberFormat="1" applyFont="1" applyFill="1" applyAlignment="1"/>
    <xf numFmtId="0" fontId="26" fillId="24" borderId="0" xfId="0" applyFont="1" applyFill="1" applyBorder="1"/>
    <xf numFmtId="3" fontId="23" fillId="24" borderId="0" xfId="0" applyNumberFormat="1" applyFont="1" applyFill="1"/>
    <xf numFmtId="38" fontId="23" fillId="24" borderId="0" xfId="0" applyNumberFormat="1" applyFont="1" applyFill="1" applyBorder="1" applyAlignment="1">
      <alignment horizontal="right"/>
    </xf>
    <xf numFmtId="0" fontId="39" fillId="24" borderId="0" xfId="0" applyFont="1" applyFill="1" applyBorder="1" applyAlignment="1">
      <alignment horizontal="center"/>
    </xf>
    <xf numFmtId="38" fontId="1" fillId="24" borderId="0" xfId="0" applyNumberFormat="1" applyFont="1" applyFill="1" applyBorder="1" applyAlignment="1">
      <alignment horizontal="right"/>
    </xf>
    <xf numFmtId="38" fontId="1" fillId="24" borderId="0" xfId="0" applyNumberFormat="1" applyFont="1" applyFill="1" applyAlignment="1">
      <alignment horizontal="right"/>
    </xf>
    <xf numFmtId="15" fontId="23" fillId="24" borderId="0" xfId="0" applyNumberFormat="1" applyFont="1" applyFill="1" applyBorder="1" applyAlignment="1">
      <alignment horizontal="center"/>
    </xf>
    <xf numFmtId="0" fontId="23" fillId="24" borderId="0" xfId="0" applyFont="1" applyFill="1" applyBorder="1" applyAlignment="1">
      <alignment horizontal="right"/>
    </xf>
    <xf numFmtId="6" fontId="23" fillId="24" borderId="0" xfId="0" quotePrefix="1" applyNumberFormat="1" applyFont="1" applyFill="1" applyAlignment="1">
      <alignment horizontal="center"/>
    </xf>
    <xf numFmtId="0" fontId="23" fillId="24" borderId="0" xfId="0" quotePrefix="1" applyNumberFormat="1" applyFont="1" applyFill="1"/>
    <xf numFmtId="0" fontId="33" fillId="24" borderId="10" xfId="0" applyFont="1" applyFill="1" applyBorder="1"/>
    <xf numFmtId="0" fontId="35" fillId="0" borderId="0" xfId="0" applyFont="1"/>
    <xf numFmtId="168" fontId="23" fillId="24" borderId="0" xfId="0" applyNumberFormat="1" applyFont="1" applyFill="1" applyBorder="1"/>
    <xf numFmtId="37" fontId="23" fillId="24" borderId="0" xfId="0" applyNumberFormat="1" applyFont="1" applyFill="1" applyBorder="1"/>
    <xf numFmtId="37" fontId="23" fillId="24" borderId="10" xfId="0" applyNumberFormat="1" applyFont="1" applyFill="1" applyBorder="1"/>
    <xf numFmtId="0" fontId="23" fillId="24" borderId="0" xfId="0" quotePrefix="1" applyFont="1" applyFill="1" applyAlignment="1">
      <alignment horizontal="left"/>
    </xf>
    <xf numFmtId="0" fontId="37" fillId="24" borderId="0" xfId="0" applyFont="1" applyFill="1" applyAlignment="1">
      <alignment horizontal="left" indent="1"/>
    </xf>
    <xf numFmtId="164" fontId="23" fillId="24" borderId="0" xfId="0" applyNumberFormat="1" applyFont="1" applyFill="1"/>
    <xf numFmtId="0" fontId="37" fillId="24" borderId="0" xfId="0" applyFont="1" applyFill="1"/>
    <xf numFmtId="165" fontId="23" fillId="24" borderId="0" xfId="28" applyNumberFormat="1" applyFont="1" applyFill="1" applyAlignment="1">
      <alignment horizontal="right"/>
    </xf>
    <xf numFmtId="6" fontId="0" fillId="0" borderId="0" xfId="0" applyNumberFormat="1" applyAlignment="1">
      <alignment horizontal="left"/>
    </xf>
    <xf numFmtId="0" fontId="1" fillId="24" borderId="0" xfId="0" applyFont="1" applyFill="1" applyAlignment="1">
      <alignment horizontal="center"/>
    </xf>
    <xf numFmtId="0" fontId="23" fillId="24" borderId="0" xfId="0" applyFont="1" applyFill="1" applyBorder="1" applyAlignment="1"/>
    <xf numFmtId="3" fontId="23" fillId="24" borderId="0" xfId="0" applyNumberFormat="1" applyFont="1" applyFill="1" applyBorder="1" applyAlignment="1">
      <alignment horizontal="center"/>
    </xf>
    <xf numFmtId="164" fontId="23" fillId="24" borderId="0" xfId="0" applyNumberFormat="1" applyFont="1" applyFill="1" applyAlignment="1">
      <alignment horizontal="left"/>
    </xf>
    <xf numFmtId="0" fontId="39" fillId="24" borderId="0" xfId="0" applyFont="1" applyFill="1"/>
    <xf numFmtId="38" fontId="0" fillId="24" borderId="0" xfId="0" applyNumberFormat="1" applyFill="1" applyBorder="1" applyAlignment="1">
      <alignment horizontal="right"/>
    </xf>
    <xf numFmtId="38" fontId="26" fillId="24" borderId="0" xfId="0" applyNumberFormat="1" applyFont="1" applyFill="1" applyBorder="1" applyAlignment="1">
      <alignment horizontal="right"/>
    </xf>
    <xf numFmtId="3" fontId="23" fillId="24" borderId="0" xfId="0" applyNumberFormat="1" applyFont="1" applyFill="1" applyBorder="1"/>
    <xf numFmtId="167" fontId="23" fillId="24" borderId="0" xfId="0" applyNumberFormat="1" applyFont="1" applyFill="1" applyBorder="1" applyAlignment="1">
      <alignment horizontal="center"/>
    </xf>
    <xf numFmtId="37" fontId="23" fillId="24" borderId="0" xfId="29" applyNumberFormat="1" applyFont="1" applyFill="1" applyAlignment="1">
      <alignment horizontal="right"/>
    </xf>
    <xf numFmtId="0" fontId="27" fillId="24" borderId="0" xfId="0" applyFont="1" applyFill="1" applyBorder="1"/>
    <xf numFmtId="0" fontId="23" fillId="24" borderId="10" xfId="0" applyFont="1" applyFill="1" applyBorder="1" applyAlignment="1"/>
    <xf numFmtId="5" fontId="23" fillId="24" borderId="0" xfId="0" applyNumberFormat="1" applyFont="1" applyFill="1" applyAlignment="1">
      <alignment horizontal="left"/>
    </xf>
    <xf numFmtId="6" fontId="23" fillId="24" borderId="0" xfId="0" applyNumberFormat="1" applyFont="1" applyFill="1" applyBorder="1" applyAlignment="1"/>
    <xf numFmtId="38" fontId="23" fillId="24" borderId="0" xfId="0" applyNumberFormat="1" applyFont="1" applyFill="1" applyBorder="1" applyAlignment="1"/>
    <xf numFmtId="170" fontId="23" fillId="24" borderId="0" xfId="0" applyNumberFormat="1" applyFont="1" applyFill="1" applyBorder="1" applyAlignment="1">
      <alignment horizontal="right"/>
    </xf>
    <xf numFmtId="6" fontId="23" fillId="24" borderId="0" xfId="0" quotePrefix="1" applyNumberFormat="1" applyFont="1" applyFill="1" applyAlignment="1">
      <alignment horizontal="left"/>
    </xf>
    <xf numFmtId="3" fontId="23" fillId="24" borderId="0" xfId="0" applyNumberFormat="1" applyFont="1" applyFill="1" applyBorder="1" applyAlignment="1">
      <alignment horizontal="right"/>
    </xf>
    <xf numFmtId="171" fontId="23" fillId="24" borderId="0" xfId="0" applyNumberFormat="1" applyFont="1" applyFill="1" applyBorder="1" applyAlignment="1">
      <alignment horizontal="right"/>
    </xf>
    <xf numFmtId="172" fontId="23" fillId="24" borderId="11" xfId="0" applyNumberFormat="1" applyFont="1" applyFill="1" applyBorder="1" applyAlignment="1">
      <alignment horizontal="right"/>
    </xf>
    <xf numFmtId="37" fontId="23" fillId="24" borderId="10" xfId="0" applyNumberFormat="1" applyFont="1" applyFill="1" applyBorder="1" applyAlignment="1">
      <alignment horizontal="right"/>
    </xf>
    <xf numFmtId="6" fontId="1" fillId="24" borderId="0" xfId="0" applyNumberFormat="1" applyFont="1" applyFill="1"/>
    <xf numFmtId="0" fontId="0" fillId="24" borderId="0" xfId="0" applyFill="1"/>
    <xf numFmtId="0" fontId="23" fillId="0" borderId="0" xfId="0" applyFont="1"/>
    <xf numFmtId="0" fontId="23" fillId="24" borderId="0" xfId="0" applyNumberFormat="1" applyFont="1" applyFill="1" applyAlignment="1">
      <alignment horizontal="left"/>
    </xf>
    <xf numFmtId="0" fontId="23" fillId="24" borderId="0" xfId="0" quotePrefix="1" applyNumberFormat="1" applyFont="1" applyFill="1" applyAlignment="1">
      <alignment horizontal="left"/>
    </xf>
    <xf numFmtId="8" fontId="23" fillId="24" borderId="0" xfId="0" applyNumberFormat="1" applyFont="1" applyFill="1"/>
    <xf numFmtId="173" fontId="23" fillId="24" borderId="12" xfId="0" applyNumberFormat="1" applyFont="1" applyFill="1" applyBorder="1" applyAlignment="1">
      <alignment horizontal="right"/>
    </xf>
    <xf numFmtId="6" fontId="23" fillId="0" borderId="0" xfId="0" applyNumberFormat="1" applyFont="1" applyFill="1" applyBorder="1"/>
    <xf numFmtId="0" fontId="33" fillId="24" borderId="0" xfId="0" applyFont="1" applyFill="1" applyAlignment="1">
      <alignment horizontal="left" indent="2"/>
    </xf>
    <xf numFmtId="0" fontId="23" fillId="0" borderId="0" xfId="0" applyFont="1" applyFill="1" applyAlignment="1">
      <alignment horizontal="left" indent="2"/>
    </xf>
    <xf numFmtId="0" fontId="23" fillId="24" borderId="0" xfId="0" applyFont="1" applyFill="1" applyBorder="1" applyAlignment="1">
      <alignment horizontal="left" indent="2"/>
    </xf>
    <xf numFmtId="167" fontId="40" fillId="24" borderId="0" xfId="0" applyNumberFormat="1" applyFont="1" applyFill="1" applyBorder="1" applyAlignment="1">
      <alignment horizontal="right"/>
    </xf>
    <xf numFmtId="38" fontId="40" fillId="24" borderId="0" xfId="0" applyNumberFormat="1" applyFont="1" applyFill="1" applyBorder="1" applyAlignment="1">
      <alignment horizontal="right"/>
    </xf>
    <xf numFmtId="6" fontId="40" fillId="24" borderId="0" xfId="0" applyNumberFormat="1" applyFont="1" applyFill="1" applyBorder="1" applyAlignment="1">
      <alignment horizontal="right"/>
    </xf>
    <xf numFmtId="0" fontId="40" fillId="24" borderId="0" xfId="0" applyFont="1" applyFill="1" applyBorder="1"/>
    <xf numFmtId="0" fontId="41" fillId="24" borderId="0" xfId="0" applyFont="1" applyFill="1" applyBorder="1"/>
    <xf numFmtId="0" fontId="40" fillId="24" borderId="0" xfId="0" applyFont="1" applyFill="1" applyBorder="1" applyAlignment="1">
      <alignment horizontal="left" indent="2"/>
    </xf>
    <xf numFmtId="38" fontId="41" fillId="24" borderId="0" xfId="0" applyNumberFormat="1" applyFont="1" applyFill="1" applyBorder="1" applyAlignment="1">
      <alignment horizontal="right"/>
    </xf>
    <xf numFmtId="0" fontId="42" fillId="24" borderId="0" xfId="0" applyNumberFormat="1" applyFont="1" applyFill="1" applyBorder="1"/>
    <xf numFmtId="0" fontId="42" fillId="24" borderId="0" xfId="0" applyFont="1" applyFill="1" applyBorder="1"/>
    <xf numFmtId="0" fontId="42" fillId="24" borderId="0" xfId="0" applyFont="1" applyFill="1" applyBorder="1" applyAlignment="1">
      <alignment horizontal="left" indent="1"/>
    </xf>
    <xf numFmtId="0" fontId="40" fillId="24" borderId="0" xfId="0" quotePrefix="1" applyFont="1" applyFill="1" applyBorder="1" applyAlignment="1">
      <alignment horizontal="center"/>
    </xf>
    <xf numFmtId="6" fontId="40" fillId="24" borderId="0" xfId="0" applyNumberFormat="1" applyFont="1" applyFill="1" applyBorder="1"/>
    <xf numFmtId="6" fontId="40" fillId="24" borderId="0" xfId="0" quotePrefix="1" applyNumberFormat="1" applyFont="1" applyFill="1" applyBorder="1" applyAlignment="1">
      <alignment horizontal="center"/>
    </xf>
    <xf numFmtId="0" fontId="40" fillId="24" borderId="0" xfId="0" applyFont="1" applyFill="1" applyBorder="1" applyAlignment="1">
      <alignment horizontal="left"/>
    </xf>
    <xf numFmtId="38" fontId="40" fillId="24" borderId="0" xfId="0" applyNumberFormat="1" applyFont="1" applyFill="1" applyBorder="1" applyAlignment="1">
      <alignment horizontal="left"/>
    </xf>
    <xf numFmtId="0" fontId="40" fillId="24" borderId="0" xfId="0" quotePrefix="1" applyFont="1" applyFill="1" applyBorder="1"/>
    <xf numFmtId="38" fontId="23" fillId="24" borderId="0" xfId="0" applyNumberFormat="1" applyFont="1" applyFill="1" applyAlignment="1">
      <alignment horizontal="right" indent="1"/>
    </xf>
    <xf numFmtId="6" fontId="23" fillId="24" borderId="0" xfId="0" applyNumberFormat="1" applyFont="1" applyFill="1" applyAlignment="1">
      <alignment horizontal="right" indent="1"/>
    </xf>
    <xf numFmtId="3" fontId="1" fillId="24" borderId="0" xfId="0" applyNumberFormat="1" applyFont="1" applyFill="1" applyBorder="1"/>
    <xf numFmtId="0" fontId="23" fillId="24" borderId="0" xfId="0" quotePrefix="1" applyFont="1" applyFill="1" applyBorder="1" applyAlignment="1">
      <alignment horizontal="right"/>
    </xf>
    <xf numFmtId="37" fontId="23" fillId="24" borderId="0" xfId="0" applyNumberFormat="1" applyFont="1" applyFill="1" applyAlignment="1">
      <alignment horizontal="right" indent="1"/>
    </xf>
    <xf numFmtId="38" fontId="23" fillId="24" borderId="10" xfId="0" applyNumberFormat="1" applyFont="1" applyFill="1" applyBorder="1" applyAlignment="1">
      <alignment horizontal="right" indent="1"/>
    </xf>
    <xf numFmtId="15" fontId="23" fillId="24" borderId="0" xfId="0" quotePrefix="1" applyNumberFormat="1" applyFont="1" applyFill="1" applyBorder="1" applyAlignment="1">
      <alignment horizontal="center"/>
    </xf>
    <xf numFmtId="6" fontId="26" fillId="24" borderId="0" xfId="0" applyNumberFormat="1" applyFont="1" applyFill="1"/>
    <xf numFmtId="38" fontId="26" fillId="24" borderId="0" xfId="0" applyNumberFormat="1" applyFont="1" applyFill="1"/>
    <xf numFmtId="167" fontId="26" fillId="24" borderId="0" xfId="0" applyNumberFormat="1" applyFont="1" applyFill="1" applyBorder="1" applyAlignment="1">
      <alignment horizontal="right"/>
    </xf>
    <xf numFmtId="174" fontId="23" fillId="24" borderId="0" xfId="29" applyNumberFormat="1" applyFont="1" applyFill="1" applyBorder="1" applyAlignment="1">
      <alignment horizontal="center"/>
    </xf>
    <xf numFmtId="175" fontId="23" fillId="24" borderId="0" xfId="29" applyNumberFormat="1" applyFont="1" applyFill="1" applyBorder="1" applyAlignment="1">
      <alignment horizontal="center"/>
    </xf>
    <xf numFmtId="176" fontId="23" fillId="24" borderId="0" xfId="29" applyNumberFormat="1" applyFont="1" applyFill="1" applyBorder="1" applyAlignment="1">
      <alignment horizontal="center"/>
    </xf>
    <xf numFmtId="0" fontId="23" fillId="24" borderId="0" xfId="0" applyFont="1" applyFill="1" applyAlignment="1">
      <alignment horizontal="left" indent="4"/>
    </xf>
    <xf numFmtId="6" fontId="1" fillId="24" borderId="10" xfId="0" applyNumberFormat="1" applyFont="1" applyFill="1" applyBorder="1"/>
    <xf numFmtId="0" fontId="37" fillId="24" borderId="0" xfId="0" quotePrefix="1" applyFont="1" applyFill="1"/>
    <xf numFmtId="0" fontId="37" fillId="24" borderId="0" xfId="0" applyNumberFormat="1" applyFont="1" applyFill="1"/>
    <xf numFmtId="0" fontId="44" fillId="24" borderId="0" xfId="0" applyFont="1" applyFill="1"/>
    <xf numFmtId="0" fontId="1" fillId="24" borderId="0" xfId="0" applyFont="1" applyFill="1" applyAlignment="1">
      <alignment horizontal="left" indent="1"/>
    </xf>
    <xf numFmtId="49" fontId="23" fillId="24" borderId="0" xfId="0" applyNumberFormat="1" applyFont="1" applyFill="1" applyAlignment="1">
      <alignment horizontal="right"/>
    </xf>
    <xf numFmtId="0" fontId="23" fillId="24" borderId="0" xfId="0" applyFont="1" applyFill="1" applyAlignment="1">
      <alignment horizontal="left" indent="6"/>
    </xf>
    <xf numFmtId="0" fontId="23" fillId="24" borderId="0" xfId="0" applyFont="1" applyFill="1" applyAlignment="1">
      <alignment horizontal="left" indent="9"/>
    </xf>
    <xf numFmtId="166" fontId="23" fillId="24" borderId="0" xfId="29" applyNumberFormat="1" applyFont="1" applyFill="1" applyBorder="1" applyAlignment="1">
      <alignment horizontal="center" vertical="center"/>
    </xf>
    <xf numFmtId="49" fontId="26" fillId="24" borderId="10" xfId="0" quotePrefix="1" applyNumberFormat="1" applyFont="1" applyFill="1" applyBorder="1" applyAlignment="1">
      <alignment horizontal="center" vertical="top"/>
    </xf>
    <xf numFmtId="49" fontId="26" fillId="24" borderId="0" xfId="0" applyNumberFormat="1" applyFont="1" applyFill="1" applyAlignment="1">
      <alignment horizontal="center" vertical="top"/>
    </xf>
    <xf numFmtId="177" fontId="23" fillId="24" borderId="10" xfId="29" applyNumberFormat="1" applyFont="1" applyFill="1" applyBorder="1" applyAlignment="1">
      <alignment horizontal="center"/>
    </xf>
    <xf numFmtId="37" fontId="26" fillId="24" borderId="0" xfId="0" applyNumberFormat="1" applyFont="1" applyFill="1" applyBorder="1"/>
    <xf numFmtId="37" fontId="26" fillId="24" borderId="0" xfId="0" applyNumberFormat="1" applyFont="1" applyFill="1"/>
    <xf numFmtId="0" fontId="26" fillId="24" borderId="0" xfId="0" applyFont="1" applyFill="1" applyBorder="1" applyAlignment="1">
      <alignment horizontal="center"/>
    </xf>
    <xf numFmtId="0" fontId="26" fillId="24" borderId="10" xfId="0" applyFont="1" applyFill="1" applyBorder="1" applyAlignment="1">
      <alignment horizontal="center"/>
    </xf>
    <xf numFmtId="0" fontId="26" fillId="24" borderId="0" xfId="0" applyFont="1" applyFill="1" applyAlignment="1">
      <alignment horizontal="left" indent="2"/>
    </xf>
    <xf numFmtId="167" fontId="23" fillId="24" borderId="0" xfId="0" applyNumberFormat="1" applyFont="1" applyFill="1"/>
    <xf numFmtId="178" fontId="23" fillId="24" borderId="10" xfId="29" applyNumberFormat="1" applyFont="1" applyFill="1" applyBorder="1" applyAlignment="1">
      <alignment horizontal="center" vertical="center"/>
    </xf>
    <xf numFmtId="0" fontId="26" fillId="24" borderId="0" xfId="0" quotePrefix="1" applyFont="1" applyFill="1"/>
    <xf numFmtId="0" fontId="23" fillId="24" borderId="0" xfId="0" applyFont="1" applyFill="1" applyAlignment="1">
      <alignment horizontal="left" indent="12"/>
    </xf>
    <xf numFmtId="0" fontId="23" fillId="24" borderId="0" xfId="0" applyFont="1" applyFill="1" applyBorder="1" applyAlignment="1">
      <alignment horizontal="left" indent="4"/>
    </xf>
    <xf numFmtId="0" fontId="1" fillId="24" borderId="0" xfId="0" applyFont="1" applyFill="1" applyAlignment="1">
      <alignment horizontal="left" indent="2"/>
    </xf>
    <xf numFmtId="0" fontId="34" fillId="24" borderId="0" xfId="0" applyNumberFormat="1" applyFont="1" applyFill="1"/>
    <xf numFmtId="0" fontId="44" fillId="24" borderId="0" xfId="0" applyFont="1" applyFill="1" applyAlignment="1">
      <alignment horizontal="right"/>
    </xf>
    <xf numFmtId="179" fontId="23" fillId="24" borderId="0" xfId="29" applyNumberFormat="1" applyFont="1" applyFill="1" applyBorder="1" applyAlignment="1">
      <alignment horizontal="center"/>
    </xf>
    <xf numFmtId="180" fontId="23" fillId="24" borderId="0" xfId="29" applyNumberFormat="1" applyFont="1" applyFill="1" applyBorder="1" applyAlignment="1">
      <alignment horizontal="center"/>
    </xf>
    <xf numFmtId="180" fontId="23" fillId="24" borderId="0" xfId="29" applyNumberFormat="1" applyFont="1" applyFill="1" applyBorder="1" applyAlignment="1">
      <alignment horizontal="right"/>
    </xf>
    <xf numFmtId="176" fontId="23" fillId="24" borderId="0" xfId="29" applyNumberFormat="1" applyFont="1" applyFill="1" applyBorder="1" applyAlignment="1">
      <alignment horizontal="right"/>
    </xf>
    <xf numFmtId="174" fontId="23" fillId="24" borderId="0" xfId="29" applyNumberFormat="1" applyFont="1" applyFill="1" applyBorder="1" applyAlignment="1">
      <alignment horizontal="right"/>
    </xf>
    <xf numFmtId="179" fontId="23" fillId="24" borderId="0" xfId="29" applyNumberFormat="1" applyFont="1" applyFill="1" applyBorder="1" applyAlignment="1">
      <alignment horizontal="right"/>
    </xf>
    <xf numFmtId="176" fontId="23" fillId="24" borderId="10" xfId="29" applyNumberFormat="1" applyFont="1" applyFill="1" applyBorder="1" applyAlignment="1">
      <alignment horizontal="right"/>
    </xf>
    <xf numFmtId="179" fontId="23" fillId="24" borderId="10" xfId="29" applyNumberFormat="1" applyFont="1" applyFill="1" applyBorder="1" applyAlignment="1">
      <alignment horizontal="right"/>
    </xf>
    <xf numFmtId="174" fontId="23" fillId="24" borderId="12" xfId="29" applyNumberFormat="1" applyFont="1" applyFill="1" applyBorder="1" applyAlignment="1">
      <alignment horizontal="right"/>
    </xf>
    <xf numFmtId="179" fontId="23" fillId="24" borderId="10" xfId="29" applyNumberFormat="1" applyFont="1" applyFill="1" applyBorder="1" applyAlignment="1">
      <alignment horizontal="center"/>
    </xf>
    <xf numFmtId="176" fontId="23" fillId="24" borderId="10" xfId="29" applyNumberFormat="1" applyFont="1" applyFill="1" applyBorder="1" applyAlignment="1">
      <alignment horizontal="center"/>
    </xf>
    <xf numFmtId="181" fontId="23" fillId="24" borderId="10" xfId="29" applyNumberFormat="1" applyFont="1" applyFill="1" applyBorder="1" applyAlignment="1">
      <alignment horizontal="center"/>
    </xf>
    <xf numFmtId="174" fontId="23" fillId="24" borderId="12" xfId="29" applyNumberFormat="1" applyFont="1" applyFill="1" applyBorder="1" applyAlignment="1">
      <alignment horizontal="center"/>
    </xf>
    <xf numFmtId="185" fontId="23" fillId="24" borderId="0" xfId="29" applyNumberFormat="1" applyFont="1" applyFill="1" applyBorder="1" applyAlignment="1">
      <alignment horizontal="right"/>
    </xf>
    <xf numFmtId="186" fontId="23" fillId="24" borderId="0" xfId="29" applyNumberFormat="1" applyFont="1" applyFill="1" applyBorder="1" applyAlignment="1">
      <alignment horizontal="right"/>
    </xf>
    <xf numFmtId="183" fontId="23" fillId="24" borderId="0" xfId="29" applyNumberFormat="1" applyFont="1" applyFill="1" applyBorder="1" applyAlignment="1">
      <alignment horizontal="right"/>
    </xf>
    <xf numFmtId="184" fontId="23" fillId="24" borderId="0" xfId="29" applyNumberFormat="1" applyFont="1" applyFill="1" applyBorder="1" applyAlignment="1">
      <alignment horizontal="right"/>
    </xf>
    <xf numFmtId="182" fontId="23" fillId="24" borderId="0" xfId="29" applyNumberFormat="1" applyFont="1" applyFill="1" applyBorder="1" applyAlignment="1">
      <alignment horizontal="right"/>
    </xf>
    <xf numFmtId="184" fontId="23" fillId="24" borderId="10" xfId="29" applyNumberFormat="1" applyFont="1" applyFill="1" applyBorder="1" applyAlignment="1">
      <alignment horizontal="right"/>
    </xf>
    <xf numFmtId="186" fontId="23" fillId="24" borderId="10" xfId="29" applyNumberFormat="1" applyFont="1" applyFill="1" applyBorder="1" applyAlignment="1">
      <alignment horizontal="right"/>
    </xf>
    <xf numFmtId="187" fontId="23" fillId="24" borderId="10" xfId="29" applyNumberFormat="1" applyFont="1" applyFill="1" applyBorder="1" applyAlignment="1">
      <alignment horizontal="right"/>
    </xf>
    <xf numFmtId="182" fontId="23" fillId="24" borderId="12" xfId="29" applyNumberFormat="1" applyFont="1" applyFill="1" applyBorder="1" applyAlignment="1">
      <alignment horizontal="right"/>
    </xf>
    <xf numFmtId="14" fontId="1" fillId="24" borderId="0" xfId="0" applyNumberFormat="1" applyFont="1" applyFill="1" applyBorder="1"/>
    <xf numFmtId="0" fontId="1" fillId="24" borderId="0" xfId="0" applyFont="1" applyFill="1" applyBorder="1" applyAlignment="1">
      <alignment horizontal="center"/>
    </xf>
    <xf numFmtId="3" fontId="23" fillId="24" borderId="0" xfId="0" applyNumberFormat="1" applyFont="1" applyFill="1" applyBorder="1" applyAlignment="1"/>
    <xf numFmtId="37" fontId="46" fillId="24" borderId="0" xfId="0" applyNumberFormat="1" applyFont="1" applyFill="1" applyBorder="1" applyAlignment="1">
      <alignment horizontal="right"/>
    </xf>
    <xf numFmtId="37" fontId="45" fillId="24" borderId="0" xfId="0" applyNumberFormat="1" applyFont="1" applyFill="1" applyBorder="1" applyAlignment="1">
      <alignment horizontal="center"/>
    </xf>
    <xf numFmtId="37" fontId="46" fillId="24" borderId="0" xfId="0" applyNumberFormat="1" applyFont="1" applyFill="1" applyBorder="1" applyAlignment="1">
      <alignment horizontal="center"/>
    </xf>
    <xf numFmtId="49" fontId="44" fillId="24" borderId="0" xfId="0" applyNumberFormat="1" applyFont="1" applyFill="1" applyAlignment="1">
      <alignment horizontal="right"/>
    </xf>
    <xf numFmtId="0" fontId="23" fillId="24" borderId="0" xfId="0" applyNumberFormat="1" applyFont="1" applyFill="1" applyAlignment="1"/>
    <xf numFmtId="0" fontId="23" fillId="24" borderId="0" xfId="0" quotePrefix="1" applyNumberFormat="1" applyFont="1" applyFill="1" applyAlignment="1"/>
    <xf numFmtId="0" fontId="36" fillId="24" borderId="0" xfId="0" applyFont="1" applyFill="1"/>
    <xf numFmtId="0" fontId="26" fillId="24" borderId="0" xfId="0" quotePrefix="1" applyFont="1" applyFill="1" applyAlignment="1">
      <alignment horizontal="center"/>
    </xf>
    <xf numFmtId="37" fontId="46" fillId="24" borderId="0" xfId="0" applyNumberFormat="1" applyFont="1" applyFill="1" applyBorder="1" applyAlignment="1">
      <alignment horizontal="left"/>
    </xf>
    <xf numFmtId="0" fontId="48" fillId="24" borderId="0" xfId="0" applyFont="1" applyFill="1" applyBorder="1"/>
    <xf numFmtId="0" fontId="44" fillId="24" borderId="0" xfId="0" applyNumberFormat="1" applyFont="1" applyFill="1"/>
    <xf numFmtId="0" fontId="23" fillId="24" borderId="0" xfId="0" applyNumberFormat="1" applyFont="1" applyFill="1" applyAlignment="1">
      <alignment horizontal="right"/>
    </xf>
    <xf numFmtId="0" fontId="0" fillId="24" borderId="0" xfId="0" applyNumberFormat="1" applyFill="1"/>
    <xf numFmtId="0" fontId="23" fillId="24" borderId="0" xfId="0" applyNumberFormat="1" applyFont="1" applyFill="1" applyAlignment="1">
      <alignment horizontal="left" indent="1"/>
    </xf>
    <xf numFmtId="167" fontId="23" fillId="24" borderId="0" xfId="0" applyNumberFormat="1" applyFont="1" applyFill="1" applyAlignment="1">
      <alignment horizontal="right"/>
    </xf>
    <xf numFmtId="189" fontId="23" fillId="24" borderId="0" xfId="0" applyNumberFormat="1" applyFont="1" applyFill="1" applyAlignment="1">
      <alignment horizontal="left"/>
    </xf>
    <xf numFmtId="6" fontId="23" fillId="0" borderId="0" xfId="0" applyNumberFormat="1" applyFont="1" applyFill="1" applyAlignment="1">
      <alignment horizontal="left"/>
    </xf>
    <xf numFmtId="0" fontId="27" fillId="0" borderId="0" xfId="0" applyFont="1"/>
    <xf numFmtId="0" fontId="33" fillId="0" borderId="0" xfId="0" applyFont="1"/>
    <xf numFmtId="0" fontId="23" fillId="24" borderId="0" xfId="0" applyFont="1" applyFill="1" applyAlignment="1">
      <alignment horizontal="centerContinuous"/>
    </xf>
    <xf numFmtId="38" fontId="23" fillId="24" borderId="13" xfId="0" applyNumberFormat="1" applyFont="1" applyFill="1" applyBorder="1" applyAlignment="1">
      <alignment horizontal="right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left" indent="2"/>
    </xf>
    <xf numFmtId="194" fontId="50" fillId="24" borderId="0" xfId="0" applyNumberFormat="1" applyFont="1" applyFill="1" applyBorder="1"/>
    <xf numFmtId="195" fontId="51" fillId="24" borderId="0" xfId="0" applyNumberFormat="1" applyFont="1" applyFill="1" applyBorder="1" applyAlignment="1">
      <alignment horizontal="right"/>
    </xf>
    <xf numFmtId="196" fontId="50" fillId="24" borderId="0" xfId="0" applyNumberFormat="1" applyFont="1" applyFill="1" applyBorder="1"/>
    <xf numFmtId="197" fontId="50" fillId="24" borderId="0" xfId="0" applyNumberFormat="1" applyFont="1" applyFill="1" applyBorder="1" applyAlignment="1">
      <alignment horizontal="right"/>
    </xf>
    <xf numFmtId="198" fontId="50" fillId="24" borderId="0" xfId="0" applyNumberFormat="1" applyFont="1" applyFill="1" applyBorder="1"/>
    <xf numFmtId="195" fontId="51" fillId="24" borderId="0" xfId="0" applyNumberFormat="1" applyFont="1" applyFill="1" applyBorder="1"/>
    <xf numFmtId="0" fontId="26" fillId="0" borderId="0" xfId="0" applyFont="1"/>
    <xf numFmtId="0" fontId="37" fillId="0" borderId="0" xfId="0" applyFont="1" applyAlignment="1">
      <alignment horizontal="left" indent="2"/>
    </xf>
    <xf numFmtId="0" fontId="37" fillId="0" borderId="0" xfId="0" applyFont="1"/>
    <xf numFmtId="192" fontId="23" fillId="0" borderId="0" xfId="0" applyNumberFormat="1" applyFont="1" applyAlignment="1">
      <alignment horizontal="left" indent="2"/>
    </xf>
    <xf numFmtId="0" fontId="37" fillId="0" borderId="0" xfId="0" applyFont="1" applyAlignment="1">
      <alignment horizontal="right"/>
    </xf>
    <xf numFmtId="0" fontId="23" fillId="0" borderId="0" xfId="0" quotePrefix="1" applyFont="1" applyAlignment="1">
      <alignment horizontal="right"/>
    </xf>
    <xf numFmtId="192" fontId="23" fillId="0" borderId="0" xfId="0" quotePrefix="1" applyNumberFormat="1" applyFont="1" applyAlignment="1">
      <alignment horizontal="right"/>
    </xf>
    <xf numFmtId="0" fontId="52" fillId="0" borderId="0" xfId="0" applyFont="1" applyFill="1"/>
    <xf numFmtId="0" fontId="27" fillId="0" borderId="0" xfId="0" applyFont="1" applyFill="1"/>
    <xf numFmtId="0" fontId="1" fillId="0" borderId="0" xfId="0" applyFont="1" applyFill="1"/>
    <xf numFmtId="199" fontId="23" fillId="24" borderId="0" xfId="29" applyNumberFormat="1" applyFont="1" applyFill="1" applyBorder="1" applyAlignment="1">
      <alignment horizontal="right"/>
    </xf>
    <xf numFmtId="0" fontId="0" fillId="0" borderId="0" xfId="0" applyFill="1"/>
    <xf numFmtId="0" fontId="37" fillId="0" borderId="0" xfId="0" applyFont="1" applyAlignment="1">
      <alignment horizontal="center"/>
    </xf>
    <xf numFmtId="0" fontId="37" fillId="0" borderId="0" xfId="0" quotePrefix="1" applyFont="1" applyAlignment="1">
      <alignment horizontal="center"/>
    </xf>
    <xf numFmtId="200" fontId="23" fillId="24" borderId="12" xfId="0" applyNumberFormat="1" applyFont="1" applyFill="1" applyBorder="1"/>
    <xf numFmtId="200" fontId="23" fillId="24" borderId="0" xfId="0" applyNumberFormat="1" applyFont="1" applyFill="1"/>
    <xf numFmtId="201" fontId="23" fillId="24" borderId="0" xfId="0" applyNumberFormat="1" applyFont="1" applyFill="1" applyBorder="1" applyAlignment="1">
      <alignment horizontal="right"/>
    </xf>
    <xf numFmtId="199" fontId="23" fillId="24" borderId="0" xfId="0" applyNumberFormat="1" applyFont="1" applyFill="1" applyBorder="1"/>
    <xf numFmtId="199" fontId="23" fillId="24" borderId="12" xfId="0" applyNumberFormat="1" applyFont="1" applyFill="1" applyBorder="1"/>
    <xf numFmtId="200" fontId="23" fillId="24" borderId="0" xfId="0" applyNumberFormat="1" applyFont="1" applyFill="1" applyAlignment="1">
      <alignment horizontal="right"/>
    </xf>
    <xf numFmtId="200" fontId="23" fillId="24" borderId="12" xfId="0" applyNumberFormat="1" applyFont="1" applyFill="1" applyBorder="1" applyAlignment="1">
      <alignment horizontal="right"/>
    </xf>
    <xf numFmtId="202" fontId="23" fillId="24" borderId="0" xfId="0" applyNumberFormat="1" applyFont="1" applyFill="1" applyAlignment="1">
      <alignment horizontal="right" indent="1"/>
    </xf>
    <xf numFmtId="200" fontId="23" fillId="24" borderId="0" xfId="0" applyNumberFormat="1" applyFont="1" applyFill="1" applyBorder="1"/>
    <xf numFmtId="201" fontId="26" fillId="24" borderId="12" xfId="29" applyNumberFormat="1" applyFont="1" applyFill="1" applyBorder="1" applyAlignment="1">
      <alignment horizontal="right"/>
    </xf>
    <xf numFmtId="179" fontId="26" fillId="24" borderId="0" xfId="29" applyNumberFormat="1" applyFont="1" applyFill="1" applyBorder="1" applyAlignment="1">
      <alignment horizontal="right"/>
    </xf>
    <xf numFmtId="199" fontId="26" fillId="24" borderId="0" xfId="29" applyNumberFormat="1" applyFont="1" applyFill="1" applyBorder="1" applyAlignment="1">
      <alignment horizontal="right"/>
    </xf>
    <xf numFmtId="202" fontId="23" fillId="24" borderId="12" xfId="0" applyNumberFormat="1" applyFont="1" applyFill="1" applyBorder="1"/>
    <xf numFmtId="200" fontId="23" fillId="24" borderId="0" xfId="0" applyNumberFormat="1" applyFont="1" applyFill="1" applyBorder="1" applyAlignment="1">
      <alignment horizontal="right"/>
    </xf>
    <xf numFmtId="199" fontId="26" fillId="24" borderId="0" xfId="0" applyNumberFormat="1" applyFont="1" applyFill="1" applyBorder="1"/>
    <xf numFmtId="199" fontId="26" fillId="24" borderId="0" xfId="0" applyNumberFormat="1" applyFont="1" applyFill="1"/>
    <xf numFmtId="201" fontId="26" fillId="24" borderId="12" xfId="0" applyNumberFormat="1" applyFont="1" applyFill="1" applyBorder="1" applyAlignment="1">
      <alignment horizontal="right"/>
    </xf>
    <xf numFmtId="203" fontId="23" fillId="24" borderId="0" xfId="0" applyNumberFormat="1" applyFont="1" applyFill="1" applyBorder="1" applyAlignment="1">
      <alignment horizontal="right"/>
    </xf>
    <xf numFmtId="203" fontId="23" fillId="24" borderId="11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 indent="4"/>
    </xf>
    <xf numFmtId="0" fontId="44" fillId="0" borderId="0" xfId="0" applyFont="1" applyFill="1"/>
    <xf numFmtId="0" fontId="23" fillId="0" borderId="0" xfId="0" applyNumberFormat="1" applyFont="1" applyFill="1"/>
    <xf numFmtId="0" fontId="23" fillId="0" borderId="0" xfId="0" applyFont="1" applyAlignment="1">
      <alignment horizontal="left"/>
    </xf>
    <xf numFmtId="0" fontId="23" fillId="25" borderId="0" xfId="0" applyFont="1" applyFill="1" applyBorder="1" applyAlignment="1">
      <alignment horizontal="centerContinuous"/>
    </xf>
    <xf numFmtId="0" fontId="23" fillId="25" borderId="13" xfId="0" applyFont="1" applyFill="1" applyBorder="1" applyAlignment="1">
      <alignment horizontal="centerContinuous"/>
    </xf>
    <xf numFmtId="0" fontId="0" fillId="25" borderId="13" xfId="0" applyFill="1" applyBorder="1" applyAlignment="1">
      <alignment horizontal="centerContinuous"/>
    </xf>
    <xf numFmtId="0" fontId="0" fillId="25" borderId="0" xfId="0" applyFill="1" applyBorder="1" applyAlignment="1">
      <alignment horizontal="centerContinuous"/>
    </xf>
    <xf numFmtId="0" fontId="23" fillId="25" borderId="10" xfId="0" applyFont="1" applyFill="1" applyBorder="1" applyAlignment="1">
      <alignment horizontal="centerContinuous"/>
    </xf>
    <xf numFmtId="0" fontId="0" fillId="25" borderId="10" xfId="0" applyFill="1" applyBorder="1" applyAlignment="1">
      <alignment horizontal="centerContinuous"/>
    </xf>
    <xf numFmtId="204" fontId="23" fillId="24" borderId="0" xfId="0" applyNumberFormat="1" applyFont="1" applyFill="1" applyBorder="1" applyAlignment="1">
      <alignment horizontal="right"/>
    </xf>
    <xf numFmtId="6" fontId="23" fillId="24" borderId="11" xfId="0" applyNumberFormat="1" applyFont="1" applyFill="1" applyBorder="1" applyAlignment="1">
      <alignment horizontal="left"/>
    </xf>
    <xf numFmtId="6" fontId="23" fillId="24" borderId="11" xfId="0" applyNumberFormat="1" applyFont="1" applyFill="1" applyBorder="1" applyAlignment="1">
      <alignment horizontal="center"/>
    </xf>
    <xf numFmtId="39" fontId="23" fillId="24" borderId="11" xfId="29" applyNumberFormat="1" applyFont="1" applyFill="1" applyBorder="1" applyAlignment="1">
      <alignment horizontal="left" vertical="center"/>
    </xf>
    <xf numFmtId="205" fontId="23" fillId="24" borderId="0" xfId="29" applyNumberFormat="1" applyFont="1" applyFill="1" applyBorder="1" applyAlignment="1">
      <alignment horizontal="right"/>
    </xf>
    <xf numFmtId="6" fontId="26" fillId="24" borderId="11" xfId="0" applyNumberFormat="1" applyFont="1" applyFill="1" applyBorder="1"/>
    <xf numFmtId="201" fontId="23" fillId="24" borderId="12" xfId="0" applyNumberFormat="1" applyFont="1" applyFill="1" applyBorder="1" applyAlignment="1">
      <alignment horizontal="right"/>
    </xf>
    <xf numFmtId="0" fontId="24" fillId="24" borderId="0" xfId="0" applyFont="1" applyFill="1" applyAlignment="1"/>
    <xf numFmtId="189" fontId="23" fillId="24" borderId="11" xfId="0" applyNumberFormat="1" applyFont="1" applyFill="1" applyBorder="1" applyAlignment="1">
      <alignment horizontal="left"/>
    </xf>
    <xf numFmtId="190" fontId="23" fillId="24" borderId="11" xfId="0" applyNumberFormat="1" applyFont="1" applyFill="1" applyBorder="1" applyAlignment="1">
      <alignment horizontal="left"/>
    </xf>
    <xf numFmtId="0" fontId="23" fillId="0" borderId="0" xfId="0" quotePrefix="1" applyNumberFormat="1" applyFont="1" applyFill="1" applyAlignment="1"/>
    <xf numFmtId="0" fontId="23" fillId="0" borderId="0" xfId="0" applyNumberFormat="1" applyFont="1" applyFill="1" applyAlignment="1"/>
    <xf numFmtId="206" fontId="23" fillId="24" borderId="0" xfId="29" applyNumberFormat="1" applyFont="1" applyFill="1" applyBorder="1" applyAlignment="1">
      <alignment horizontal="right"/>
    </xf>
    <xf numFmtId="206" fontId="23" fillId="24" borderId="0" xfId="0" applyNumberFormat="1" applyFont="1" applyFill="1" applyBorder="1" applyAlignment="1">
      <alignment horizontal="right"/>
    </xf>
    <xf numFmtId="193" fontId="23" fillId="24" borderId="0" xfId="0" applyNumberFormat="1" applyFont="1" applyFill="1" applyBorder="1"/>
    <xf numFmtId="207" fontId="23" fillId="24" borderId="0" xfId="0" applyNumberFormat="1" applyFont="1" applyFill="1" applyBorder="1"/>
    <xf numFmtId="207" fontId="23" fillId="24" borderId="10" xfId="0" applyNumberFormat="1" applyFont="1" applyFill="1" applyBorder="1"/>
    <xf numFmtId="193" fontId="23" fillId="24" borderId="0" xfId="0" applyNumberFormat="1" applyFont="1" applyFill="1"/>
    <xf numFmtId="208" fontId="23" fillId="24" borderId="12" xfId="0" applyNumberFormat="1" applyFont="1" applyFill="1" applyBorder="1" applyAlignment="1">
      <alignment horizontal="right"/>
    </xf>
    <xf numFmtId="209" fontId="23" fillId="24" borderId="0" xfId="0" applyNumberFormat="1" applyFont="1" applyFill="1" applyBorder="1" applyAlignment="1">
      <alignment horizontal="right"/>
    </xf>
    <xf numFmtId="208" fontId="23" fillId="24" borderId="11" xfId="0" applyNumberFormat="1" applyFont="1" applyFill="1" applyBorder="1" applyAlignment="1">
      <alignment horizontal="right"/>
    </xf>
    <xf numFmtId="210" fontId="23" fillId="24" borderId="10" xfId="29" applyNumberFormat="1" applyFont="1" applyFill="1" applyBorder="1" applyAlignment="1">
      <alignment horizontal="right"/>
    </xf>
    <xf numFmtId="0" fontId="23" fillId="0" borderId="0" xfId="0" applyFont="1" applyFill="1" applyBorder="1" applyAlignment="1">
      <alignment horizontal="center"/>
    </xf>
    <xf numFmtId="15" fontId="23" fillId="0" borderId="0" xfId="0" quotePrefix="1" applyNumberFormat="1" applyFont="1" applyFill="1" applyBorder="1" applyAlignment="1">
      <alignment horizontal="center"/>
    </xf>
    <xf numFmtId="0" fontId="33" fillId="0" borderId="0" xfId="0" applyFont="1" applyBorder="1"/>
    <xf numFmtId="0" fontId="37" fillId="0" borderId="0" xfId="0" applyFont="1" applyBorder="1"/>
    <xf numFmtId="15" fontId="23" fillId="0" borderId="0" xfId="0" applyNumberFormat="1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23" fillId="0" borderId="0" xfId="0" applyFont="1" applyFill="1" applyBorder="1"/>
    <xf numFmtId="211" fontId="23" fillId="24" borderId="12" xfId="29" applyNumberFormat="1" applyFont="1" applyFill="1" applyBorder="1" applyAlignment="1">
      <alignment horizontal="right"/>
    </xf>
    <xf numFmtId="211" fontId="23" fillId="24" borderId="0" xfId="29" applyNumberFormat="1" applyFont="1" applyFill="1" applyBorder="1" applyAlignment="1">
      <alignment horizontal="right"/>
    </xf>
    <xf numFmtId="0" fontId="53" fillId="24" borderId="0" xfId="0" applyFont="1" applyFill="1"/>
    <xf numFmtId="0" fontId="48" fillId="24" borderId="0" xfId="0" applyFont="1" applyFill="1"/>
    <xf numFmtId="0" fontId="48" fillId="24" borderId="0" xfId="0" applyFont="1" applyFill="1" applyBorder="1" applyAlignment="1">
      <alignment horizontal="center"/>
    </xf>
    <xf numFmtId="6" fontId="48" fillId="24" borderId="0" xfId="0" applyNumberFormat="1" applyFont="1" applyFill="1" applyBorder="1" applyAlignment="1">
      <alignment horizontal="center"/>
    </xf>
    <xf numFmtId="0" fontId="53" fillId="24" borderId="0" xfId="0" applyFont="1" applyFill="1" applyBorder="1"/>
    <xf numFmtId="0" fontId="53" fillId="0" borderId="0" xfId="0" applyFont="1"/>
    <xf numFmtId="0" fontId="48" fillId="0" borderId="0" xfId="0" applyFont="1"/>
    <xf numFmtId="0" fontId="47" fillId="24" borderId="0" xfId="0" applyFont="1" applyFill="1" applyBorder="1"/>
    <xf numFmtId="0" fontId="54" fillId="24" borderId="0" xfId="0" applyFont="1" applyFill="1" applyBorder="1"/>
    <xf numFmtId="0" fontId="57" fillId="24" borderId="0" xfId="0" applyFont="1" applyFill="1"/>
    <xf numFmtId="0" fontId="55" fillId="24" borderId="0" xfId="0" applyFont="1" applyFill="1"/>
    <xf numFmtId="6" fontId="48" fillId="24" borderId="0" xfId="0" applyNumberFormat="1" applyFont="1" applyFill="1" applyBorder="1"/>
    <xf numFmtId="199" fontId="48" fillId="24" borderId="0" xfId="0" applyNumberFormat="1" applyFont="1" applyFill="1" applyBorder="1"/>
    <xf numFmtId="37" fontId="48" fillId="24" borderId="0" xfId="0" applyNumberFormat="1" applyFont="1" applyFill="1" applyBorder="1"/>
    <xf numFmtId="38" fontId="48" fillId="24" borderId="0" xfId="0" applyNumberFormat="1" applyFont="1" applyFill="1" applyBorder="1"/>
    <xf numFmtId="201" fontId="48" fillId="24" borderId="0" xfId="0" applyNumberFormat="1" applyFont="1" applyFill="1" applyBorder="1" applyAlignment="1">
      <alignment horizontal="right"/>
    </xf>
    <xf numFmtId="6" fontId="48" fillId="24" borderId="0" xfId="0" applyNumberFormat="1" applyFont="1" applyFill="1" applyAlignment="1">
      <alignment horizontal="left"/>
    </xf>
    <xf numFmtId="0" fontId="53" fillId="24" borderId="0" xfId="0" applyFont="1" applyFill="1" applyBorder="1" applyAlignment="1">
      <alignment horizontal="center"/>
    </xf>
    <xf numFmtId="6" fontId="48" fillId="24" borderId="0" xfId="0" applyNumberFormat="1" applyFont="1" applyFill="1"/>
    <xf numFmtId="0" fontId="56" fillId="24" borderId="0" xfId="0" applyFont="1" applyFill="1" applyBorder="1" applyAlignment="1">
      <alignment horizontal="center"/>
    </xf>
    <xf numFmtId="167" fontId="48" fillId="24" borderId="0" xfId="0" applyNumberFormat="1" applyFont="1" applyFill="1" applyBorder="1" applyAlignment="1">
      <alignment horizontal="center"/>
    </xf>
    <xf numFmtId="0" fontId="48" fillId="24" borderId="0" xfId="0" applyFont="1" applyFill="1" applyBorder="1" applyAlignment="1"/>
    <xf numFmtId="0" fontId="46" fillId="24" borderId="0" xfId="0" applyFont="1" applyFill="1" applyAlignment="1">
      <alignment horizontal="center"/>
    </xf>
    <xf numFmtId="6" fontId="48" fillId="24" borderId="0" xfId="0" applyNumberFormat="1" applyFont="1" applyFill="1" applyAlignment="1"/>
    <xf numFmtId="6" fontId="48" fillId="24" borderId="0" xfId="0" applyNumberFormat="1" applyFont="1" applyFill="1" applyAlignment="1">
      <alignment horizontal="right"/>
    </xf>
    <xf numFmtId="38" fontId="48" fillId="24" borderId="0" xfId="0" applyNumberFormat="1" applyFont="1" applyFill="1"/>
    <xf numFmtId="0" fontId="53" fillId="0" borderId="0" xfId="0" applyFont="1" applyFill="1"/>
    <xf numFmtId="0" fontId="58" fillId="24" borderId="0" xfId="0" applyFont="1" applyFill="1"/>
    <xf numFmtId="0" fontId="1" fillId="24" borderId="0" xfId="0" applyFont="1" applyFill="1"/>
    <xf numFmtId="0" fontId="28" fillId="24" borderId="14" xfId="0" applyFont="1" applyFill="1" applyBorder="1" applyAlignment="1">
      <alignment horizontal="center" vertical="center"/>
    </xf>
    <xf numFmtId="0" fontId="28" fillId="24" borderId="13" xfId="0" applyFont="1" applyFill="1" applyBorder="1" applyAlignment="1">
      <alignment horizontal="center" vertical="center"/>
    </xf>
    <xf numFmtId="0" fontId="28" fillId="24" borderId="15" xfId="0" applyFont="1" applyFill="1" applyBorder="1" applyAlignment="1">
      <alignment horizontal="center" vertical="center"/>
    </xf>
    <xf numFmtId="0" fontId="28" fillId="24" borderId="16" xfId="0" applyFont="1" applyFill="1" applyBorder="1" applyAlignment="1">
      <alignment horizontal="center" vertical="center"/>
    </xf>
    <xf numFmtId="0" fontId="28" fillId="24" borderId="0" xfId="0" applyFont="1" applyFill="1" applyBorder="1" applyAlignment="1">
      <alignment horizontal="center" vertical="center"/>
    </xf>
    <xf numFmtId="0" fontId="28" fillId="24" borderId="17" xfId="0" applyFont="1" applyFill="1" applyBorder="1" applyAlignment="1">
      <alignment horizontal="center" vertical="center"/>
    </xf>
    <xf numFmtId="0" fontId="28" fillId="24" borderId="18" xfId="0" applyFont="1" applyFill="1" applyBorder="1" applyAlignment="1">
      <alignment horizontal="center" vertical="center"/>
    </xf>
    <xf numFmtId="0" fontId="28" fillId="24" borderId="10" xfId="0" applyFont="1" applyFill="1" applyBorder="1" applyAlignment="1">
      <alignment horizontal="center" vertical="center"/>
    </xf>
    <xf numFmtId="0" fontId="28" fillId="24" borderId="19" xfId="0" applyFont="1" applyFill="1" applyBorder="1" applyAlignment="1">
      <alignment horizontal="center" vertical="center"/>
    </xf>
    <xf numFmtId="0" fontId="29" fillId="24" borderId="16" xfId="0" applyFont="1" applyFill="1" applyBorder="1" applyAlignment="1">
      <alignment horizontal="left" vertical="center" wrapText="1" indent="1"/>
    </xf>
    <xf numFmtId="0" fontId="29" fillId="24" borderId="0" xfId="0" applyFont="1" applyFill="1" applyBorder="1" applyAlignment="1">
      <alignment horizontal="left" vertical="center" wrapText="1" indent="1"/>
    </xf>
    <xf numFmtId="0" fontId="24" fillId="24" borderId="0" xfId="0" applyFont="1" applyFill="1" applyBorder="1" applyAlignment="1">
      <alignment horizontal="center"/>
    </xf>
    <xf numFmtId="0" fontId="24" fillId="24" borderId="0" xfId="0" applyFont="1" applyFill="1" applyAlignment="1">
      <alignment horizontal="center"/>
    </xf>
    <xf numFmtId="0" fontId="23" fillId="24" borderId="0" xfId="0" applyFont="1" applyFill="1" applyAlignment="1">
      <alignment horizontal="right"/>
    </xf>
    <xf numFmtId="193" fontId="23" fillId="24" borderId="0" xfId="0" applyNumberFormat="1" applyFont="1" applyFill="1" applyAlignment="1">
      <alignment horizontal="right"/>
    </xf>
    <xf numFmtId="6" fontId="23" fillId="24" borderId="0" xfId="0" applyNumberFormat="1" applyFont="1" applyFill="1" applyAlignment="1">
      <alignment horizontal="left"/>
    </xf>
    <xf numFmtId="0" fontId="23" fillId="24" borderId="0" xfId="0" applyFont="1" applyFill="1" applyAlignment="1">
      <alignment horizontal="center"/>
    </xf>
    <xf numFmtId="0" fontId="23" fillId="24" borderId="0" xfId="0" applyFont="1" applyFill="1" applyBorder="1" applyAlignment="1">
      <alignment horizontal="center"/>
    </xf>
    <xf numFmtId="0" fontId="23" fillId="25" borderId="14" xfId="0" applyFont="1" applyFill="1" applyBorder="1" applyAlignment="1">
      <alignment horizontal="center"/>
    </xf>
    <xf numFmtId="0" fontId="23" fillId="25" borderId="13" xfId="0" applyFont="1" applyFill="1" applyBorder="1" applyAlignment="1">
      <alignment horizontal="center"/>
    </xf>
    <xf numFmtId="0" fontId="23" fillId="25" borderId="15" xfId="0" applyFont="1" applyFill="1" applyBorder="1" applyAlignment="1">
      <alignment horizontal="center"/>
    </xf>
    <xf numFmtId="0" fontId="23" fillId="25" borderId="16" xfId="0" applyFont="1" applyFill="1" applyBorder="1" applyAlignment="1">
      <alignment horizontal="center"/>
    </xf>
    <xf numFmtId="0" fontId="23" fillId="25" borderId="0" xfId="0" applyFont="1" applyFill="1" applyBorder="1" applyAlignment="1">
      <alignment horizontal="center"/>
    </xf>
    <xf numFmtId="0" fontId="23" fillId="25" borderId="17" xfId="0" applyFont="1" applyFill="1" applyBorder="1" applyAlignment="1">
      <alignment horizontal="center"/>
    </xf>
    <xf numFmtId="15" fontId="23" fillId="25" borderId="18" xfId="0" quotePrefix="1" applyNumberFormat="1" applyFont="1" applyFill="1" applyBorder="1" applyAlignment="1">
      <alignment horizontal="center"/>
    </xf>
    <xf numFmtId="15" fontId="23" fillId="25" borderId="10" xfId="0" quotePrefix="1" applyNumberFormat="1" applyFont="1" applyFill="1" applyBorder="1" applyAlignment="1">
      <alignment horizontal="center"/>
    </xf>
    <xf numFmtId="15" fontId="23" fillId="25" borderId="19" xfId="0" quotePrefix="1" applyNumberFormat="1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49" fontId="24" fillId="24" borderId="0" xfId="0" applyNumberFormat="1" applyFont="1" applyFill="1" applyAlignment="1">
      <alignment horizontal="center"/>
    </xf>
    <xf numFmtId="38" fontId="23" fillId="24" borderId="0" xfId="0" applyNumberFormat="1" applyFont="1" applyFill="1" applyAlignment="1">
      <alignment horizontal="right" indent="1"/>
    </xf>
    <xf numFmtId="6" fontId="23" fillId="24" borderId="0" xfId="0" applyNumberFormat="1" applyFont="1" applyFill="1" applyAlignment="1">
      <alignment horizontal="right" indent="1"/>
    </xf>
    <xf numFmtId="0" fontId="23" fillId="25" borderId="10" xfId="0" applyFont="1" applyFill="1" applyBorder="1" applyAlignment="1">
      <alignment horizontal="center"/>
    </xf>
    <xf numFmtId="0" fontId="23" fillId="24" borderId="0" xfId="0" applyFont="1" applyFill="1" applyAlignment="1">
      <alignment horizontal="left"/>
    </xf>
    <xf numFmtId="191" fontId="23" fillId="25" borderId="18" xfId="0" applyNumberFormat="1" applyFont="1" applyFill="1" applyBorder="1" applyAlignment="1">
      <alignment horizontal="center"/>
    </xf>
    <xf numFmtId="191" fontId="23" fillId="25" borderId="10" xfId="0" applyNumberFormat="1" applyFont="1" applyFill="1" applyBorder="1" applyAlignment="1">
      <alignment horizontal="center"/>
    </xf>
    <xf numFmtId="191" fontId="23" fillId="25" borderId="19" xfId="0" applyNumberFormat="1" applyFont="1" applyFill="1" applyBorder="1" applyAlignment="1">
      <alignment horizontal="center"/>
    </xf>
    <xf numFmtId="0" fontId="23" fillId="0" borderId="0" xfId="0" applyFont="1" applyFill="1" applyAlignment="1">
      <alignment horizontal="left"/>
    </xf>
    <xf numFmtId="0" fontId="23" fillId="25" borderId="0" xfId="0" applyFont="1" applyFill="1" applyAlignment="1">
      <alignment horizontal="center"/>
    </xf>
    <xf numFmtId="0" fontId="23" fillId="25" borderId="13" xfId="0" quotePrefix="1" applyFont="1" applyFill="1" applyBorder="1" applyAlignment="1">
      <alignment horizontal="center"/>
    </xf>
    <xf numFmtId="0" fontId="23" fillId="25" borderId="0" xfId="0" quotePrefix="1" applyFont="1" applyFill="1" applyAlignment="1">
      <alignment horizontal="center"/>
    </xf>
    <xf numFmtId="0" fontId="23" fillId="25" borderId="10" xfId="0" quotePrefix="1" applyFont="1" applyFill="1" applyBorder="1" applyAlignment="1">
      <alignment horizontal="center"/>
    </xf>
    <xf numFmtId="0" fontId="40" fillId="24" borderId="0" xfId="0" applyFont="1" applyFill="1" applyBorder="1" applyAlignment="1">
      <alignment horizontal="center"/>
    </xf>
    <xf numFmtId="0" fontId="23" fillId="24" borderId="13" xfId="0" applyFont="1" applyFill="1" applyBorder="1" applyAlignment="1">
      <alignment horizontal="center"/>
    </xf>
    <xf numFmtId="169" fontId="26" fillId="24" borderId="0" xfId="0" applyNumberFormat="1" applyFont="1" applyFill="1" applyAlignment="1">
      <alignment horizontal="right"/>
    </xf>
    <xf numFmtId="0" fontId="26" fillId="24" borderId="0" xfId="0" applyNumberFormat="1" applyFont="1" applyFill="1" applyAlignment="1">
      <alignment horizontal="right"/>
    </xf>
    <xf numFmtId="0" fontId="26" fillId="24" borderId="0" xfId="0" applyFont="1" applyFill="1" applyAlignment="1">
      <alignment horizontal="right"/>
    </xf>
    <xf numFmtId="6" fontId="23" fillId="24" borderId="0" xfId="0" applyNumberFormat="1" applyFont="1" applyFill="1" applyAlignment="1">
      <alignment horizontal="center"/>
    </xf>
    <xf numFmtId="0" fontId="23" fillId="24" borderId="0" xfId="0" quotePrefix="1" applyFont="1" applyFill="1" applyAlignment="1">
      <alignment horizontal="left"/>
    </xf>
    <xf numFmtId="6" fontId="23" fillId="24" borderId="0" xfId="0" applyNumberFormat="1" applyFont="1" applyFill="1" applyAlignment="1">
      <alignment horizontal="right"/>
    </xf>
    <xf numFmtId="6" fontId="0" fillId="0" borderId="0" xfId="0" applyNumberFormat="1" applyAlignment="1">
      <alignment horizontal="left"/>
    </xf>
    <xf numFmtId="6" fontId="23" fillId="24" borderId="0" xfId="0" applyNumberFormat="1" applyFont="1" applyFill="1"/>
    <xf numFmtId="0" fontId="23" fillId="24" borderId="0" xfId="0" quotePrefix="1" applyFont="1" applyFill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8" fontId="23" fillId="24" borderId="0" xfId="0" applyNumberFormat="1" applyFont="1" applyFill="1" applyAlignment="1">
      <alignment horizontal="right"/>
    </xf>
    <xf numFmtId="15" fontId="23" fillId="25" borderId="10" xfId="0" applyNumberFormat="1" applyFont="1" applyFill="1" applyBorder="1" applyAlignment="1">
      <alignment horizontal="center"/>
    </xf>
    <xf numFmtId="15" fontId="23" fillId="25" borderId="19" xfId="0" applyNumberFormat="1" applyFont="1" applyFill="1" applyBorder="1" applyAlignment="1">
      <alignment horizontal="center"/>
    </xf>
    <xf numFmtId="0" fontId="39" fillId="25" borderId="0" xfId="0" applyFont="1" applyFill="1" applyBorder="1" applyAlignment="1">
      <alignment horizontal="center"/>
    </xf>
    <xf numFmtId="0" fontId="39" fillId="25" borderId="10" xfId="0" applyFont="1" applyFill="1" applyBorder="1" applyAlignment="1">
      <alignment horizontal="center"/>
    </xf>
    <xf numFmtId="6" fontId="23" fillId="24" borderId="0" xfId="0" applyNumberFormat="1" applyFont="1" applyFill="1" applyBorder="1" applyAlignment="1">
      <alignment horizontal="center"/>
    </xf>
    <xf numFmtId="6" fontId="0" fillId="0" borderId="0" xfId="0" applyNumberFormat="1" applyAlignment="1">
      <alignment horizontal="right"/>
    </xf>
    <xf numFmtId="49" fontId="23" fillId="25" borderId="10" xfId="0" applyNumberFormat="1" applyFont="1" applyFill="1" applyBorder="1" applyAlignment="1">
      <alignment horizontal="center"/>
    </xf>
    <xf numFmtId="0" fontId="61" fillId="26" borderId="0" xfId="0" applyFont="1" applyFill="1" applyBorder="1"/>
    <xf numFmtId="0" fontId="61" fillId="26" borderId="0" xfId="0" applyFont="1" applyFill="1" applyBorder="1" applyAlignment="1">
      <alignment horizontal="center"/>
    </xf>
    <xf numFmtId="0" fontId="62" fillId="26" borderId="0" xfId="0" applyFont="1" applyFill="1" applyBorder="1" applyAlignment="1">
      <alignment horizontal="center"/>
    </xf>
    <xf numFmtId="37" fontId="59" fillId="26" borderId="0" xfId="0" applyNumberFormat="1" applyFont="1" applyFill="1" applyBorder="1" applyAlignment="1">
      <alignment horizontal="right"/>
    </xf>
    <xf numFmtId="0" fontId="62" fillId="26" borderId="0" xfId="0" applyFont="1" applyFill="1" applyBorder="1"/>
    <xf numFmtId="0" fontId="59" fillId="26" borderId="0" xfId="0" applyFont="1" applyFill="1" applyBorder="1"/>
    <xf numFmtId="0" fontId="60" fillId="26" borderId="0" xfId="0" applyFont="1" applyFill="1" applyBorder="1"/>
    <xf numFmtId="37" fontId="61" fillId="26" borderId="0" xfId="0" applyNumberFormat="1" applyFont="1" applyFill="1" applyBorder="1" applyAlignment="1">
      <alignment horizontal="center"/>
    </xf>
    <xf numFmtId="37" fontId="59" fillId="26" borderId="0" xfId="0" applyNumberFormat="1" applyFont="1" applyFill="1" applyBorder="1" applyAlignment="1">
      <alignment horizontal="center"/>
    </xf>
    <xf numFmtId="37" fontId="60" fillId="26" borderId="0" xfId="0" applyNumberFormat="1" applyFont="1" applyFill="1" applyBorder="1" applyAlignment="1">
      <alignment horizontal="center"/>
    </xf>
    <xf numFmtId="164" fontId="59" fillId="26" borderId="0" xfId="0" applyNumberFormat="1" applyFont="1" applyFill="1" applyBorder="1" applyAlignment="1">
      <alignment horizontal="center"/>
    </xf>
    <xf numFmtId="37" fontId="61" fillId="26" borderId="0" xfId="0" applyNumberFormat="1" applyFont="1" applyFill="1" applyBorder="1" applyAlignment="1">
      <alignment horizontal="right"/>
    </xf>
    <xf numFmtId="0" fontId="61" fillId="26" borderId="0" xfId="0" applyFont="1" applyFill="1" applyBorder="1" applyAlignment="1">
      <alignment horizontal="left"/>
    </xf>
    <xf numFmtId="164" fontId="59" fillId="26" borderId="0" xfId="0" applyNumberFormat="1" applyFont="1" applyFill="1" applyBorder="1" applyAlignment="1">
      <alignment horizontal="left"/>
    </xf>
    <xf numFmtId="164" fontId="59" fillId="26" borderId="0" xfId="0" applyNumberFormat="1" applyFont="1" applyFill="1" applyBorder="1" applyAlignment="1">
      <alignment horizontal="left" indent="2"/>
    </xf>
    <xf numFmtId="49" fontId="61" fillId="26" borderId="0" xfId="0" quotePrefix="1" applyNumberFormat="1" applyFont="1" applyFill="1" applyBorder="1" applyAlignment="1">
      <alignment horizontal="right" vertical="top" indent="2"/>
    </xf>
    <xf numFmtId="37" fontId="61" fillId="26" borderId="0" xfId="0" applyNumberFormat="1" applyFont="1" applyFill="1" applyBorder="1" applyAlignment="1">
      <alignment horizontal="right" indent="2"/>
    </xf>
    <xf numFmtId="37" fontId="60" fillId="26" borderId="0" xfId="0" applyNumberFormat="1" applyFont="1" applyFill="1" applyBorder="1" applyAlignment="1">
      <alignment horizontal="center"/>
    </xf>
    <xf numFmtId="37" fontId="63" fillId="26" borderId="0" xfId="0" applyNumberFormat="1" applyFont="1" applyFill="1" applyBorder="1" applyAlignment="1">
      <alignment horizontal="center"/>
    </xf>
    <xf numFmtId="164" fontId="64" fillId="26" borderId="0" xfId="0" applyNumberFormat="1" applyFont="1" applyFill="1" applyBorder="1" applyAlignment="1">
      <alignment horizontal="left"/>
    </xf>
    <xf numFmtId="0" fontId="61" fillId="26" borderId="0" xfId="0" applyNumberFormat="1" applyFont="1" applyFill="1" applyBorder="1"/>
    <xf numFmtId="37" fontId="59" fillId="26" borderId="0" xfId="0" applyNumberFormat="1" applyFont="1" applyFill="1" applyBorder="1" applyAlignment="1">
      <alignment horizontal="right" indent="2"/>
    </xf>
    <xf numFmtId="39" fontId="59" fillId="26" borderId="0" xfId="0" applyNumberFormat="1" applyFont="1" applyFill="1" applyBorder="1" applyAlignment="1">
      <alignment horizontal="center"/>
    </xf>
    <xf numFmtId="37" fontId="61" fillId="26" borderId="0" xfId="0" applyNumberFormat="1" applyFont="1" applyFill="1" applyBorder="1" applyAlignment="1">
      <alignment horizontal="right" indent="1"/>
    </xf>
    <xf numFmtId="0" fontId="59" fillId="24" borderId="0" xfId="0" applyFont="1" applyFill="1" applyBorder="1"/>
    <xf numFmtId="0" fontId="61" fillId="24" borderId="0" xfId="0" applyFont="1" applyFill="1" applyBorder="1"/>
    <xf numFmtId="49" fontId="61" fillId="24" borderId="0" xfId="0" quotePrefix="1" applyNumberFormat="1" applyFont="1" applyFill="1" applyBorder="1" applyAlignment="1">
      <alignment horizontal="right" vertical="top" indent="2"/>
    </xf>
    <xf numFmtId="37" fontId="59" fillId="24" borderId="0" xfId="0" applyNumberFormat="1" applyFont="1" applyFill="1" applyBorder="1" applyAlignment="1">
      <alignment horizontal="right"/>
    </xf>
    <xf numFmtId="37" fontId="61" fillId="24" borderId="0" xfId="0" applyNumberFormat="1" applyFont="1" applyFill="1" applyBorder="1" applyAlignment="1">
      <alignment horizontal="center"/>
    </xf>
    <xf numFmtId="164" fontId="59" fillId="24" borderId="0" xfId="0" applyNumberFormat="1" applyFont="1" applyFill="1" applyBorder="1" applyAlignment="1">
      <alignment horizontal="center"/>
    </xf>
    <xf numFmtId="37" fontId="59" fillId="24" borderId="0" xfId="0" applyNumberFormat="1" applyFont="1" applyFill="1" applyBorder="1" applyAlignment="1">
      <alignment horizontal="center"/>
    </xf>
    <xf numFmtId="0" fontId="65" fillId="26" borderId="0" xfId="0" applyFont="1" applyFill="1" applyBorder="1"/>
    <xf numFmtId="0" fontId="59" fillId="26" borderId="0" xfId="0" applyNumberFormat="1" applyFont="1" applyFill="1" applyBorder="1" applyAlignment="1">
      <alignment horizontal="center"/>
    </xf>
    <xf numFmtId="164" fontId="59" fillId="26" borderId="0" xfId="0" applyNumberFormat="1" applyFont="1" applyFill="1" applyBorder="1" applyAlignment="1">
      <alignment horizontal="center"/>
    </xf>
    <xf numFmtId="10" fontId="59" fillId="26" borderId="0" xfId="41" applyNumberFormat="1" applyFont="1" applyFill="1" applyBorder="1" applyAlignment="1">
      <alignment horizontal="center"/>
    </xf>
    <xf numFmtId="188" fontId="59" fillId="26" borderId="0" xfId="0" applyNumberFormat="1" applyFont="1" applyFill="1" applyBorder="1" applyAlignment="1">
      <alignment horizontal="center"/>
    </xf>
    <xf numFmtId="0" fontId="66" fillId="26" borderId="0" xfId="0" applyFont="1" applyFill="1" applyBorder="1"/>
    <xf numFmtId="9" fontId="59" fillId="26" borderId="0" xfId="41" applyFont="1" applyFill="1" applyBorder="1" applyAlignment="1">
      <alignment horizontal="center"/>
    </xf>
    <xf numFmtId="0" fontId="59" fillId="24" borderId="0" xfId="0" applyFont="1" applyFill="1"/>
    <xf numFmtId="0" fontId="61" fillId="24" borderId="0" xfId="0" applyFont="1" applyFill="1"/>
    <xf numFmtId="37" fontId="59" fillId="24" borderId="0" xfId="0" applyNumberFormat="1" applyFont="1" applyFill="1" applyBorder="1" applyAlignment="1">
      <alignment horizontal="left"/>
    </xf>
    <xf numFmtId="37" fontId="61" fillId="26" borderId="0" xfId="0" quotePrefix="1" applyNumberFormat="1" applyFont="1" applyFill="1" applyBorder="1" applyAlignment="1">
      <alignment horizontal="right" indent="2"/>
    </xf>
    <xf numFmtId="37" fontId="59" fillId="26" borderId="0" xfId="0" applyNumberFormat="1" applyFont="1" applyFill="1" applyBorder="1" applyAlignment="1">
      <alignment horizontal="right" indent="1"/>
    </xf>
    <xf numFmtId="37" fontId="59" fillId="26" borderId="0" xfId="0" quotePrefix="1" applyNumberFormat="1" applyFont="1" applyFill="1" applyBorder="1" applyAlignment="1">
      <alignment horizontal="right"/>
    </xf>
    <xf numFmtId="37" fontId="59" fillId="26" borderId="0" xfId="0" applyNumberFormat="1" applyFont="1" applyFill="1" applyBorder="1" applyAlignment="1">
      <alignment horizontal="left"/>
    </xf>
    <xf numFmtId="6" fontId="61" fillId="26" borderId="0" xfId="0" applyNumberFormat="1" applyFont="1" applyFill="1" applyBorder="1"/>
    <xf numFmtId="3" fontId="61" fillId="26" borderId="0" xfId="0" applyNumberFormat="1" applyFont="1" applyFill="1" applyBorder="1"/>
    <xf numFmtId="43" fontId="61" fillId="26" borderId="0" xfId="0" applyNumberFormat="1" applyFont="1" applyFill="1" applyBorder="1"/>
    <xf numFmtId="0" fontId="59" fillId="26" borderId="0" xfId="0" applyFont="1" applyFill="1" applyBorder="1" applyAlignment="1">
      <alignment horizontal="center"/>
    </xf>
    <xf numFmtId="37" fontId="59" fillId="26" borderId="0" xfId="0" quotePrefix="1" applyNumberFormat="1" applyFont="1" applyFill="1" applyBorder="1" applyAlignment="1">
      <alignment horizontal="left"/>
    </xf>
    <xf numFmtId="6" fontId="61" fillId="26" borderId="0" xfId="0" applyNumberFormat="1" applyFont="1" applyFill="1" applyBorder="1" applyAlignment="1">
      <alignment horizontal="center"/>
    </xf>
    <xf numFmtId="3" fontId="61" fillId="26" borderId="0" xfId="0" applyNumberFormat="1" applyFont="1" applyFill="1" applyBorder="1" applyAlignment="1">
      <alignment horizontal="center"/>
    </xf>
    <xf numFmtId="167" fontId="61" fillId="26" borderId="0" xfId="0" applyNumberFormat="1" applyFont="1" applyFill="1" applyBorder="1" applyAlignment="1">
      <alignment horizontal="center"/>
    </xf>
    <xf numFmtId="0" fontId="61" fillId="26" borderId="0" xfId="0" applyFont="1" applyFill="1" applyBorder="1" applyAlignment="1"/>
    <xf numFmtId="1" fontId="61" fillId="26" borderId="0" xfId="28" quotePrefix="1" applyNumberFormat="1" applyFont="1" applyFill="1" applyBorder="1" applyAlignment="1">
      <alignment horizontal="center"/>
    </xf>
    <xf numFmtId="43" fontId="61" fillId="26" borderId="0" xfId="28" applyFont="1" applyFill="1" applyBorder="1"/>
    <xf numFmtId="1" fontId="61" fillId="26" borderId="0" xfId="0" quotePrefix="1" applyNumberFormat="1" applyFont="1" applyFill="1" applyBorder="1" applyAlignment="1">
      <alignment horizontal="center"/>
    </xf>
    <xf numFmtId="1" fontId="61" fillId="26" borderId="0" xfId="0" applyNumberFormat="1" applyFont="1" applyFill="1" applyBorder="1"/>
    <xf numFmtId="6" fontId="61" fillId="26" borderId="0" xfId="0" applyNumberFormat="1" applyFont="1" applyFill="1" applyBorder="1" applyAlignment="1"/>
    <xf numFmtId="6" fontId="61" fillId="26" borderId="0" xfId="0" applyNumberFormat="1" applyFont="1" applyFill="1" applyBorder="1" applyAlignment="1">
      <alignment horizontal="right"/>
    </xf>
    <xf numFmtId="38" fontId="61" fillId="26" borderId="0" xfId="0" applyNumberFormat="1" applyFont="1" applyFill="1" applyBorder="1"/>
    <xf numFmtId="164" fontId="61" fillId="26" borderId="0" xfId="28" quotePrefix="1" applyNumberFormat="1" applyFont="1" applyFill="1" applyBorder="1" applyAlignment="1">
      <alignment horizontal="center"/>
    </xf>
    <xf numFmtId="164" fontId="61" fillId="26" borderId="0" xfId="0" quotePrefix="1" applyNumberFormat="1" applyFont="1" applyFill="1" applyBorder="1" applyAlignment="1">
      <alignment horizontal="center"/>
    </xf>
    <xf numFmtId="37" fontId="61" fillId="26" borderId="0" xfId="0" quotePrefix="1" applyNumberFormat="1" applyFont="1" applyFill="1" applyBorder="1" applyAlignment="1">
      <alignment horizontal="right"/>
    </xf>
    <xf numFmtId="49" fontId="61" fillId="26" borderId="0" xfId="0" quotePrefix="1" applyNumberFormat="1" applyFont="1" applyFill="1" applyBorder="1" applyAlignment="1">
      <alignment horizontal="right"/>
    </xf>
    <xf numFmtId="37" fontId="61" fillId="26" borderId="0" xfId="0" quotePrefix="1" applyNumberFormat="1" applyFont="1" applyFill="1" applyBorder="1" applyAlignment="1">
      <alignment horizontal="center"/>
    </xf>
    <xf numFmtId="164" fontId="59" fillId="26" borderId="0" xfId="0" applyNumberFormat="1" applyFont="1" applyFill="1" applyBorder="1" applyAlignment="1">
      <alignment horizontal="right"/>
    </xf>
    <xf numFmtId="0" fontId="60" fillId="24" borderId="0" xfId="0" applyFont="1" applyFill="1" applyBorder="1"/>
    <xf numFmtId="0" fontId="62" fillId="24" borderId="0" xfId="0" applyFont="1" applyFill="1" applyBorder="1"/>
    <xf numFmtId="39" fontId="59" fillId="24" borderId="0" xfId="0" applyNumberFormat="1" applyFont="1" applyFill="1" applyBorder="1" applyAlignment="1">
      <alignment horizontal="center"/>
    </xf>
    <xf numFmtId="37" fontId="61" fillId="24" borderId="0" xfId="0" quotePrefix="1" applyNumberFormat="1" applyFont="1" applyFill="1" applyBorder="1" applyAlignment="1">
      <alignment horizontal="center"/>
    </xf>
    <xf numFmtId="37" fontId="69" fillId="24" borderId="0" xfId="0" quotePrefix="1" applyNumberFormat="1" applyFont="1" applyFill="1" applyBorder="1" applyAlignment="1">
      <alignment horizontal="right"/>
    </xf>
    <xf numFmtId="37" fontId="59" fillId="24" borderId="0" xfId="0" quotePrefix="1" applyNumberFormat="1" applyFont="1" applyFill="1" applyBorder="1" applyAlignment="1">
      <alignment horizontal="left"/>
    </xf>
    <xf numFmtId="37" fontId="59" fillId="24" borderId="0" xfId="0" applyNumberFormat="1" applyFont="1" applyFill="1" applyBorder="1" applyAlignment="1"/>
    <xf numFmtId="37" fontId="59" fillId="24" borderId="0" xfId="0" quotePrefix="1" applyNumberFormat="1" applyFont="1" applyFill="1" applyBorder="1" applyAlignment="1">
      <alignment horizontal="center"/>
    </xf>
    <xf numFmtId="37" fontId="60" fillId="24" borderId="0" xfId="0" applyNumberFormat="1" applyFont="1" applyFill="1" applyBorder="1" applyAlignment="1">
      <alignment horizontal="center"/>
    </xf>
    <xf numFmtId="37" fontId="61" fillId="24" borderId="0" xfId="0" applyNumberFormat="1" applyFont="1" applyFill="1" applyBorder="1"/>
    <xf numFmtId="37" fontId="62" fillId="24" borderId="0" xfId="0" applyNumberFormat="1" applyFont="1" applyFill="1" applyBorder="1"/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Percent" xfId="41" builtinId="5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409575</xdr:colOff>
      <xdr:row>18</xdr:row>
      <xdr:rowOff>19050</xdr:rowOff>
    </xdr:from>
    <xdr:to>
      <xdr:col>19</xdr:col>
      <xdr:colOff>200025</xdr:colOff>
      <xdr:row>27</xdr:row>
      <xdr:rowOff>171450</xdr:rowOff>
    </xdr:to>
    <xdr:grpSp>
      <xdr:nvGrpSpPr>
        <xdr:cNvPr id="4992" name="Group 6"/>
        <xdr:cNvGrpSpPr>
          <a:grpSpLocks/>
        </xdr:cNvGrpSpPr>
      </xdr:nvGrpSpPr>
      <xdr:grpSpPr bwMode="auto">
        <a:xfrm>
          <a:off x="7498896" y="3543300"/>
          <a:ext cx="1899558" cy="1758043"/>
          <a:chOff x="796" y="387"/>
          <a:chExt cx="199" cy="187"/>
        </a:xfrm>
      </xdr:grpSpPr>
      <xdr:sp macro="" textlink="">
        <xdr:nvSpPr>
          <xdr:cNvPr id="4999" name="Line 2"/>
          <xdr:cNvSpPr>
            <a:spLocks noChangeShapeType="1"/>
          </xdr:cNvSpPr>
        </xdr:nvSpPr>
        <xdr:spPr bwMode="auto">
          <a:xfrm>
            <a:off x="995" y="387"/>
            <a:ext cx="0" cy="187"/>
          </a:xfrm>
          <a:prstGeom prst="line">
            <a:avLst/>
          </a:prstGeom>
          <a:noFill/>
          <a:ln w="9525">
            <a:solidFill>
              <a:srgbClr val="00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00" name="Line 3"/>
          <xdr:cNvSpPr>
            <a:spLocks noChangeShapeType="1"/>
          </xdr:cNvSpPr>
        </xdr:nvSpPr>
        <xdr:spPr bwMode="auto">
          <a:xfrm flipH="1">
            <a:off x="796" y="574"/>
            <a:ext cx="199" cy="0"/>
          </a:xfrm>
          <a:prstGeom prst="line">
            <a:avLst/>
          </a:prstGeom>
          <a:noFill/>
          <a:ln w="9525">
            <a:solidFill>
              <a:srgbClr val="00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01" name="Line 5"/>
          <xdr:cNvSpPr>
            <a:spLocks noChangeShapeType="1"/>
          </xdr:cNvSpPr>
        </xdr:nvSpPr>
        <xdr:spPr bwMode="auto">
          <a:xfrm flipV="1">
            <a:off x="796" y="559"/>
            <a:ext cx="0" cy="15"/>
          </a:xfrm>
          <a:prstGeom prst="line">
            <a:avLst/>
          </a:prstGeom>
          <a:noFill/>
          <a:ln w="9525">
            <a:solidFill>
              <a:srgbClr val="003366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4</xdr:col>
      <xdr:colOff>45720</xdr:colOff>
      <xdr:row>21</xdr:row>
      <xdr:rowOff>190500</xdr:rowOff>
    </xdr:from>
    <xdr:ext cx="87588" cy="220188"/>
    <xdr:sp macro="" textlink="">
      <xdr:nvSpPr>
        <xdr:cNvPr id="4835" name="Text Box 739"/>
        <xdr:cNvSpPr txBox="1">
          <a:spLocks noChangeArrowheads="1"/>
        </xdr:cNvSpPr>
      </xdr:nvSpPr>
      <xdr:spPr bwMode="auto">
        <a:xfrm>
          <a:off x="2072640" y="4145280"/>
          <a:ext cx="87588" cy="220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32004" rIns="0" bIns="0" anchor="t" upright="1">
          <a:spAutoFit/>
        </a:bodyPr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  <a:endParaRPr lang="en-US"/>
        </a:p>
      </xdr:txBody>
    </xdr:sp>
    <xdr:clientData/>
  </xdr:oneCellAnchor>
  <xdr:oneCellAnchor>
    <xdr:from>
      <xdr:col>6</xdr:col>
      <xdr:colOff>622935</xdr:colOff>
      <xdr:row>21</xdr:row>
      <xdr:rowOff>182880</xdr:rowOff>
    </xdr:from>
    <xdr:ext cx="147476" cy="220188"/>
    <xdr:sp macro="" textlink="">
      <xdr:nvSpPr>
        <xdr:cNvPr id="4836" name="Text Box 740"/>
        <xdr:cNvSpPr txBox="1">
          <a:spLocks noChangeArrowheads="1"/>
        </xdr:cNvSpPr>
      </xdr:nvSpPr>
      <xdr:spPr bwMode="auto">
        <a:xfrm>
          <a:off x="3032760" y="4173855"/>
          <a:ext cx="147476" cy="220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32004" rIns="0" bIns="0" anchor="t" upright="1">
          <a:spAutoFit/>
        </a:bodyPr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**</a:t>
          </a:r>
          <a:endParaRPr lang="en-US"/>
        </a:p>
      </xdr:txBody>
    </xdr:sp>
    <xdr:clientData/>
  </xdr:oneCellAnchor>
  <xdr:oneCellAnchor>
    <xdr:from>
      <xdr:col>4</xdr:col>
      <xdr:colOff>60960</xdr:colOff>
      <xdr:row>28</xdr:row>
      <xdr:rowOff>190500</xdr:rowOff>
    </xdr:from>
    <xdr:ext cx="87588" cy="220188"/>
    <xdr:sp macro="" textlink="">
      <xdr:nvSpPr>
        <xdr:cNvPr id="4837" name="Text Box 741"/>
        <xdr:cNvSpPr txBox="1">
          <a:spLocks noChangeArrowheads="1"/>
        </xdr:cNvSpPr>
      </xdr:nvSpPr>
      <xdr:spPr bwMode="auto">
        <a:xfrm>
          <a:off x="2087880" y="5394960"/>
          <a:ext cx="87588" cy="220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32004" rIns="0" bIns="0" anchor="t" upright="1">
          <a:spAutoFit/>
        </a:bodyPr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  <a:endParaRPr lang="en-US"/>
        </a:p>
      </xdr:txBody>
    </xdr:sp>
    <xdr:clientData/>
  </xdr:oneCellAnchor>
  <xdr:oneCellAnchor>
    <xdr:from>
      <xdr:col>9</xdr:col>
      <xdr:colOff>417195</xdr:colOff>
      <xdr:row>28</xdr:row>
      <xdr:rowOff>182880</xdr:rowOff>
    </xdr:from>
    <xdr:ext cx="147476" cy="220188"/>
    <xdr:sp macro="" textlink="">
      <xdr:nvSpPr>
        <xdr:cNvPr id="4839" name="Text Box 743"/>
        <xdr:cNvSpPr txBox="1">
          <a:spLocks noChangeArrowheads="1"/>
        </xdr:cNvSpPr>
      </xdr:nvSpPr>
      <xdr:spPr bwMode="auto">
        <a:xfrm>
          <a:off x="4008120" y="5431155"/>
          <a:ext cx="147476" cy="220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32004" rIns="0" bIns="0" anchor="t" upright="1">
          <a:spAutoFit/>
        </a:bodyPr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**</a:t>
          </a:r>
          <a:endParaRPr lang="en-US"/>
        </a:p>
      </xdr:txBody>
    </xdr:sp>
    <xdr:clientData/>
  </xdr:oneCellAnchor>
  <xdr:oneCellAnchor>
    <xdr:from>
      <xdr:col>9</xdr:col>
      <xdr:colOff>325755</xdr:colOff>
      <xdr:row>35</xdr:row>
      <xdr:rowOff>182880</xdr:rowOff>
    </xdr:from>
    <xdr:ext cx="147476" cy="220188"/>
    <xdr:sp macro="" textlink="">
      <xdr:nvSpPr>
        <xdr:cNvPr id="4840" name="Text Box 744"/>
        <xdr:cNvSpPr txBox="1">
          <a:spLocks noChangeArrowheads="1"/>
        </xdr:cNvSpPr>
      </xdr:nvSpPr>
      <xdr:spPr bwMode="auto">
        <a:xfrm>
          <a:off x="3916680" y="6612255"/>
          <a:ext cx="147476" cy="220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32004" rIns="0" bIns="0" anchor="t" upright="1">
          <a:spAutoFit/>
        </a:bodyPr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**</a:t>
          </a:r>
          <a:endParaRPr lang="en-US"/>
        </a:p>
      </xdr:txBody>
    </xdr:sp>
    <xdr:clientData/>
  </xdr:oneCellAnchor>
  <xdr:oneCellAnchor>
    <xdr:from>
      <xdr:col>6</xdr:col>
      <xdr:colOff>622935</xdr:colOff>
      <xdr:row>35</xdr:row>
      <xdr:rowOff>182880</xdr:rowOff>
    </xdr:from>
    <xdr:ext cx="87588" cy="220188"/>
    <xdr:sp macro="" textlink="">
      <xdr:nvSpPr>
        <xdr:cNvPr id="4841" name="Text Box 745"/>
        <xdr:cNvSpPr txBox="1">
          <a:spLocks noChangeArrowheads="1"/>
        </xdr:cNvSpPr>
      </xdr:nvSpPr>
      <xdr:spPr bwMode="auto">
        <a:xfrm>
          <a:off x="3093720" y="6560820"/>
          <a:ext cx="87588" cy="220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32004" rIns="0" bIns="0" anchor="t" upright="1">
          <a:spAutoFit/>
        </a:bodyPr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  <a:endParaRPr lang="en-US"/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24</xdr:row>
      <xdr:rowOff>180975</xdr:rowOff>
    </xdr:from>
    <xdr:to>
      <xdr:col>5</xdr:col>
      <xdr:colOff>390525</xdr:colOff>
      <xdr:row>25</xdr:row>
      <xdr:rowOff>28575</xdr:rowOff>
    </xdr:to>
    <xdr:grpSp>
      <xdr:nvGrpSpPr>
        <xdr:cNvPr id="5272" name="Group 1"/>
        <xdr:cNvGrpSpPr>
          <a:grpSpLocks/>
        </xdr:cNvGrpSpPr>
      </xdr:nvGrpSpPr>
      <xdr:grpSpPr bwMode="auto">
        <a:xfrm>
          <a:off x="1578429" y="4412796"/>
          <a:ext cx="417739" cy="51708"/>
          <a:chOff x="9182100" y="3779520"/>
          <a:chExt cx="754380" cy="45719"/>
        </a:xfrm>
      </xdr:grpSpPr>
      <xdr:cxnSp macro="">
        <xdr:nvCxnSpPr>
          <xdr:cNvPr id="3" name="Straight Connector 2"/>
          <xdr:cNvCxnSpPr/>
        </xdr:nvCxnSpPr>
        <xdr:spPr>
          <a:xfrm>
            <a:off x="9182100" y="3779520"/>
            <a:ext cx="754380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Straight Connector 3"/>
          <xdr:cNvCxnSpPr/>
        </xdr:nvCxnSpPr>
        <xdr:spPr>
          <a:xfrm>
            <a:off x="9199245" y="3806951"/>
            <a:ext cx="737235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247650</xdr:colOff>
      <xdr:row>30</xdr:row>
      <xdr:rowOff>180975</xdr:rowOff>
    </xdr:from>
    <xdr:to>
      <xdr:col>5</xdr:col>
      <xdr:colOff>809625</xdr:colOff>
      <xdr:row>31</xdr:row>
      <xdr:rowOff>38100</xdr:rowOff>
    </xdr:to>
    <xdr:grpSp>
      <xdr:nvGrpSpPr>
        <xdr:cNvPr id="5273" name="Group 4"/>
        <xdr:cNvGrpSpPr>
          <a:grpSpLocks/>
        </xdr:cNvGrpSpPr>
      </xdr:nvGrpSpPr>
      <xdr:grpSpPr bwMode="auto">
        <a:xfrm>
          <a:off x="1853293" y="5338082"/>
          <a:ext cx="561975" cy="61232"/>
          <a:chOff x="9182100" y="3779520"/>
          <a:chExt cx="754380" cy="45719"/>
        </a:xfrm>
      </xdr:grpSpPr>
      <xdr:cxnSp macro="">
        <xdr:nvCxnSpPr>
          <xdr:cNvPr id="6" name="Straight Connector 5"/>
          <xdr:cNvCxnSpPr/>
        </xdr:nvCxnSpPr>
        <xdr:spPr>
          <a:xfrm>
            <a:off x="9194886" y="3779520"/>
            <a:ext cx="74159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Connector 6"/>
          <xdr:cNvCxnSpPr/>
        </xdr:nvCxnSpPr>
        <xdr:spPr>
          <a:xfrm>
            <a:off x="9194886" y="3802380"/>
            <a:ext cx="74159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0</xdr:colOff>
      <xdr:row>27</xdr:row>
      <xdr:rowOff>171450</xdr:rowOff>
    </xdr:from>
    <xdr:to>
      <xdr:col>9</xdr:col>
      <xdr:colOff>571500</xdr:colOff>
      <xdr:row>28</xdr:row>
      <xdr:rowOff>28575</xdr:rowOff>
    </xdr:to>
    <xdr:grpSp>
      <xdr:nvGrpSpPr>
        <xdr:cNvPr id="5274" name="Group 7"/>
        <xdr:cNvGrpSpPr>
          <a:grpSpLocks/>
        </xdr:cNvGrpSpPr>
      </xdr:nvGrpSpPr>
      <xdr:grpSpPr bwMode="auto">
        <a:xfrm>
          <a:off x="3565071" y="4865914"/>
          <a:ext cx="571500" cy="61232"/>
          <a:chOff x="9182100" y="3779520"/>
          <a:chExt cx="754380" cy="45719"/>
        </a:xfrm>
      </xdr:grpSpPr>
      <xdr:cxnSp macro="">
        <xdr:nvCxnSpPr>
          <xdr:cNvPr id="9" name="Straight Connector 8"/>
          <xdr:cNvCxnSpPr/>
        </xdr:nvCxnSpPr>
        <xdr:spPr>
          <a:xfrm>
            <a:off x="9194673" y="377952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9"/>
          <xdr:cNvCxnSpPr/>
        </xdr:nvCxnSpPr>
        <xdr:spPr>
          <a:xfrm>
            <a:off x="9194673" y="380238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0</xdr:colOff>
      <xdr:row>35</xdr:row>
      <xdr:rowOff>171450</xdr:rowOff>
    </xdr:from>
    <xdr:to>
      <xdr:col>9</xdr:col>
      <xdr:colOff>571500</xdr:colOff>
      <xdr:row>36</xdr:row>
      <xdr:rowOff>28575</xdr:rowOff>
    </xdr:to>
    <xdr:grpSp>
      <xdr:nvGrpSpPr>
        <xdr:cNvPr id="5275" name="Group 10"/>
        <xdr:cNvGrpSpPr>
          <a:grpSpLocks/>
        </xdr:cNvGrpSpPr>
      </xdr:nvGrpSpPr>
      <xdr:grpSpPr bwMode="auto">
        <a:xfrm>
          <a:off x="3565071" y="6117771"/>
          <a:ext cx="571500" cy="61233"/>
          <a:chOff x="9182100" y="3779520"/>
          <a:chExt cx="754380" cy="45719"/>
        </a:xfrm>
      </xdr:grpSpPr>
      <xdr:cxnSp macro="">
        <xdr:nvCxnSpPr>
          <xdr:cNvPr id="12" name="Straight Connector 11"/>
          <xdr:cNvCxnSpPr/>
        </xdr:nvCxnSpPr>
        <xdr:spPr>
          <a:xfrm>
            <a:off x="9194673" y="377952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Connector 12"/>
          <xdr:cNvCxnSpPr/>
        </xdr:nvCxnSpPr>
        <xdr:spPr>
          <a:xfrm>
            <a:off x="9194673" y="380238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304800</xdr:colOff>
      <xdr:row>39</xdr:row>
      <xdr:rowOff>171450</xdr:rowOff>
    </xdr:from>
    <xdr:to>
      <xdr:col>5</xdr:col>
      <xdr:colOff>409575</xdr:colOff>
      <xdr:row>40</xdr:row>
      <xdr:rowOff>19050</xdr:rowOff>
    </xdr:to>
    <xdr:grpSp>
      <xdr:nvGrpSpPr>
        <xdr:cNvPr id="5276" name="Group 16"/>
        <xdr:cNvGrpSpPr>
          <a:grpSpLocks/>
        </xdr:cNvGrpSpPr>
      </xdr:nvGrpSpPr>
      <xdr:grpSpPr bwMode="auto">
        <a:xfrm>
          <a:off x="1597479" y="6784521"/>
          <a:ext cx="417739" cy="51708"/>
          <a:chOff x="9182100" y="3779520"/>
          <a:chExt cx="754380" cy="45719"/>
        </a:xfrm>
      </xdr:grpSpPr>
      <xdr:cxnSp macro="">
        <xdr:nvCxnSpPr>
          <xdr:cNvPr id="18" name="Straight Connector 17"/>
          <xdr:cNvCxnSpPr/>
        </xdr:nvCxnSpPr>
        <xdr:spPr>
          <a:xfrm>
            <a:off x="9182100" y="3779520"/>
            <a:ext cx="754380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Straight Connector 18"/>
          <xdr:cNvCxnSpPr/>
        </xdr:nvCxnSpPr>
        <xdr:spPr>
          <a:xfrm>
            <a:off x="9199245" y="3806951"/>
            <a:ext cx="737235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180975</xdr:colOff>
      <xdr:row>45</xdr:row>
      <xdr:rowOff>171450</xdr:rowOff>
    </xdr:from>
    <xdr:to>
      <xdr:col>4</xdr:col>
      <xdr:colOff>66675</xdr:colOff>
      <xdr:row>46</xdr:row>
      <xdr:rowOff>28575</xdr:rowOff>
    </xdr:to>
    <xdr:grpSp>
      <xdr:nvGrpSpPr>
        <xdr:cNvPr id="5277" name="Group 19"/>
        <xdr:cNvGrpSpPr>
          <a:grpSpLocks/>
        </xdr:cNvGrpSpPr>
      </xdr:nvGrpSpPr>
      <xdr:grpSpPr bwMode="auto">
        <a:xfrm>
          <a:off x="793296" y="7777843"/>
          <a:ext cx="566058" cy="61232"/>
          <a:chOff x="9182100" y="3779520"/>
          <a:chExt cx="754380" cy="45719"/>
        </a:xfrm>
      </xdr:grpSpPr>
      <xdr:cxnSp macro="">
        <xdr:nvCxnSpPr>
          <xdr:cNvPr id="21" name="Straight Connector 20"/>
          <xdr:cNvCxnSpPr/>
        </xdr:nvCxnSpPr>
        <xdr:spPr>
          <a:xfrm>
            <a:off x="9194673" y="377952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Straight Connector 21"/>
          <xdr:cNvCxnSpPr/>
        </xdr:nvCxnSpPr>
        <xdr:spPr>
          <a:xfrm>
            <a:off x="9194673" y="380238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304800</xdr:colOff>
      <xdr:row>49</xdr:row>
      <xdr:rowOff>180975</xdr:rowOff>
    </xdr:from>
    <xdr:to>
      <xdr:col>5</xdr:col>
      <xdr:colOff>561975</xdr:colOff>
      <xdr:row>50</xdr:row>
      <xdr:rowOff>38100</xdr:rowOff>
    </xdr:to>
    <xdr:grpSp>
      <xdr:nvGrpSpPr>
        <xdr:cNvPr id="5278" name="Group 22"/>
        <xdr:cNvGrpSpPr>
          <a:grpSpLocks/>
        </xdr:cNvGrpSpPr>
      </xdr:nvGrpSpPr>
      <xdr:grpSpPr bwMode="auto">
        <a:xfrm>
          <a:off x="1597479" y="8454118"/>
          <a:ext cx="570139" cy="61232"/>
          <a:chOff x="9182100" y="3779520"/>
          <a:chExt cx="754380" cy="45719"/>
        </a:xfrm>
      </xdr:grpSpPr>
      <xdr:cxnSp macro="">
        <xdr:nvCxnSpPr>
          <xdr:cNvPr id="24" name="Straight Connector 23"/>
          <xdr:cNvCxnSpPr/>
        </xdr:nvCxnSpPr>
        <xdr:spPr>
          <a:xfrm>
            <a:off x="9194673" y="377952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Straight Connector 24"/>
          <xdr:cNvCxnSpPr/>
        </xdr:nvCxnSpPr>
        <xdr:spPr>
          <a:xfrm>
            <a:off x="9194673" y="380238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26</xdr:row>
      <xdr:rowOff>171450</xdr:rowOff>
    </xdr:from>
    <xdr:to>
      <xdr:col>3</xdr:col>
      <xdr:colOff>800100</xdr:colOff>
      <xdr:row>27</xdr:row>
      <xdr:rowOff>28575</xdr:rowOff>
    </xdr:to>
    <xdr:grpSp>
      <xdr:nvGrpSpPr>
        <xdr:cNvPr id="21569" name="Group 1"/>
        <xdr:cNvGrpSpPr>
          <a:grpSpLocks/>
        </xdr:cNvGrpSpPr>
      </xdr:nvGrpSpPr>
      <xdr:grpSpPr bwMode="auto">
        <a:xfrm>
          <a:off x="1585232" y="4580164"/>
          <a:ext cx="561975" cy="61232"/>
          <a:chOff x="9182100" y="3779520"/>
          <a:chExt cx="754380" cy="45719"/>
        </a:xfrm>
      </xdr:grpSpPr>
      <xdr:cxnSp macro="">
        <xdr:nvCxnSpPr>
          <xdr:cNvPr id="3" name="Straight Connector 2"/>
          <xdr:cNvCxnSpPr/>
        </xdr:nvCxnSpPr>
        <xdr:spPr>
          <a:xfrm>
            <a:off x="9194886" y="3779520"/>
            <a:ext cx="74159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Straight Connector 3"/>
          <xdr:cNvCxnSpPr/>
        </xdr:nvCxnSpPr>
        <xdr:spPr>
          <a:xfrm>
            <a:off x="9194886" y="3802380"/>
            <a:ext cx="74159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66675</xdr:colOff>
      <xdr:row>30</xdr:row>
      <xdr:rowOff>0</xdr:rowOff>
    </xdr:from>
    <xdr:to>
      <xdr:col>3</xdr:col>
      <xdr:colOff>638175</xdr:colOff>
      <xdr:row>30</xdr:row>
      <xdr:rowOff>57150</xdr:rowOff>
    </xdr:to>
    <xdr:grpSp>
      <xdr:nvGrpSpPr>
        <xdr:cNvPr id="21570" name="Group 4"/>
        <xdr:cNvGrpSpPr>
          <a:grpSpLocks/>
        </xdr:cNvGrpSpPr>
      </xdr:nvGrpSpPr>
      <xdr:grpSpPr bwMode="auto">
        <a:xfrm>
          <a:off x="1413782" y="5075464"/>
          <a:ext cx="571500" cy="57150"/>
          <a:chOff x="9182100" y="3779520"/>
          <a:chExt cx="754380" cy="45719"/>
        </a:xfrm>
      </xdr:grpSpPr>
      <xdr:cxnSp macro="">
        <xdr:nvCxnSpPr>
          <xdr:cNvPr id="6" name="Straight Connector 5"/>
          <xdr:cNvCxnSpPr/>
        </xdr:nvCxnSpPr>
        <xdr:spPr>
          <a:xfrm>
            <a:off x="9194673" y="377952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Connector 6"/>
          <xdr:cNvCxnSpPr/>
        </xdr:nvCxnSpPr>
        <xdr:spPr>
          <a:xfrm>
            <a:off x="9194673" y="380238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200025</xdr:colOff>
      <xdr:row>32</xdr:row>
      <xdr:rowOff>171450</xdr:rowOff>
    </xdr:from>
    <xdr:to>
      <xdr:col>3</xdr:col>
      <xdr:colOff>771525</xdr:colOff>
      <xdr:row>33</xdr:row>
      <xdr:rowOff>28575</xdr:rowOff>
    </xdr:to>
    <xdr:grpSp>
      <xdr:nvGrpSpPr>
        <xdr:cNvPr id="21571" name="Group 7"/>
        <xdr:cNvGrpSpPr>
          <a:grpSpLocks/>
        </xdr:cNvGrpSpPr>
      </xdr:nvGrpSpPr>
      <xdr:grpSpPr bwMode="auto">
        <a:xfrm>
          <a:off x="1547132" y="5505450"/>
          <a:ext cx="571500" cy="61232"/>
          <a:chOff x="9182100" y="3779520"/>
          <a:chExt cx="754380" cy="45719"/>
        </a:xfrm>
      </xdr:grpSpPr>
      <xdr:cxnSp macro="">
        <xdr:nvCxnSpPr>
          <xdr:cNvPr id="9" name="Straight Connector 8"/>
          <xdr:cNvCxnSpPr/>
        </xdr:nvCxnSpPr>
        <xdr:spPr>
          <a:xfrm>
            <a:off x="9194673" y="377952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9"/>
          <xdr:cNvCxnSpPr/>
        </xdr:nvCxnSpPr>
        <xdr:spPr>
          <a:xfrm>
            <a:off x="9194673" y="380238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190500</xdr:colOff>
      <xdr:row>35</xdr:row>
      <xdr:rowOff>180975</xdr:rowOff>
    </xdr:from>
    <xdr:to>
      <xdr:col>3</xdr:col>
      <xdr:colOff>762000</xdr:colOff>
      <xdr:row>36</xdr:row>
      <xdr:rowOff>38100</xdr:rowOff>
    </xdr:to>
    <xdr:grpSp>
      <xdr:nvGrpSpPr>
        <xdr:cNvPr id="21572" name="Group 10"/>
        <xdr:cNvGrpSpPr>
          <a:grpSpLocks/>
        </xdr:cNvGrpSpPr>
      </xdr:nvGrpSpPr>
      <xdr:grpSpPr bwMode="auto">
        <a:xfrm>
          <a:off x="1537607" y="5977618"/>
          <a:ext cx="571500" cy="61232"/>
          <a:chOff x="9182100" y="3779520"/>
          <a:chExt cx="754380" cy="45719"/>
        </a:xfrm>
      </xdr:grpSpPr>
      <xdr:cxnSp macro="">
        <xdr:nvCxnSpPr>
          <xdr:cNvPr id="12" name="Straight Connector 11"/>
          <xdr:cNvCxnSpPr/>
        </xdr:nvCxnSpPr>
        <xdr:spPr>
          <a:xfrm>
            <a:off x="9194673" y="377952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Connector 12"/>
          <xdr:cNvCxnSpPr/>
        </xdr:nvCxnSpPr>
        <xdr:spPr>
          <a:xfrm>
            <a:off x="9194673" y="380238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31</xdr:row>
      <xdr:rowOff>171450</xdr:rowOff>
    </xdr:from>
    <xdr:to>
      <xdr:col>6</xdr:col>
      <xdr:colOff>857250</xdr:colOff>
      <xdr:row>32</xdr:row>
      <xdr:rowOff>28575</xdr:rowOff>
    </xdr:to>
    <xdr:grpSp>
      <xdr:nvGrpSpPr>
        <xdr:cNvPr id="9235" name="Group 1"/>
        <xdr:cNvGrpSpPr>
          <a:grpSpLocks/>
        </xdr:cNvGrpSpPr>
      </xdr:nvGrpSpPr>
      <xdr:grpSpPr bwMode="auto">
        <a:xfrm>
          <a:off x="2598964" y="5818414"/>
          <a:ext cx="571500" cy="61232"/>
          <a:chOff x="9182100" y="3779520"/>
          <a:chExt cx="754380" cy="45719"/>
        </a:xfrm>
      </xdr:grpSpPr>
      <xdr:cxnSp macro="">
        <xdr:nvCxnSpPr>
          <xdr:cNvPr id="3" name="Straight Connector 2"/>
          <xdr:cNvCxnSpPr/>
        </xdr:nvCxnSpPr>
        <xdr:spPr>
          <a:xfrm>
            <a:off x="9194673" y="377952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Straight Connector 3"/>
          <xdr:cNvCxnSpPr/>
        </xdr:nvCxnSpPr>
        <xdr:spPr>
          <a:xfrm>
            <a:off x="9194673" y="380238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25</xdr:row>
      <xdr:rowOff>180975</xdr:rowOff>
    </xdr:from>
    <xdr:to>
      <xdr:col>6</xdr:col>
      <xdr:colOff>676275</xdr:colOff>
      <xdr:row>26</xdr:row>
      <xdr:rowOff>9525</xdr:rowOff>
    </xdr:to>
    <xdr:grpSp>
      <xdr:nvGrpSpPr>
        <xdr:cNvPr id="34847" name="Group 1"/>
        <xdr:cNvGrpSpPr>
          <a:grpSpLocks/>
        </xdr:cNvGrpSpPr>
      </xdr:nvGrpSpPr>
      <xdr:grpSpPr bwMode="auto">
        <a:xfrm>
          <a:off x="3173186" y="4684939"/>
          <a:ext cx="619125" cy="32657"/>
          <a:chOff x="9182269" y="3779520"/>
          <a:chExt cx="754211" cy="22859"/>
        </a:xfrm>
      </xdr:grpSpPr>
      <xdr:cxnSp macro="">
        <xdr:nvCxnSpPr>
          <xdr:cNvPr id="3" name="Straight Connector 2"/>
          <xdr:cNvCxnSpPr/>
        </xdr:nvCxnSpPr>
        <xdr:spPr>
          <a:xfrm>
            <a:off x="9193872" y="3779520"/>
            <a:ext cx="74260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Straight Connector 3"/>
          <xdr:cNvCxnSpPr/>
        </xdr:nvCxnSpPr>
        <xdr:spPr>
          <a:xfrm>
            <a:off x="9182269" y="3802379"/>
            <a:ext cx="74260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47625</xdr:colOff>
      <xdr:row>30</xdr:row>
      <xdr:rowOff>180975</xdr:rowOff>
    </xdr:from>
    <xdr:to>
      <xdr:col>4</xdr:col>
      <xdr:colOff>666750</xdr:colOff>
      <xdr:row>31</xdr:row>
      <xdr:rowOff>9525</xdr:rowOff>
    </xdr:to>
    <xdr:grpSp>
      <xdr:nvGrpSpPr>
        <xdr:cNvPr id="34848" name="Group 4"/>
        <xdr:cNvGrpSpPr>
          <a:grpSpLocks/>
        </xdr:cNvGrpSpPr>
      </xdr:nvGrpSpPr>
      <xdr:grpSpPr bwMode="auto">
        <a:xfrm>
          <a:off x="1911804" y="5623832"/>
          <a:ext cx="619125" cy="32657"/>
          <a:chOff x="9182269" y="3779520"/>
          <a:chExt cx="754211" cy="22859"/>
        </a:xfrm>
      </xdr:grpSpPr>
      <xdr:cxnSp macro="">
        <xdr:nvCxnSpPr>
          <xdr:cNvPr id="6" name="Straight Connector 5"/>
          <xdr:cNvCxnSpPr/>
        </xdr:nvCxnSpPr>
        <xdr:spPr>
          <a:xfrm>
            <a:off x="9193872" y="3779520"/>
            <a:ext cx="74260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Connector 6"/>
          <xdr:cNvCxnSpPr/>
        </xdr:nvCxnSpPr>
        <xdr:spPr>
          <a:xfrm>
            <a:off x="9182269" y="3802379"/>
            <a:ext cx="74260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36</xdr:row>
      <xdr:rowOff>171450</xdr:rowOff>
    </xdr:from>
    <xdr:to>
      <xdr:col>3</xdr:col>
      <xdr:colOff>76200</xdr:colOff>
      <xdr:row>36</xdr:row>
      <xdr:rowOff>200025</xdr:rowOff>
    </xdr:to>
    <xdr:grpSp>
      <xdr:nvGrpSpPr>
        <xdr:cNvPr id="20529" name="Group 1"/>
        <xdr:cNvGrpSpPr>
          <a:grpSpLocks/>
        </xdr:cNvGrpSpPr>
      </xdr:nvGrpSpPr>
      <xdr:grpSpPr bwMode="auto">
        <a:xfrm>
          <a:off x="583746" y="6607629"/>
          <a:ext cx="567418" cy="28575"/>
          <a:chOff x="9182269" y="3779520"/>
          <a:chExt cx="754211" cy="22859"/>
        </a:xfrm>
      </xdr:grpSpPr>
      <xdr:cxnSp macro="">
        <xdr:nvCxnSpPr>
          <xdr:cNvPr id="3" name="Straight Connector 2"/>
          <xdr:cNvCxnSpPr/>
        </xdr:nvCxnSpPr>
        <xdr:spPr>
          <a:xfrm>
            <a:off x="9194839" y="3779520"/>
            <a:ext cx="741641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Straight Connector 3"/>
          <xdr:cNvCxnSpPr/>
        </xdr:nvCxnSpPr>
        <xdr:spPr>
          <a:xfrm>
            <a:off x="9182269" y="3802379"/>
            <a:ext cx="741641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142875</xdr:colOff>
      <xdr:row>39</xdr:row>
      <xdr:rowOff>171450</xdr:rowOff>
    </xdr:from>
    <xdr:to>
      <xdr:col>3</xdr:col>
      <xdr:colOff>57150</xdr:colOff>
      <xdr:row>39</xdr:row>
      <xdr:rowOff>200025</xdr:rowOff>
    </xdr:to>
    <xdr:grpSp>
      <xdr:nvGrpSpPr>
        <xdr:cNvPr id="20530" name="Group 4"/>
        <xdr:cNvGrpSpPr>
          <a:grpSpLocks/>
        </xdr:cNvGrpSpPr>
      </xdr:nvGrpSpPr>
      <xdr:grpSpPr bwMode="auto">
        <a:xfrm>
          <a:off x="564696" y="7219950"/>
          <a:ext cx="567418" cy="28575"/>
          <a:chOff x="9182269" y="3779520"/>
          <a:chExt cx="754211" cy="22859"/>
        </a:xfrm>
      </xdr:grpSpPr>
      <xdr:cxnSp macro="">
        <xdr:nvCxnSpPr>
          <xdr:cNvPr id="6" name="Straight Connector 5"/>
          <xdr:cNvCxnSpPr/>
        </xdr:nvCxnSpPr>
        <xdr:spPr>
          <a:xfrm>
            <a:off x="9194839" y="3779520"/>
            <a:ext cx="741641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Connector 6"/>
          <xdr:cNvCxnSpPr/>
        </xdr:nvCxnSpPr>
        <xdr:spPr>
          <a:xfrm>
            <a:off x="9182269" y="3802379"/>
            <a:ext cx="741641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180975</xdr:colOff>
      <xdr:row>42</xdr:row>
      <xdr:rowOff>161925</xdr:rowOff>
    </xdr:from>
    <xdr:to>
      <xdr:col>3</xdr:col>
      <xdr:colOff>38100</xdr:colOff>
      <xdr:row>42</xdr:row>
      <xdr:rowOff>190500</xdr:rowOff>
    </xdr:to>
    <xdr:grpSp>
      <xdr:nvGrpSpPr>
        <xdr:cNvPr id="20531" name="Group 7"/>
        <xdr:cNvGrpSpPr>
          <a:grpSpLocks/>
        </xdr:cNvGrpSpPr>
      </xdr:nvGrpSpPr>
      <xdr:grpSpPr bwMode="auto">
        <a:xfrm>
          <a:off x="602796" y="7822746"/>
          <a:ext cx="510268" cy="28575"/>
          <a:chOff x="9182269" y="3779520"/>
          <a:chExt cx="754211" cy="22859"/>
        </a:xfrm>
      </xdr:grpSpPr>
      <xdr:cxnSp macro="">
        <xdr:nvCxnSpPr>
          <xdr:cNvPr id="9" name="Straight Connector 8"/>
          <xdr:cNvCxnSpPr/>
        </xdr:nvCxnSpPr>
        <xdr:spPr>
          <a:xfrm>
            <a:off x="9196236" y="3779520"/>
            <a:ext cx="74024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9"/>
          <xdr:cNvCxnSpPr/>
        </xdr:nvCxnSpPr>
        <xdr:spPr>
          <a:xfrm>
            <a:off x="9182269" y="3802379"/>
            <a:ext cx="74024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152400</xdr:colOff>
      <xdr:row>45</xdr:row>
      <xdr:rowOff>161925</xdr:rowOff>
    </xdr:from>
    <xdr:to>
      <xdr:col>3</xdr:col>
      <xdr:colOff>19050</xdr:colOff>
      <xdr:row>45</xdr:row>
      <xdr:rowOff>180975</xdr:rowOff>
    </xdr:to>
    <xdr:grpSp>
      <xdr:nvGrpSpPr>
        <xdr:cNvPr id="20532" name="Group 10"/>
        <xdr:cNvGrpSpPr>
          <a:grpSpLocks/>
        </xdr:cNvGrpSpPr>
      </xdr:nvGrpSpPr>
      <xdr:grpSpPr bwMode="auto">
        <a:xfrm>
          <a:off x="574221" y="8435068"/>
          <a:ext cx="519793" cy="19050"/>
          <a:chOff x="9182269" y="3779520"/>
          <a:chExt cx="754211" cy="22859"/>
        </a:xfrm>
      </xdr:grpSpPr>
      <xdr:cxnSp macro="">
        <xdr:nvCxnSpPr>
          <xdr:cNvPr id="12" name="Straight Connector 11"/>
          <xdr:cNvCxnSpPr/>
        </xdr:nvCxnSpPr>
        <xdr:spPr>
          <a:xfrm>
            <a:off x="9195982" y="3779520"/>
            <a:ext cx="74049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Connector 12"/>
          <xdr:cNvCxnSpPr/>
        </xdr:nvCxnSpPr>
        <xdr:spPr>
          <a:xfrm>
            <a:off x="9182269" y="3802379"/>
            <a:ext cx="74049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23</xdr:row>
      <xdr:rowOff>171450</xdr:rowOff>
    </xdr:from>
    <xdr:to>
      <xdr:col>5</xdr:col>
      <xdr:colOff>152400</xdr:colOff>
      <xdr:row>24</xdr:row>
      <xdr:rowOff>0</xdr:rowOff>
    </xdr:to>
    <xdr:grpSp>
      <xdr:nvGrpSpPr>
        <xdr:cNvPr id="22577" name="Group 1"/>
        <xdr:cNvGrpSpPr>
          <a:grpSpLocks/>
        </xdr:cNvGrpSpPr>
      </xdr:nvGrpSpPr>
      <xdr:grpSpPr bwMode="auto">
        <a:xfrm>
          <a:off x="1525361" y="4416879"/>
          <a:ext cx="504825" cy="32657"/>
          <a:chOff x="9182269" y="3779520"/>
          <a:chExt cx="754211" cy="22859"/>
        </a:xfrm>
      </xdr:grpSpPr>
      <xdr:cxnSp macro="">
        <xdr:nvCxnSpPr>
          <xdr:cNvPr id="3" name="Straight Connector 2"/>
          <xdr:cNvCxnSpPr/>
        </xdr:nvCxnSpPr>
        <xdr:spPr>
          <a:xfrm>
            <a:off x="9196499" y="3779520"/>
            <a:ext cx="739981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Straight Connector 3"/>
          <xdr:cNvCxnSpPr/>
        </xdr:nvCxnSpPr>
        <xdr:spPr>
          <a:xfrm>
            <a:off x="9182269" y="3802379"/>
            <a:ext cx="739981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200025</xdr:colOff>
      <xdr:row>26</xdr:row>
      <xdr:rowOff>171450</xdr:rowOff>
    </xdr:from>
    <xdr:to>
      <xdr:col>5</xdr:col>
      <xdr:colOff>142875</xdr:colOff>
      <xdr:row>27</xdr:row>
      <xdr:rowOff>0</xdr:rowOff>
    </xdr:to>
    <xdr:grpSp>
      <xdr:nvGrpSpPr>
        <xdr:cNvPr id="22578" name="Group 4"/>
        <xdr:cNvGrpSpPr>
          <a:grpSpLocks/>
        </xdr:cNvGrpSpPr>
      </xdr:nvGrpSpPr>
      <xdr:grpSpPr bwMode="auto">
        <a:xfrm>
          <a:off x="1506311" y="4879521"/>
          <a:ext cx="514350" cy="32658"/>
          <a:chOff x="9182269" y="3779520"/>
          <a:chExt cx="754211" cy="22859"/>
        </a:xfrm>
      </xdr:grpSpPr>
      <xdr:cxnSp macro="">
        <xdr:nvCxnSpPr>
          <xdr:cNvPr id="6" name="Straight Connector 5"/>
          <xdr:cNvCxnSpPr/>
        </xdr:nvCxnSpPr>
        <xdr:spPr>
          <a:xfrm>
            <a:off x="9196236" y="3779520"/>
            <a:ext cx="74024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Connector 6"/>
          <xdr:cNvCxnSpPr/>
        </xdr:nvCxnSpPr>
        <xdr:spPr>
          <a:xfrm>
            <a:off x="9182269" y="3802379"/>
            <a:ext cx="74024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219075</xdr:colOff>
      <xdr:row>29</xdr:row>
      <xdr:rowOff>171450</xdr:rowOff>
    </xdr:from>
    <xdr:to>
      <xdr:col>5</xdr:col>
      <xdr:colOff>161925</xdr:colOff>
      <xdr:row>29</xdr:row>
      <xdr:rowOff>190500</xdr:rowOff>
    </xdr:to>
    <xdr:grpSp>
      <xdr:nvGrpSpPr>
        <xdr:cNvPr id="22579" name="Group 7"/>
        <xdr:cNvGrpSpPr>
          <a:grpSpLocks/>
        </xdr:cNvGrpSpPr>
      </xdr:nvGrpSpPr>
      <xdr:grpSpPr bwMode="auto">
        <a:xfrm>
          <a:off x="1525361" y="5342164"/>
          <a:ext cx="514350" cy="19050"/>
          <a:chOff x="9182269" y="3779520"/>
          <a:chExt cx="754211" cy="22859"/>
        </a:xfrm>
      </xdr:grpSpPr>
      <xdr:cxnSp macro="">
        <xdr:nvCxnSpPr>
          <xdr:cNvPr id="9" name="Straight Connector 8"/>
          <xdr:cNvCxnSpPr/>
        </xdr:nvCxnSpPr>
        <xdr:spPr>
          <a:xfrm>
            <a:off x="9196236" y="3779520"/>
            <a:ext cx="74024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9"/>
          <xdr:cNvCxnSpPr/>
        </xdr:nvCxnSpPr>
        <xdr:spPr>
          <a:xfrm>
            <a:off x="9182269" y="3802379"/>
            <a:ext cx="74024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238125</xdr:colOff>
      <xdr:row>32</xdr:row>
      <xdr:rowOff>171450</xdr:rowOff>
    </xdr:from>
    <xdr:to>
      <xdr:col>5</xdr:col>
      <xdr:colOff>180975</xdr:colOff>
      <xdr:row>32</xdr:row>
      <xdr:rowOff>190500</xdr:rowOff>
    </xdr:to>
    <xdr:grpSp>
      <xdr:nvGrpSpPr>
        <xdr:cNvPr id="22580" name="Group 10"/>
        <xdr:cNvGrpSpPr>
          <a:grpSpLocks/>
        </xdr:cNvGrpSpPr>
      </xdr:nvGrpSpPr>
      <xdr:grpSpPr bwMode="auto">
        <a:xfrm>
          <a:off x="1544411" y="5804807"/>
          <a:ext cx="514350" cy="19050"/>
          <a:chOff x="9182269" y="3779520"/>
          <a:chExt cx="754211" cy="22859"/>
        </a:xfrm>
      </xdr:grpSpPr>
      <xdr:cxnSp macro="">
        <xdr:nvCxnSpPr>
          <xdr:cNvPr id="12" name="Straight Connector 11"/>
          <xdr:cNvCxnSpPr/>
        </xdr:nvCxnSpPr>
        <xdr:spPr>
          <a:xfrm>
            <a:off x="9196236" y="3779520"/>
            <a:ext cx="74024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Connector 12"/>
          <xdr:cNvCxnSpPr/>
        </xdr:nvCxnSpPr>
        <xdr:spPr>
          <a:xfrm>
            <a:off x="9182269" y="3802379"/>
            <a:ext cx="74024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1213485</xdr:colOff>
      <xdr:row>23</xdr:row>
      <xdr:rowOff>152400</xdr:rowOff>
    </xdr:from>
    <xdr:ext cx="87588" cy="220188"/>
    <xdr:sp macro="" textlink="">
      <xdr:nvSpPr>
        <xdr:cNvPr id="44033" name="Text Box 1"/>
        <xdr:cNvSpPr txBox="1">
          <a:spLocks noChangeArrowheads="1"/>
        </xdr:cNvSpPr>
      </xdr:nvSpPr>
      <xdr:spPr bwMode="auto">
        <a:xfrm>
          <a:off x="6242685" y="4438650"/>
          <a:ext cx="87588" cy="220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32004" rIns="0" bIns="0" anchor="t" upright="1">
          <a:spAutoFit/>
        </a:bodyPr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  <a:endParaRPr lang="en-US"/>
        </a:p>
      </xdr:txBody>
    </xdr:sp>
    <xdr:clientData/>
  </xdr:oneCellAnchor>
  <xdr:oneCellAnchor>
    <xdr:from>
      <xdr:col>8</xdr:col>
      <xdr:colOff>1181100</xdr:colOff>
      <xdr:row>28</xdr:row>
      <xdr:rowOff>121920</xdr:rowOff>
    </xdr:from>
    <xdr:ext cx="147476" cy="220188"/>
    <xdr:sp macro="" textlink="">
      <xdr:nvSpPr>
        <xdr:cNvPr id="44034" name="Text Box 2"/>
        <xdr:cNvSpPr txBox="1">
          <a:spLocks noChangeArrowheads="1"/>
        </xdr:cNvSpPr>
      </xdr:nvSpPr>
      <xdr:spPr bwMode="auto">
        <a:xfrm>
          <a:off x="6210300" y="5332095"/>
          <a:ext cx="147476" cy="220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32004" rIns="0" bIns="0" anchor="t" upright="1">
          <a:spAutoFit/>
        </a:bodyPr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**</a:t>
          </a:r>
          <a:endParaRPr lang="en-US"/>
        </a:p>
      </xdr:txBody>
    </xdr:sp>
    <xdr:clientData/>
  </xdr:oneCellAnchor>
  <xdr:oneCellAnchor>
    <xdr:from>
      <xdr:col>8</xdr:col>
      <xdr:colOff>1175385</xdr:colOff>
      <xdr:row>30</xdr:row>
      <xdr:rowOff>0</xdr:rowOff>
    </xdr:from>
    <xdr:ext cx="207364" cy="220188"/>
    <xdr:sp macro="" textlink="">
      <xdr:nvSpPr>
        <xdr:cNvPr id="44035" name="Text Box 3"/>
        <xdr:cNvSpPr txBox="1">
          <a:spLocks noChangeArrowheads="1"/>
        </xdr:cNvSpPr>
      </xdr:nvSpPr>
      <xdr:spPr bwMode="auto">
        <a:xfrm>
          <a:off x="6204585" y="5543550"/>
          <a:ext cx="207364" cy="220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32004" rIns="0" bIns="0" anchor="t" upright="1">
          <a:spAutoFit/>
        </a:bodyPr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***</a:t>
          </a:r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34</xdr:row>
      <xdr:rowOff>219075</xdr:rowOff>
    </xdr:from>
    <xdr:to>
      <xdr:col>5</xdr:col>
      <xdr:colOff>114300</xdr:colOff>
      <xdr:row>36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162050" y="7162800"/>
          <a:ext cx="323850" cy="20002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***</a:t>
          </a:r>
          <a:endParaRPr lang="en-US"/>
        </a:p>
      </xdr:txBody>
    </xdr:sp>
    <xdr:clientData/>
  </xdr:twoCellAnchor>
  <xdr:twoCellAnchor>
    <xdr:from>
      <xdr:col>6</xdr:col>
      <xdr:colOff>672465</xdr:colOff>
      <xdr:row>33</xdr:row>
      <xdr:rowOff>0</xdr:rowOff>
    </xdr:from>
    <xdr:to>
      <xdr:col>8</xdr:col>
      <xdr:colOff>133686</xdr:colOff>
      <xdr:row>34</xdr:row>
      <xdr:rowOff>49642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2362200" y="6762750"/>
          <a:ext cx="314325" cy="2571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  <a:endParaRPr lang="en-US"/>
        </a:p>
      </xdr:txBody>
    </xdr:sp>
    <xdr:clientData/>
  </xdr:twoCellAnchor>
  <xdr:twoCellAnchor>
    <xdr:from>
      <xdr:col>9</xdr:col>
      <xdr:colOff>672465</xdr:colOff>
      <xdr:row>33</xdr:row>
      <xdr:rowOff>196215</xdr:rowOff>
    </xdr:from>
    <xdr:to>
      <xdr:col>11</xdr:col>
      <xdr:colOff>95557</xdr:colOff>
      <xdr:row>35</xdr:row>
      <xdr:rowOff>47625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52825" y="6962775"/>
          <a:ext cx="342900" cy="2476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**</a:t>
          </a:r>
          <a:endParaRPr lang="en-US"/>
        </a:p>
      </xdr:txBody>
    </xdr:sp>
    <xdr:clientData/>
  </xdr:twoCellAnchor>
  <xdr:oneCellAnchor>
    <xdr:from>
      <xdr:col>5</xdr:col>
      <xdr:colOff>120015</xdr:colOff>
      <xdr:row>32</xdr:row>
      <xdr:rowOff>190500</xdr:rowOff>
    </xdr:from>
    <xdr:ext cx="220980" cy="228600"/>
    <xdr:sp macro="" textlink="">
      <xdr:nvSpPr>
        <xdr:cNvPr id="1581" name="Text Box 557"/>
        <xdr:cNvSpPr txBox="1">
          <a:spLocks noChangeArrowheads="1"/>
        </xdr:cNvSpPr>
      </xdr:nvSpPr>
      <xdr:spPr bwMode="auto">
        <a:xfrm>
          <a:off x="1524000" y="6690360"/>
          <a:ext cx="2667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32004" rIns="0" bIns="0" anchor="t" upright="1">
          <a:spAutoFit/>
        </a:bodyPr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  <a:endParaRPr lang="en-US"/>
        </a:p>
      </xdr:txBody>
    </xdr:sp>
    <xdr:clientData/>
  </xdr:oneCellAnchor>
  <xdr:oneCellAnchor>
    <xdr:from>
      <xdr:col>8</xdr:col>
      <xdr:colOff>295275</xdr:colOff>
      <xdr:row>33</xdr:row>
      <xdr:rowOff>190500</xdr:rowOff>
    </xdr:from>
    <xdr:ext cx="228600" cy="228600"/>
    <xdr:sp macro="" textlink="">
      <xdr:nvSpPr>
        <xdr:cNvPr id="1582" name="Text Box 558"/>
        <xdr:cNvSpPr txBox="1">
          <a:spLocks noChangeArrowheads="1"/>
        </xdr:cNvSpPr>
      </xdr:nvSpPr>
      <xdr:spPr bwMode="auto">
        <a:xfrm>
          <a:off x="2903220" y="6888480"/>
          <a:ext cx="27432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32004" rIns="0" bIns="0" anchor="t" upright="1">
          <a:spAutoFit/>
        </a:bodyPr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(b)</a:t>
          </a:r>
          <a:endParaRPr lang="en-US"/>
        </a:p>
      </xdr:txBody>
    </xdr:sp>
    <xdr:clientData/>
  </xdr:oneCellAnchor>
  <xdr:oneCellAnchor>
    <xdr:from>
      <xdr:col>2</xdr:col>
      <xdr:colOff>22860</xdr:colOff>
      <xdr:row>35</xdr:row>
      <xdr:rowOff>0</xdr:rowOff>
    </xdr:from>
    <xdr:ext cx="215765" cy="220188"/>
    <xdr:sp macro="" textlink="">
      <xdr:nvSpPr>
        <xdr:cNvPr id="1583" name="Text Box 559"/>
        <xdr:cNvSpPr txBox="1">
          <a:spLocks noChangeArrowheads="1"/>
        </xdr:cNvSpPr>
      </xdr:nvSpPr>
      <xdr:spPr bwMode="auto">
        <a:xfrm>
          <a:off x="451485" y="7162800"/>
          <a:ext cx="215765" cy="220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32004" rIns="0" bIns="0" anchor="t" upright="1">
          <a:spAutoFit/>
        </a:bodyPr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(c)</a:t>
          </a:r>
          <a:endParaRPr lang="en-US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2</xdr:row>
      <xdr:rowOff>0</xdr:rowOff>
    </xdr:from>
    <xdr:to>
      <xdr:col>5</xdr:col>
      <xdr:colOff>85725</xdr:colOff>
      <xdr:row>2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047750" y="561975"/>
          <a:ext cx="2857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***</a:t>
          </a:r>
          <a:endParaRPr lang="en-US"/>
        </a:p>
      </xdr:txBody>
    </xdr:sp>
    <xdr:clientData/>
  </xdr:twoCellAnchor>
  <xdr:twoCellAnchor>
    <xdr:from>
      <xdr:col>6</xdr:col>
      <xdr:colOff>662940</xdr:colOff>
      <xdr:row>2</xdr:row>
      <xdr:rowOff>0</xdr:rowOff>
    </xdr:from>
    <xdr:to>
      <xdr:col>8</xdr:col>
      <xdr:colOff>114106</xdr:colOff>
      <xdr:row>2</xdr:row>
      <xdr:rowOff>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2219325" y="561975"/>
          <a:ext cx="3143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  <a:endParaRPr lang="en-US"/>
        </a:p>
      </xdr:txBody>
    </xdr:sp>
    <xdr:clientData/>
  </xdr:twoCellAnchor>
  <xdr:twoCellAnchor>
    <xdr:from>
      <xdr:col>9</xdr:col>
      <xdr:colOff>624840</xdr:colOff>
      <xdr:row>2</xdr:row>
      <xdr:rowOff>0</xdr:rowOff>
    </xdr:from>
    <xdr:to>
      <xdr:col>11</xdr:col>
      <xdr:colOff>47848</xdr:colOff>
      <xdr:row>2</xdr:row>
      <xdr:rowOff>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3381375" y="561975"/>
          <a:ext cx="40957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**</a:t>
          </a:r>
          <a:endParaRPr 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85725</xdr:colOff>
      <xdr:row>2</xdr:row>
      <xdr:rowOff>142875</xdr:rowOff>
    </xdr:from>
    <xdr:to>
      <xdr:col>21</xdr:col>
      <xdr:colOff>85725</xdr:colOff>
      <xdr:row>26</xdr:row>
      <xdr:rowOff>123825</xdr:rowOff>
    </xdr:to>
    <xdr:sp macro="" textlink="">
      <xdr:nvSpPr>
        <xdr:cNvPr id="10639" name="Line 1"/>
        <xdr:cNvSpPr>
          <a:spLocks noChangeShapeType="1"/>
        </xdr:cNvSpPr>
      </xdr:nvSpPr>
      <xdr:spPr bwMode="auto">
        <a:xfrm>
          <a:off x="10439400" y="704850"/>
          <a:ext cx="0" cy="3638550"/>
        </a:xfrm>
        <a:prstGeom prst="line">
          <a:avLst/>
        </a:prstGeom>
        <a:noFill/>
        <a:ln w="9525">
          <a:solidFill>
            <a:srgbClr val="003366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647700</xdr:colOff>
      <xdr:row>27</xdr:row>
      <xdr:rowOff>47625</xdr:rowOff>
    </xdr:from>
    <xdr:to>
      <xdr:col>17</xdr:col>
      <xdr:colOff>647700</xdr:colOff>
      <xdr:row>32</xdr:row>
      <xdr:rowOff>219075</xdr:rowOff>
    </xdr:to>
    <xdr:sp macro="" textlink="">
      <xdr:nvSpPr>
        <xdr:cNvPr id="10640" name="Line 2"/>
        <xdr:cNvSpPr>
          <a:spLocks noChangeShapeType="1"/>
        </xdr:cNvSpPr>
      </xdr:nvSpPr>
      <xdr:spPr bwMode="auto">
        <a:xfrm>
          <a:off x="8801100" y="4467225"/>
          <a:ext cx="0" cy="866775"/>
        </a:xfrm>
        <a:prstGeom prst="line">
          <a:avLst/>
        </a:prstGeom>
        <a:noFill/>
        <a:ln w="9525">
          <a:solidFill>
            <a:srgbClr val="003366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31</xdr:row>
      <xdr:rowOff>180975</xdr:rowOff>
    </xdr:from>
    <xdr:to>
      <xdr:col>9</xdr:col>
      <xdr:colOff>457200</xdr:colOff>
      <xdr:row>32</xdr:row>
      <xdr:rowOff>19050</xdr:rowOff>
    </xdr:to>
    <xdr:grpSp>
      <xdr:nvGrpSpPr>
        <xdr:cNvPr id="24938" name="Group 32"/>
        <xdr:cNvGrpSpPr>
          <a:grpSpLocks/>
        </xdr:cNvGrpSpPr>
      </xdr:nvGrpSpPr>
      <xdr:grpSpPr bwMode="auto">
        <a:xfrm>
          <a:off x="2269671" y="6671582"/>
          <a:ext cx="609600" cy="42182"/>
          <a:chOff x="9182100" y="3779520"/>
          <a:chExt cx="754380" cy="45719"/>
        </a:xfrm>
      </xdr:grpSpPr>
      <xdr:cxnSp macro="">
        <xdr:nvCxnSpPr>
          <xdr:cNvPr id="34" name="Straight Connector 33"/>
          <xdr:cNvCxnSpPr/>
        </xdr:nvCxnSpPr>
        <xdr:spPr>
          <a:xfrm>
            <a:off x="9193887" y="3779520"/>
            <a:ext cx="74259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Straight Connector 34"/>
          <xdr:cNvCxnSpPr/>
        </xdr:nvCxnSpPr>
        <xdr:spPr>
          <a:xfrm>
            <a:off x="9193887" y="3802380"/>
            <a:ext cx="74259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352425</xdr:colOff>
      <xdr:row>29</xdr:row>
      <xdr:rowOff>0</xdr:rowOff>
    </xdr:from>
    <xdr:to>
      <xdr:col>12</xdr:col>
      <xdr:colOff>0</xdr:colOff>
      <xdr:row>29</xdr:row>
      <xdr:rowOff>47625</xdr:rowOff>
    </xdr:to>
    <xdr:grpSp>
      <xdr:nvGrpSpPr>
        <xdr:cNvPr id="24939" name="Group 35"/>
        <xdr:cNvGrpSpPr>
          <a:grpSpLocks/>
        </xdr:cNvGrpSpPr>
      </xdr:nvGrpSpPr>
      <xdr:grpSpPr bwMode="auto">
        <a:xfrm>
          <a:off x="2774496" y="6082393"/>
          <a:ext cx="613683" cy="47625"/>
          <a:chOff x="9182100" y="3779520"/>
          <a:chExt cx="754380" cy="45719"/>
        </a:xfrm>
      </xdr:grpSpPr>
      <xdr:cxnSp macro="">
        <xdr:nvCxnSpPr>
          <xdr:cNvPr id="37" name="Straight Connector 36"/>
          <xdr:cNvCxnSpPr/>
        </xdr:nvCxnSpPr>
        <xdr:spPr>
          <a:xfrm>
            <a:off x="9193706" y="3779520"/>
            <a:ext cx="74277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Straight Connector 37"/>
          <xdr:cNvCxnSpPr/>
        </xdr:nvCxnSpPr>
        <xdr:spPr>
          <a:xfrm>
            <a:off x="9193706" y="3806951"/>
            <a:ext cx="74277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85725</xdr:colOff>
      <xdr:row>25</xdr:row>
      <xdr:rowOff>190500</xdr:rowOff>
    </xdr:from>
    <xdr:to>
      <xdr:col>9</xdr:col>
      <xdr:colOff>209550</xdr:colOff>
      <xdr:row>26</xdr:row>
      <xdr:rowOff>38100</xdr:rowOff>
    </xdr:to>
    <xdr:grpSp>
      <xdr:nvGrpSpPr>
        <xdr:cNvPr id="24940" name="Group 38"/>
        <xdr:cNvGrpSpPr>
          <a:grpSpLocks/>
        </xdr:cNvGrpSpPr>
      </xdr:nvGrpSpPr>
      <xdr:grpSpPr bwMode="auto">
        <a:xfrm>
          <a:off x="2017939" y="5456464"/>
          <a:ext cx="613682" cy="51707"/>
          <a:chOff x="9182100" y="3779520"/>
          <a:chExt cx="754380" cy="45719"/>
        </a:xfrm>
      </xdr:grpSpPr>
      <xdr:cxnSp macro="">
        <xdr:nvCxnSpPr>
          <xdr:cNvPr id="40" name="Straight Connector 39"/>
          <xdr:cNvCxnSpPr/>
        </xdr:nvCxnSpPr>
        <xdr:spPr>
          <a:xfrm>
            <a:off x="9193887" y="3779520"/>
            <a:ext cx="74259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Straight Connector 40"/>
          <xdr:cNvCxnSpPr/>
        </xdr:nvCxnSpPr>
        <xdr:spPr>
          <a:xfrm>
            <a:off x="9193887" y="3806951"/>
            <a:ext cx="74259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104775</xdr:colOff>
      <xdr:row>22</xdr:row>
      <xdr:rowOff>180975</xdr:rowOff>
    </xdr:from>
    <xdr:to>
      <xdr:col>10</xdr:col>
      <xdr:colOff>219075</xdr:colOff>
      <xdr:row>23</xdr:row>
      <xdr:rowOff>28575</xdr:rowOff>
    </xdr:to>
    <xdr:grpSp>
      <xdr:nvGrpSpPr>
        <xdr:cNvPr id="24941" name="Group 41"/>
        <xdr:cNvGrpSpPr>
          <a:grpSpLocks/>
        </xdr:cNvGrpSpPr>
      </xdr:nvGrpSpPr>
      <xdr:grpSpPr bwMode="auto">
        <a:xfrm>
          <a:off x="2526846" y="4834618"/>
          <a:ext cx="604158" cy="51707"/>
          <a:chOff x="9182100" y="3779520"/>
          <a:chExt cx="754380" cy="45719"/>
        </a:xfrm>
      </xdr:grpSpPr>
      <xdr:cxnSp macro="">
        <xdr:nvCxnSpPr>
          <xdr:cNvPr id="43" name="Straight Connector 42"/>
          <xdr:cNvCxnSpPr/>
        </xdr:nvCxnSpPr>
        <xdr:spPr>
          <a:xfrm>
            <a:off x="9193887" y="3779520"/>
            <a:ext cx="74259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" name="Straight Connector 43"/>
          <xdr:cNvCxnSpPr/>
        </xdr:nvCxnSpPr>
        <xdr:spPr>
          <a:xfrm>
            <a:off x="9193887" y="3806951"/>
            <a:ext cx="74259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142875</xdr:colOff>
      <xdr:row>19</xdr:row>
      <xdr:rowOff>190500</xdr:rowOff>
    </xdr:from>
    <xdr:to>
      <xdr:col>9</xdr:col>
      <xdr:colOff>0</xdr:colOff>
      <xdr:row>20</xdr:row>
      <xdr:rowOff>38100</xdr:rowOff>
    </xdr:to>
    <xdr:grpSp>
      <xdr:nvGrpSpPr>
        <xdr:cNvPr id="24942" name="Group 44"/>
        <xdr:cNvGrpSpPr>
          <a:grpSpLocks/>
        </xdr:cNvGrpSpPr>
      </xdr:nvGrpSpPr>
      <xdr:grpSpPr bwMode="auto">
        <a:xfrm>
          <a:off x="1802946" y="4231821"/>
          <a:ext cx="619125" cy="51708"/>
          <a:chOff x="9182100" y="3779520"/>
          <a:chExt cx="754380" cy="45719"/>
        </a:xfrm>
      </xdr:grpSpPr>
      <xdr:cxnSp macro="">
        <xdr:nvCxnSpPr>
          <xdr:cNvPr id="46" name="Straight Connector 45"/>
          <xdr:cNvCxnSpPr/>
        </xdr:nvCxnSpPr>
        <xdr:spPr>
          <a:xfrm>
            <a:off x="9193887" y="3779520"/>
            <a:ext cx="74259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Straight Connector 46"/>
          <xdr:cNvCxnSpPr/>
        </xdr:nvCxnSpPr>
        <xdr:spPr>
          <a:xfrm>
            <a:off x="9193887" y="3806951"/>
            <a:ext cx="74259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47625</xdr:colOff>
      <xdr:row>16</xdr:row>
      <xdr:rowOff>180975</xdr:rowOff>
    </xdr:from>
    <xdr:to>
      <xdr:col>9</xdr:col>
      <xdr:colOff>466725</xdr:colOff>
      <xdr:row>17</xdr:row>
      <xdr:rowOff>28575</xdr:rowOff>
    </xdr:to>
    <xdr:grpSp>
      <xdr:nvGrpSpPr>
        <xdr:cNvPr id="24943" name="Group 47"/>
        <xdr:cNvGrpSpPr>
          <a:grpSpLocks/>
        </xdr:cNvGrpSpPr>
      </xdr:nvGrpSpPr>
      <xdr:grpSpPr bwMode="auto">
        <a:xfrm>
          <a:off x="2279196" y="3609975"/>
          <a:ext cx="609600" cy="51707"/>
          <a:chOff x="9182100" y="3779520"/>
          <a:chExt cx="754380" cy="45719"/>
        </a:xfrm>
      </xdr:grpSpPr>
      <xdr:cxnSp macro="">
        <xdr:nvCxnSpPr>
          <xdr:cNvPr id="49" name="Straight Connector 48"/>
          <xdr:cNvCxnSpPr/>
        </xdr:nvCxnSpPr>
        <xdr:spPr>
          <a:xfrm>
            <a:off x="9193887" y="3779520"/>
            <a:ext cx="74259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Straight Connector 49"/>
          <xdr:cNvCxnSpPr/>
        </xdr:nvCxnSpPr>
        <xdr:spPr>
          <a:xfrm>
            <a:off x="9193887" y="3806951"/>
            <a:ext cx="74259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352425</xdr:colOff>
      <xdr:row>13</xdr:row>
      <xdr:rowOff>180975</xdr:rowOff>
    </xdr:from>
    <xdr:to>
      <xdr:col>12</xdr:col>
      <xdr:colOff>0</xdr:colOff>
      <xdr:row>14</xdr:row>
      <xdr:rowOff>28575</xdr:rowOff>
    </xdr:to>
    <xdr:grpSp>
      <xdr:nvGrpSpPr>
        <xdr:cNvPr id="24944" name="Group 50"/>
        <xdr:cNvGrpSpPr>
          <a:grpSpLocks/>
        </xdr:cNvGrpSpPr>
      </xdr:nvGrpSpPr>
      <xdr:grpSpPr bwMode="auto">
        <a:xfrm>
          <a:off x="2774496" y="2997654"/>
          <a:ext cx="613683" cy="51707"/>
          <a:chOff x="9182100" y="3779520"/>
          <a:chExt cx="754380" cy="45719"/>
        </a:xfrm>
      </xdr:grpSpPr>
      <xdr:cxnSp macro="">
        <xdr:nvCxnSpPr>
          <xdr:cNvPr id="52" name="Straight Connector 51"/>
          <xdr:cNvCxnSpPr/>
        </xdr:nvCxnSpPr>
        <xdr:spPr>
          <a:xfrm>
            <a:off x="9193706" y="3779520"/>
            <a:ext cx="74277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Straight Connector 52"/>
          <xdr:cNvCxnSpPr/>
        </xdr:nvCxnSpPr>
        <xdr:spPr>
          <a:xfrm>
            <a:off x="9193706" y="3806951"/>
            <a:ext cx="74277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13</xdr:col>
      <xdr:colOff>228600</xdr:colOff>
      <xdr:row>10</xdr:row>
      <xdr:rowOff>180975</xdr:rowOff>
    </xdr:from>
    <xdr:to>
      <xdr:col>13</xdr:col>
      <xdr:colOff>847725</xdr:colOff>
      <xdr:row>11</xdr:row>
      <xdr:rowOff>28575</xdr:rowOff>
    </xdr:to>
    <xdr:grpSp>
      <xdr:nvGrpSpPr>
        <xdr:cNvPr id="24945" name="Group 53"/>
        <xdr:cNvGrpSpPr>
          <a:grpSpLocks/>
        </xdr:cNvGrpSpPr>
      </xdr:nvGrpSpPr>
      <xdr:grpSpPr bwMode="auto">
        <a:xfrm>
          <a:off x="3780064" y="2385332"/>
          <a:ext cx="619125" cy="51707"/>
          <a:chOff x="9182100" y="3779520"/>
          <a:chExt cx="754380" cy="45719"/>
        </a:xfrm>
      </xdr:grpSpPr>
      <xdr:cxnSp macro="">
        <xdr:nvCxnSpPr>
          <xdr:cNvPr id="55" name="Straight Connector 54"/>
          <xdr:cNvCxnSpPr/>
        </xdr:nvCxnSpPr>
        <xdr:spPr>
          <a:xfrm>
            <a:off x="9193706" y="3779520"/>
            <a:ext cx="74277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>
            <a:off x="9193706" y="3806951"/>
            <a:ext cx="74277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57150</xdr:colOff>
      <xdr:row>7</xdr:row>
      <xdr:rowOff>180975</xdr:rowOff>
    </xdr:from>
    <xdr:to>
      <xdr:col>9</xdr:col>
      <xdr:colOff>476250</xdr:colOff>
      <xdr:row>8</xdr:row>
      <xdr:rowOff>28575</xdr:rowOff>
    </xdr:to>
    <xdr:grpSp>
      <xdr:nvGrpSpPr>
        <xdr:cNvPr id="24946" name="Group 56"/>
        <xdr:cNvGrpSpPr>
          <a:grpSpLocks/>
        </xdr:cNvGrpSpPr>
      </xdr:nvGrpSpPr>
      <xdr:grpSpPr bwMode="auto">
        <a:xfrm>
          <a:off x="2288721" y="1773011"/>
          <a:ext cx="609600" cy="51707"/>
          <a:chOff x="9182100" y="3779520"/>
          <a:chExt cx="754380" cy="45719"/>
        </a:xfrm>
      </xdr:grpSpPr>
      <xdr:cxnSp macro="">
        <xdr:nvCxnSpPr>
          <xdr:cNvPr id="58" name="Straight Connector 57"/>
          <xdr:cNvCxnSpPr/>
        </xdr:nvCxnSpPr>
        <xdr:spPr>
          <a:xfrm>
            <a:off x="9193887" y="3779520"/>
            <a:ext cx="74259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>
            <a:off x="9193887" y="3806951"/>
            <a:ext cx="74259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57150</xdr:colOff>
      <xdr:row>4</xdr:row>
      <xdr:rowOff>180975</xdr:rowOff>
    </xdr:from>
    <xdr:to>
      <xdr:col>9</xdr:col>
      <xdr:colOff>180975</xdr:colOff>
      <xdr:row>5</xdr:row>
      <xdr:rowOff>19050</xdr:rowOff>
    </xdr:to>
    <xdr:grpSp>
      <xdr:nvGrpSpPr>
        <xdr:cNvPr id="24947" name="Group 59"/>
        <xdr:cNvGrpSpPr>
          <a:grpSpLocks/>
        </xdr:cNvGrpSpPr>
      </xdr:nvGrpSpPr>
      <xdr:grpSpPr bwMode="auto">
        <a:xfrm>
          <a:off x="1989364" y="1160689"/>
          <a:ext cx="613682" cy="42182"/>
          <a:chOff x="9182100" y="3779520"/>
          <a:chExt cx="754380" cy="45719"/>
        </a:xfrm>
      </xdr:grpSpPr>
      <xdr:cxnSp macro="">
        <xdr:nvCxnSpPr>
          <xdr:cNvPr id="61" name="Straight Connector 60"/>
          <xdr:cNvCxnSpPr/>
        </xdr:nvCxnSpPr>
        <xdr:spPr>
          <a:xfrm>
            <a:off x="9193887" y="3779520"/>
            <a:ext cx="74259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>
            <a:off x="9193887" y="3802380"/>
            <a:ext cx="74259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28575</xdr:colOff>
      <xdr:row>1</xdr:row>
      <xdr:rowOff>219075</xdr:rowOff>
    </xdr:from>
    <xdr:to>
      <xdr:col>28</xdr:col>
      <xdr:colOff>0</xdr:colOff>
      <xdr:row>2</xdr:row>
      <xdr:rowOff>171450</xdr:rowOff>
    </xdr:to>
    <xdr:sp macro="" textlink="">
      <xdr:nvSpPr>
        <xdr:cNvPr id="12784" name="AutoShape 1"/>
        <xdr:cNvSpPr>
          <a:spLocks/>
        </xdr:cNvSpPr>
      </xdr:nvSpPr>
      <xdr:spPr bwMode="auto">
        <a:xfrm rot="-5400000">
          <a:off x="9639300" y="-428625"/>
          <a:ext cx="171450" cy="2152650"/>
        </a:xfrm>
        <a:prstGeom prst="rightBrace">
          <a:avLst>
            <a:gd name="adj1" fmla="val 10463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9525</xdr:colOff>
      <xdr:row>15</xdr:row>
      <xdr:rowOff>238125</xdr:rowOff>
    </xdr:from>
    <xdr:to>
      <xdr:col>27</xdr:col>
      <xdr:colOff>561975</xdr:colOff>
      <xdr:row>16</xdr:row>
      <xdr:rowOff>57150</xdr:rowOff>
    </xdr:to>
    <xdr:sp macro="" textlink="">
      <xdr:nvSpPr>
        <xdr:cNvPr id="12785" name="AutoShape 2"/>
        <xdr:cNvSpPr>
          <a:spLocks/>
        </xdr:cNvSpPr>
      </xdr:nvSpPr>
      <xdr:spPr bwMode="auto">
        <a:xfrm rot="-5400000">
          <a:off x="9677400" y="2257425"/>
          <a:ext cx="57150" cy="2152650"/>
        </a:xfrm>
        <a:prstGeom prst="rightBrace">
          <a:avLst>
            <a:gd name="adj1" fmla="val 31388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228600</xdr:colOff>
      <xdr:row>42</xdr:row>
      <xdr:rowOff>190500</xdr:rowOff>
    </xdr:from>
    <xdr:to>
      <xdr:col>6</xdr:col>
      <xdr:colOff>152400</xdr:colOff>
      <xdr:row>43</xdr:row>
      <xdr:rowOff>38100</xdr:rowOff>
    </xdr:to>
    <xdr:grpSp>
      <xdr:nvGrpSpPr>
        <xdr:cNvPr id="12786" name="Group 15"/>
        <xdr:cNvGrpSpPr>
          <a:grpSpLocks/>
        </xdr:cNvGrpSpPr>
      </xdr:nvGrpSpPr>
      <xdr:grpSpPr bwMode="auto">
        <a:xfrm>
          <a:off x="963386" y="8014607"/>
          <a:ext cx="617764" cy="51707"/>
          <a:chOff x="9182100" y="3779520"/>
          <a:chExt cx="754380" cy="45719"/>
        </a:xfrm>
      </xdr:grpSpPr>
      <xdr:cxnSp macro="">
        <xdr:nvCxnSpPr>
          <xdr:cNvPr id="17" name="Straight Connector 16"/>
          <xdr:cNvCxnSpPr/>
        </xdr:nvCxnSpPr>
        <xdr:spPr>
          <a:xfrm>
            <a:off x="9193706" y="3779520"/>
            <a:ext cx="74277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Straight Connector 17"/>
          <xdr:cNvCxnSpPr/>
        </xdr:nvCxnSpPr>
        <xdr:spPr>
          <a:xfrm>
            <a:off x="9193706" y="3806951"/>
            <a:ext cx="74277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190500</xdr:colOff>
      <xdr:row>28</xdr:row>
      <xdr:rowOff>180975</xdr:rowOff>
    </xdr:from>
    <xdr:to>
      <xdr:col>12</xdr:col>
      <xdr:colOff>85725</xdr:colOff>
      <xdr:row>29</xdr:row>
      <xdr:rowOff>28575</xdr:rowOff>
    </xdr:to>
    <xdr:grpSp>
      <xdr:nvGrpSpPr>
        <xdr:cNvPr id="12787" name="Group 18"/>
        <xdr:cNvGrpSpPr>
          <a:grpSpLocks/>
        </xdr:cNvGrpSpPr>
      </xdr:nvGrpSpPr>
      <xdr:grpSpPr bwMode="auto">
        <a:xfrm>
          <a:off x="2816679" y="5610225"/>
          <a:ext cx="630010" cy="51707"/>
          <a:chOff x="9182100" y="3779520"/>
          <a:chExt cx="754380" cy="45719"/>
        </a:xfrm>
      </xdr:grpSpPr>
      <xdr:cxnSp macro="">
        <xdr:nvCxnSpPr>
          <xdr:cNvPr id="20" name="Straight Connector 19"/>
          <xdr:cNvCxnSpPr/>
        </xdr:nvCxnSpPr>
        <xdr:spPr>
          <a:xfrm>
            <a:off x="9193706" y="3779520"/>
            <a:ext cx="74277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Straight Connector 20"/>
          <xdr:cNvCxnSpPr/>
        </xdr:nvCxnSpPr>
        <xdr:spPr>
          <a:xfrm>
            <a:off x="9193706" y="3806951"/>
            <a:ext cx="74277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190500</xdr:colOff>
      <xdr:row>32</xdr:row>
      <xdr:rowOff>180975</xdr:rowOff>
    </xdr:from>
    <xdr:to>
      <xdr:col>12</xdr:col>
      <xdr:colOff>85725</xdr:colOff>
      <xdr:row>33</xdr:row>
      <xdr:rowOff>28575</xdr:rowOff>
    </xdr:to>
    <xdr:grpSp>
      <xdr:nvGrpSpPr>
        <xdr:cNvPr id="12788" name="Group 21"/>
        <xdr:cNvGrpSpPr>
          <a:grpSpLocks/>
        </xdr:cNvGrpSpPr>
      </xdr:nvGrpSpPr>
      <xdr:grpSpPr bwMode="auto">
        <a:xfrm>
          <a:off x="2816679" y="6276975"/>
          <a:ext cx="630010" cy="51707"/>
          <a:chOff x="9182100" y="3779520"/>
          <a:chExt cx="754380" cy="45719"/>
        </a:xfrm>
      </xdr:grpSpPr>
      <xdr:cxnSp macro="">
        <xdr:nvCxnSpPr>
          <xdr:cNvPr id="23" name="Straight Connector 22"/>
          <xdr:cNvCxnSpPr/>
        </xdr:nvCxnSpPr>
        <xdr:spPr>
          <a:xfrm>
            <a:off x="9193706" y="3779520"/>
            <a:ext cx="74277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Straight Connector 23"/>
          <xdr:cNvCxnSpPr/>
        </xdr:nvCxnSpPr>
        <xdr:spPr>
          <a:xfrm>
            <a:off x="9193706" y="3806951"/>
            <a:ext cx="74277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9525</xdr:colOff>
      <xdr:row>0</xdr:row>
      <xdr:rowOff>238125</xdr:rowOff>
    </xdr:from>
    <xdr:to>
      <xdr:col>21</xdr:col>
      <xdr:colOff>561975</xdr:colOff>
      <xdr:row>1</xdr:row>
      <xdr:rowOff>57150</xdr:rowOff>
    </xdr:to>
    <xdr:sp macro="" textlink="">
      <xdr:nvSpPr>
        <xdr:cNvPr id="13611" name="AutoShape 2"/>
        <xdr:cNvSpPr>
          <a:spLocks/>
        </xdr:cNvSpPr>
      </xdr:nvSpPr>
      <xdr:spPr bwMode="auto">
        <a:xfrm rot="-5400000">
          <a:off x="8462962" y="-738187"/>
          <a:ext cx="180975" cy="2133600"/>
        </a:xfrm>
        <a:prstGeom prst="rightBrace">
          <a:avLst>
            <a:gd name="adj1" fmla="val 9824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47625</xdr:colOff>
      <xdr:row>17</xdr:row>
      <xdr:rowOff>0</xdr:rowOff>
    </xdr:from>
    <xdr:to>
      <xdr:col>9</xdr:col>
      <xdr:colOff>504825</xdr:colOff>
      <xdr:row>17</xdr:row>
      <xdr:rowOff>47625</xdr:rowOff>
    </xdr:to>
    <xdr:grpSp>
      <xdr:nvGrpSpPr>
        <xdr:cNvPr id="13612" name="Group 12"/>
        <xdr:cNvGrpSpPr>
          <a:grpSpLocks/>
        </xdr:cNvGrpSpPr>
      </xdr:nvGrpSpPr>
      <xdr:grpSpPr bwMode="auto">
        <a:xfrm>
          <a:off x="3000375" y="3252107"/>
          <a:ext cx="606879" cy="47625"/>
          <a:chOff x="9182100" y="3779520"/>
          <a:chExt cx="754380" cy="45719"/>
        </a:xfrm>
      </xdr:grpSpPr>
      <xdr:cxnSp macro="">
        <xdr:nvCxnSpPr>
          <xdr:cNvPr id="9" name="Straight Connector 8"/>
          <xdr:cNvCxnSpPr/>
        </xdr:nvCxnSpPr>
        <xdr:spPr>
          <a:xfrm>
            <a:off x="9193887" y="3779520"/>
            <a:ext cx="74259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Straight Connector 11"/>
          <xdr:cNvCxnSpPr/>
        </xdr:nvCxnSpPr>
        <xdr:spPr>
          <a:xfrm>
            <a:off x="9193887" y="3806951"/>
            <a:ext cx="74259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19050</xdr:colOff>
      <xdr:row>13</xdr:row>
      <xdr:rowOff>180975</xdr:rowOff>
    </xdr:from>
    <xdr:to>
      <xdr:col>9</xdr:col>
      <xdr:colOff>485775</xdr:colOff>
      <xdr:row>14</xdr:row>
      <xdr:rowOff>28575</xdr:rowOff>
    </xdr:to>
    <xdr:grpSp>
      <xdr:nvGrpSpPr>
        <xdr:cNvPr id="13613" name="Group 17"/>
        <xdr:cNvGrpSpPr>
          <a:grpSpLocks/>
        </xdr:cNvGrpSpPr>
      </xdr:nvGrpSpPr>
      <xdr:grpSpPr bwMode="auto">
        <a:xfrm>
          <a:off x="2971800" y="2616654"/>
          <a:ext cx="616404" cy="51707"/>
          <a:chOff x="9182100" y="3779520"/>
          <a:chExt cx="754380" cy="45719"/>
        </a:xfrm>
      </xdr:grpSpPr>
      <xdr:cxnSp macro="">
        <xdr:nvCxnSpPr>
          <xdr:cNvPr id="19" name="Straight Connector 18"/>
          <xdr:cNvCxnSpPr/>
        </xdr:nvCxnSpPr>
        <xdr:spPr>
          <a:xfrm>
            <a:off x="9193706" y="3779520"/>
            <a:ext cx="74277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Straight Connector 19"/>
          <xdr:cNvCxnSpPr/>
        </xdr:nvCxnSpPr>
        <xdr:spPr>
          <a:xfrm>
            <a:off x="9193706" y="3806951"/>
            <a:ext cx="74277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314325</xdr:colOff>
      <xdr:row>27</xdr:row>
      <xdr:rowOff>0</xdr:rowOff>
    </xdr:from>
    <xdr:to>
      <xdr:col>4</xdr:col>
      <xdr:colOff>533400</xdr:colOff>
      <xdr:row>27</xdr:row>
      <xdr:rowOff>47625</xdr:rowOff>
    </xdr:to>
    <xdr:grpSp>
      <xdr:nvGrpSpPr>
        <xdr:cNvPr id="13614" name="Group 20"/>
        <xdr:cNvGrpSpPr>
          <a:grpSpLocks/>
        </xdr:cNvGrpSpPr>
      </xdr:nvGrpSpPr>
      <xdr:grpSpPr bwMode="auto">
        <a:xfrm>
          <a:off x="1049111" y="4980214"/>
          <a:ext cx="613682" cy="47625"/>
          <a:chOff x="9182100" y="3779520"/>
          <a:chExt cx="754380" cy="45719"/>
        </a:xfrm>
      </xdr:grpSpPr>
      <xdr:cxnSp macro="">
        <xdr:nvCxnSpPr>
          <xdr:cNvPr id="22" name="Straight Connector 21"/>
          <xdr:cNvCxnSpPr/>
        </xdr:nvCxnSpPr>
        <xdr:spPr>
          <a:xfrm>
            <a:off x="9193706" y="3779520"/>
            <a:ext cx="74277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Straight Connector 22"/>
          <xdr:cNvCxnSpPr/>
        </xdr:nvCxnSpPr>
        <xdr:spPr>
          <a:xfrm>
            <a:off x="9193706" y="3806951"/>
            <a:ext cx="74277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31</xdr:row>
      <xdr:rowOff>171450</xdr:rowOff>
    </xdr:from>
    <xdr:to>
      <xdr:col>6</xdr:col>
      <xdr:colOff>38100</xdr:colOff>
      <xdr:row>32</xdr:row>
      <xdr:rowOff>19050</xdr:rowOff>
    </xdr:to>
    <xdr:grpSp>
      <xdr:nvGrpSpPr>
        <xdr:cNvPr id="17436" name="Group 1"/>
        <xdr:cNvGrpSpPr>
          <a:grpSpLocks/>
        </xdr:cNvGrpSpPr>
      </xdr:nvGrpSpPr>
      <xdr:grpSpPr bwMode="auto">
        <a:xfrm>
          <a:off x="2639786" y="5614307"/>
          <a:ext cx="568778" cy="51707"/>
          <a:chOff x="9182100" y="3779520"/>
          <a:chExt cx="754380" cy="45719"/>
        </a:xfrm>
      </xdr:grpSpPr>
      <xdr:cxnSp macro="">
        <xdr:nvCxnSpPr>
          <xdr:cNvPr id="3" name="Straight Connector 2"/>
          <xdr:cNvCxnSpPr/>
        </xdr:nvCxnSpPr>
        <xdr:spPr>
          <a:xfrm>
            <a:off x="9194673" y="377952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Straight Connector 3"/>
          <xdr:cNvCxnSpPr/>
        </xdr:nvCxnSpPr>
        <xdr:spPr>
          <a:xfrm>
            <a:off x="9194673" y="3797808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8</xdr:row>
      <xdr:rowOff>180975</xdr:rowOff>
    </xdr:from>
    <xdr:to>
      <xdr:col>7</xdr:col>
      <xdr:colOff>209550</xdr:colOff>
      <xdr:row>9</xdr:row>
      <xdr:rowOff>38100</xdr:rowOff>
    </xdr:to>
    <xdr:grpSp>
      <xdr:nvGrpSpPr>
        <xdr:cNvPr id="18530" name="Group 1"/>
        <xdr:cNvGrpSpPr>
          <a:grpSpLocks/>
        </xdr:cNvGrpSpPr>
      </xdr:nvGrpSpPr>
      <xdr:grpSpPr bwMode="auto">
        <a:xfrm>
          <a:off x="2426154" y="1827439"/>
          <a:ext cx="572860" cy="61232"/>
          <a:chOff x="9182100" y="3779520"/>
          <a:chExt cx="754380" cy="45719"/>
        </a:xfrm>
      </xdr:grpSpPr>
      <xdr:cxnSp macro="">
        <xdr:nvCxnSpPr>
          <xdr:cNvPr id="3" name="Straight Connector 2"/>
          <xdr:cNvCxnSpPr/>
        </xdr:nvCxnSpPr>
        <xdr:spPr>
          <a:xfrm>
            <a:off x="9194673" y="377952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Straight Connector 3"/>
          <xdr:cNvCxnSpPr/>
        </xdr:nvCxnSpPr>
        <xdr:spPr>
          <a:xfrm>
            <a:off x="9194673" y="380238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9525</xdr:colOff>
      <xdr:row>13</xdr:row>
      <xdr:rowOff>171450</xdr:rowOff>
    </xdr:from>
    <xdr:to>
      <xdr:col>7</xdr:col>
      <xdr:colOff>133350</xdr:colOff>
      <xdr:row>14</xdr:row>
      <xdr:rowOff>28575</xdr:rowOff>
    </xdr:to>
    <xdr:grpSp>
      <xdr:nvGrpSpPr>
        <xdr:cNvPr id="18531" name="Group 4"/>
        <xdr:cNvGrpSpPr>
          <a:grpSpLocks/>
        </xdr:cNvGrpSpPr>
      </xdr:nvGrpSpPr>
      <xdr:grpSpPr bwMode="auto">
        <a:xfrm>
          <a:off x="2349954" y="2688771"/>
          <a:ext cx="572860" cy="61233"/>
          <a:chOff x="9182100" y="3779520"/>
          <a:chExt cx="754380" cy="45719"/>
        </a:xfrm>
      </xdr:grpSpPr>
      <xdr:cxnSp macro="">
        <xdr:nvCxnSpPr>
          <xdr:cNvPr id="6" name="Straight Connector 5"/>
          <xdr:cNvCxnSpPr/>
        </xdr:nvCxnSpPr>
        <xdr:spPr>
          <a:xfrm>
            <a:off x="9194673" y="377952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Connector 6"/>
          <xdr:cNvCxnSpPr/>
        </xdr:nvCxnSpPr>
        <xdr:spPr>
          <a:xfrm>
            <a:off x="9194673" y="380238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19050</xdr:colOff>
      <xdr:row>18</xdr:row>
      <xdr:rowOff>171450</xdr:rowOff>
    </xdr:from>
    <xdr:to>
      <xdr:col>7</xdr:col>
      <xdr:colOff>142875</xdr:colOff>
      <xdr:row>19</xdr:row>
      <xdr:rowOff>28575</xdr:rowOff>
    </xdr:to>
    <xdr:grpSp>
      <xdr:nvGrpSpPr>
        <xdr:cNvPr id="18532" name="Group 7"/>
        <xdr:cNvGrpSpPr>
          <a:grpSpLocks/>
        </xdr:cNvGrpSpPr>
      </xdr:nvGrpSpPr>
      <xdr:grpSpPr bwMode="auto">
        <a:xfrm>
          <a:off x="2359479" y="3559629"/>
          <a:ext cx="572860" cy="61232"/>
          <a:chOff x="9182100" y="3779520"/>
          <a:chExt cx="754380" cy="45719"/>
        </a:xfrm>
      </xdr:grpSpPr>
      <xdr:cxnSp macro="">
        <xdr:nvCxnSpPr>
          <xdr:cNvPr id="9" name="Straight Connector 8"/>
          <xdr:cNvCxnSpPr/>
        </xdr:nvCxnSpPr>
        <xdr:spPr>
          <a:xfrm>
            <a:off x="9194673" y="377952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9"/>
          <xdr:cNvCxnSpPr/>
        </xdr:nvCxnSpPr>
        <xdr:spPr>
          <a:xfrm>
            <a:off x="9194673" y="380238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85725</xdr:colOff>
      <xdr:row>22</xdr:row>
      <xdr:rowOff>171450</xdr:rowOff>
    </xdr:from>
    <xdr:to>
      <xdr:col>7</xdr:col>
      <xdr:colOff>209550</xdr:colOff>
      <xdr:row>23</xdr:row>
      <xdr:rowOff>19050</xdr:rowOff>
    </xdr:to>
    <xdr:grpSp>
      <xdr:nvGrpSpPr>
        <xdr:cNvPr id="18533" name="Group 10"/>
        <xdr:cNvGrpSpPr>
          <a:grpSpLocks/>
        </xdr:cNvGrpSpPr>
      </xdr:nvGrpSpPr>
      <xdr:grpSpPr bwMode="auto">
        <a:xfrm>
          <a:off x="2426154" y="4226379"/>
          <a:ext cx="572860" cy="51707"/>
          <a:chOff x="9182100" y="3779520"/>
          <a:chExt cx="754380" cy="45719"/>
        </a:xfrm>
      </xdr:grpSpPr>
      <xdr:cxnSp macro="">
        <xdr:nvCxnSpPr>
          <xdr:cNvPr id="12" name="Straight Connector 11"/>
          <xdr:cNvCxnSpPr/>
        </xdr:nvCxnSpPr>
        <xdr:spPr>
          <a:xfrm>
            <a:off x="9194673" y="3779520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Connector 12"/>
          <xdr:cNvCxnSpPr/>
        </xdr:nvCxnSpPr>
        <xdr:spPr>
          <a:xfrm>
            <a:off x="9194673" y="3797808"/>
            <a:ext cx="741807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7" Type="http://schemas.openxmlformats.org/officeDocument/2006/relationships/drawing" Target="../drawings/drawing2.xml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7" Type="http://schemas.openxmlformats.org/officeDocument/2006/relationships/drawing" Target="../drawings/drawing3.xml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7" Type="http://schemas.openxmlformats.org/officeDocument/2006/relationships/drawing" Target="../drawings/drawing4.xml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6" Type="http://schemas.openxmlformats.org/officeDocument/2006/relationships/printerSettings" Target="../printerSettings/printerSettings84.bin"/><Relationship Id="rId5" Type="http://schemas.openxmlformats.org/officeDocument/2006/relationships/printerSettings" Target="../printerSettings/printerSettings83.bin"/><Relationship Id="rId4" Type="http://schemas.openxmlformats.org/officeDocument/2006/relationships/printerSettings" Target="../printerSettings/printerSettings82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9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5" Type="http://schemas.openxmlformats.org/officeDocument/2006/relationships/printerSettings" Target="../printerSettings/printerSettings101.bin"/><Relationship Id="rId4" Type="http://schemas.openxmlformats.org/officeDocument/2006/relationships/printerSettings" Target="../printerSettings/printerSettings100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4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5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1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4" Type="http://schemas.openxmlformats.org/officeDocument/2006/relationships/drawing" Target="../drawings/drawing5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4.bin"/><Relationship Id="rId2" Type="http://schemas.openxmlformats.org/officeDocument/2006/relationships/printerSettings" Target="../printerSettings/printerSettings113.bin"/><Relationship Id="rId1" Type="http://schemas.openxmlformats.org/officeDocument/2006/relationships/printerSettings" Target="../printerSettings/printerSettings112.bin"/><Relationship Id="rId6" Type="http://schemas.openxmlformats.org/officeDocument/2006/relationships/printerSettings" Target="../printerSettings/printerSettings117.bin"/><Relationship Id="rId5" Type="http://schemas.openxmlformats.org/officeDocument/2006/relationships/printerSettings" Target="../printerSettings/printerSettings116.bin"/><Relationship Id="rId4" Type="http://schemas.openxmlformats.org/officeDocument/2006/relationships/printerSettings" Target="../printerSettings/printerSettings115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0.bin"/><Relationship Id="rId2" Type="http://schemas.openxmlformats.org/officeDocument/2006/relationships/printerSettings" Target="../printerSettings/printerSettings119.bin"/><Relationship Id="rId1" Type="http://schemas.openxmlformats.org/officeDocument/2006/relationships/printerSettings" Target="../printerSettings/printerSettings118.bin"/><Relationship Id="rId6" Type="http://schemas.openxmlformats.org/officeDocument/2006/relationships/printerSettings" Target="../printerSettings/printerSettings123.bin"/><Relationship Id="rId5" Type="http://schemas.openxmlformats.org/officeDocument/2006/relationships/printerSettings" Target="../printerSettings/printerSettings122.bin"/><Relationship Id="rId4" Type="http://schemas.openxmlformats.org/officeDocument/2006/relationships/printerSettings" Target="../printerSettings/printerSettings1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6.bin"/><Relationship Id="rId2" Type="http://schemas.openxmlformats.org/officeDocument/2006/relationships/printerSettings" Target="../printerSettings/printerSettings125.bin"/><Relationship Id="rId1" Type="http://schemas.openxmlformats.org/officeDocument/2006/relationships/printerSettings" Target="../printerSettings/printerSettings124.bin"/><Relationship Id="rId6" Type="http://schemas.openxmlformats.org/officeDocument/2006/relationships/printerSettings" Target="../printerSettings/printerSettings129.bin"/><Relationship Id="rId5" Type="http://schemas.openxmlformats.org/officeDocument/2006/relationships/printerSettings" Target="../printerSettings/printerSettings128.bin"/><Relationship Id="rId4" Type="http://schemas.openxmlformats.org/officeDocument/2006/relationships/printerSettings" Target="../printerSettings/printerSettings127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2.bin"/><Relationship Id="rId2" Type="http://schemas.openxmlformats.org/officeDocument/2006/relationships/printerSettings" Target="../printerSettings/printerSettings131.bin"/><Relationship Id="rId1" Type="http://schemas.openxmlformats.org/officeDocument/2006/relationships/printerSettings" Target="../printerSettings/printerSettings130.bin"/><Relationship Id="rId6" Type="http://schemas.openxmlformats.org/officeDocument/2006/relationships/printerSettings" Target="../printerSettings/printerSettings135.bin"/><Relationship Id="rId5" Type="http://schemas.openxmlformats.org/officeDocument/2006/relationships/printerSettings" Target="../printerSettings/printerSettings134.bin"/><Relationship Id="rId4" Type="http://schemas.openxmlformats.org/officeDocument/2006/relationships/printerSettings" Target="../printerSettings/printerSettings13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8.bin"/><Relationship Id="rId2" Type="http://schemas.openxmlformats.org/officeDocument/2006/relationships/printerSettings" Target="../printerSettings/printerSettings137.bin"/><Relationship Id="rId1" Type="http://schemas.openxmlformats.org/officeDocument/2006/relationships/printerSettings" Target="../printerSettings/printerSettings136.bin"/><Relationship Id="rId6" Type="http://schemas.openxmlformats.org/officeDocument/2006/relationships/printerSettings" Target="../printerSettings/printerSettings141.bin"/><Relationship Id="rId5" Type="http://schemas.openxmlformats.org/officeDocument/2006/relationships/printerSettings" Target="../printerSettings/printerSettings140.bin"/><Relationship Id="rId4" Type="http://schemas.openxmlformats.org/officeDocument/2006/relationships/printerSettings" Target="../printerSettings/printerSettings139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4.bin"/><Relationship Id="rId7" Type="http://schemas.openxmlformats.org/officeDocument/2006/relationships/drawing" Target="../drawings/drawing6.xml"/><Relationship Id="rId2" Type="http://schemas.openxmlformats.org/officeDocument/2006/relationships/printerSettings" Target="../printerSettings/printerSettings143.bin"/><Relationship Id="rId1" Type="http://schemas.openxmlformats.org/officeDocument/2006/relationships/printerSettings" Target="../printerSettings/printerSettings142.bin"/><Relationship Id="rId6" Type="http://schemas.openxmlformats.org/officeDocument/2006/relationships/printerSettings" Target="../printerSettings/printerSettings147.bin"/><Relationship Id="rId5" Type="http://schemas.openxmlformats.org/officeDocument/2006/relationships/printerSettings" Target="../printerSettings/printerSettings146.bin"/><Relationship Id="rId4" Type="http://schemas.openxmlformats.org/officeDocument/2006/relationships/printerSettings" Target="../printerSettings/printerSettings14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0.bin"/><Relationship Id="rId7" Type="http://schemas.openxmlformats.org/officeDocument/2006/relationships/drawing" Target="../drawings/drawing7.xml"/><Relationship Id="rId2" Type="http://schemas.openxmlformats.org/officeDocument/2006/relationships/printerSettings" Target="../printerSettings/printerSettings149.bin"/><Relationship Id="rId1" Type="http://schemas.openxmlformats.org/officeDocument/2006/relationships/printerSettings" Target="../printerSettings/printerSettings148.bin"/><Relationship Id="rId6" Type="http://schemas.openxmlformats.org/officeDocument/2006/relationships/printerSettings" Target="../printerSettings/printerSettings153.bin"/><Relationship Id="rId5" Type="http://schemas.openxmlformats.org/officeDocument/2006/relationships/printerSettings" Target="../printerSettings/printerSettings152.bin"/><Relationship Id="rId4" Type="http://schemas.openxmlformats.org/officeDocument/2006/relationships/printerSettings" Target="../printerSettings/printerSettings151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6.bin"/><Relationship Id="rId7" Type="http://schemas.openxmlformats.org/officeDocument/2006/relationships/drawing" Target="../drawings/drawing8.xml"/><Relationship Id="rId2" Type="http://schemas.openxmlformats.org/officeDocument/2006/relationships/printerSettings" Target="../printerSettings/printerSettings155.bin"/><Relationship Id="rId1" Type="http://schemas.openxmlformats.org/officeDocument/2006/relationships/printerSettings" Target="../printerSettings/printerSettings154.bin"/><Relationship Id="rId6" Type="http://schemas.openxmlformats.org/officeDocument/2006/relationships/printerSettings" Target="../printerSettings/printerSettings159.bin"/><Relationship Id="rId5" Type="http://schemas.openxmlformats.org/officeDocument/2006/relationships/printerSettings" Target="../printerSettings/printerSettings158.bin"/><Relationship Id="rId4" Type="http://schemas.openxmlformats.org/officeDocument/2006/relationships/printerSettings" Target="../printerSettings/printerSettings15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2.bin"/><Relationship Id="rId7" Type="http://schemas.openxmlformats.org/officeDocument/2006/relationships/drawing" Target="../drawings/drawing9.xml"/><Relationship Id="rId2" Type="http://schemas.openxmlformats.org/officeDocument/2006/relationships/printerSettings" Target="../printerSettings/printerSettings161.bin"/><Relationship Id="rId1" Type="http://schemas.openxmlformats.org/officeDocument/2006/relationships/printerSettings" Target="../printerSettings/printerSettings160.bin"/><Relationship Id="rId6" Type="http://schemas.openxmlformats.org/officeDocument/2006/relationships/printerSettings" Target="../printerSettings/printerSettings165.bin"/><Relationship Id="rId5" Type="http://schemas.openxmlformats.org/officeDocument/2006/relationships/printerSettings" Target="../printerSettings/printerSettings164.bin"/><Relationship Id="rId4" Type="http://schemas.openxmlformats.org/officeDocument/2006/relationships/printerSettings" Target="../printerSettings/printerSettings16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8.bin"/><Relationship Id="rId2" Type="http://schemas.openxmlformats.org/officeDocument/2006/relationships/printerSettings" Target="../printerSettings/printerSettings167.bin"/><Relationship Id="rId1" Type="http://schemas.openxmlformats.org/officeDocument/2006/relationships/printerSettings" Target="../printerSettings/printerSettings166.bin"/><Relationship Id="rId6" Type="http://schemas.openxmlformats.org/officeDocument/2006/relationships/printerSettings" Target="../printerSettings/printerSettings171.bin"/><Relationship Id="rId5" Type="http://schemas.openxmlformats.org/officeDocument/2006/relationships/printerSettings" Target="../printerSettings/printerSettings170.bin"/><Relationship Id="rId4" Type="http://schemas.openxmlformats.org/officeDocument/2006/relationships/printerSettings" Target="../printerSettings/printerSettings16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4.bin"/><Relationship Id="rId2" Type="http://schemas.openxmlformats.org/officeDocument/2006/relationships/printerSettings" Target="../printerSettings/printerSettings173.bin"/><Relationship Id="rId1" Type="http://schemas.openxmlformats.org/officeDocument/2006/relationships/printerSettings" Target="../printerSettings/printerSettings172.bin"/><Relationship Id="rId6" Type="http://schemas.openxmlformats.org/officeDocument/2006/relationships/printerSettings" Target="../printerSettings/printerSettings177.bin"/><Relationship Id="rId5" Type="http://schemas.openxmlformats.org/officeDocument/2006/relationships/printerSettings" Target="../printerSettings/printerSettings176.bin"/><Relationship Id="rId4" Type="http://schemas.openxmlformats.org/officeDocument/2006/relationships/printerSettings" Target="../printerSettings/printerSettings175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0.bin"/><Relationship Id="rId7" Type="http://schemas.openxmlformats.org/officeDocument/2006/relationships/drawing" Target="../drawings/drawing10.xml"/><Relationship Id="rId2" Type="http://schemas.openxmlformats.org/officeDocument/2006/relationships/printerSettings" Target="../printerSettings/printerSettings179.bin"/><Relationship Id="rId1" Type="http://schemas.openxmlformats.org/officeDocument/2006/relationships/printerSettings" Target="../printerSettings/printerSettings178.bin"/><Relationship Id="rId6" Type="http://schemas.openxmlformats.org/officeDocument/2006/relationships/printerSettings" Target="../printerSettings/printerSettings183.bin"/><Relationship Id="rId5" Type="http://schemas.openxmlformats.org/officeDocument/2006/relationships/printerSettings" Target="../printerSettings/printerSettings182.bin"/><Relationship Id="rId4" Type="http://schemas.openxmlformats.org/officeDocument/2006/relationships/printerSettings" Target="../printerSettings/printerSettings181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6.bin"/><Relationship Id="rId2" Type="http://schemas.openxmlformats.org/officeDocument/2006/relationships/printerSettings" Target="../printerSettings/printerSettings185.bin"/><Relationship Id="rId1" Type="http://schemas.openxmlformats.org/officeDocument/2006/relationships/printerSettings" Target="../printerSettings/printerSettings184.bin"/><Relationship Id="rId6" Type="http://schemas.openxmlformats.org/officeDocument/2006/relationships/printerSettings" Target="../printerSettings/printerSettings189.bin"/><Relationship Id="rId5" Type="http://schemas.openxmlformats.org/officeDocument/2006/relationships/printerSettings" Target="../printerSettings/printerSettings188.bin"/><Relationship Id="rId4" Type="http://schemas.openxmlformats.org/officeDocument/2006/relationships/printerSettings" Target="../printerSettings/printerSettings187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2.bin"/><Relationship Id="rId2" Type="http://schemas.openxmlformats.org/officeDocument/2006/relationships/printerSettings" Target="../printerSettings/printerSettings191.bin"/><Relationship Id="rId1" Type="http://schemas.openxmlformats.org/officeDocument/2006/relationships/printerSettings" Target="../printerSettings/printerSettings190.bin"/><Relationship Id="rId6" Type="http://schemas.openxmlformats.org/officeDocument/2006/relationships/printerSettings" Target="../printerSettings/printerSettings195.bin"/><Relationship Id="rId5" Type="http://schemas.openxmlformats.org/officeDocument/2006/relationships/printerSettings" Target="../printerSettings/printerSettings194.bin"/><Relationship Id="rId4" Type="http://schemas.openxmlformats.org/officeDocument/2006/relationships/printerSettings" Target="../printerSettings/printerSettings193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8.bin"/><Relationship Id="rId2" Type="http://schemas.openxmlformats.org/officeDocument/2006/relationships/printerSettings" Target="../printerSettings/printerSettings197.bin"/><Relationship Id="rId1" Type="http://schemas.openxmlformats.org/officeDocument/2006/relationships/printerSettings" Target="../printerSettings/printerSettings196.bin"/><Relationship Id="rId6" Type="http://schemas.openxmlformats.org/officeDocument/2006/relationships/printerSettings" Target="../printerSettings/printerSettings201.bin"/><Relationship Id="rId5" Type="http://schemas.openxmlformats.org/officeDocument/2006/relationships/printerSettings" Target="../printerSettings/printerSettings200.bin"/><Relationship Id="rId4" Type="http://schemas.openxmlformats.org/officeDocument/2006/relationships/printerSettings" Target="../printerSettings/printerSettings199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4.bin"/><Relationship Id="rId7" Type="http://schemas.openxmlformats.org/officeDocument/2006/relationships/drawing" Target="../drawings/drawing11.xml"/><Relationship Id="rId2" Type="http://schemas.openxmlformats.org/officeDocument/2006/relationships/printerSettings" Target="../printerSettings/printerSettings203.bin"/><Relationship Id="rId1" Type="http://schemas.openxmlformats.org/officeDocument/2006/relationships/printerSettings" Target="../printerSettings/printerSettings202.bin"/><Relationship Id="rId6" Type="http://schemas.openxmlformats.org/officeDocument/2006/relationships/printerSettings" Target="../printerSettings/printerSettings207.bin"/><Relationship Id="rId5" Type="http://schemas.openxmlformats.org/officeDocument/2006/relationships/printerSettings" Target="../printerSettings/printerSettings206.bin"/><Relationship Id="rId4" Type="http://schemas.openxmlformats.org/officeDocument/2006/relationships/printerSettings" Target="../printerSettings/printerSettings205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0.bin"/><Relationship Id="rId7" Type="http://schemas.openxmlformats.org/officeDocument/2006/relationships/drawing" Target="../drawings/drawing12.xml"/><Relationship Id="rId2" Type="http://schemas.openxmlformats.org/officeDocument/2006/relationships/printerSettings" Target="../printerSettings/printerSettings209.bin"/><Relationship Id="rId1" Type="http://schemas.openxmlformats.org/officeDocument/2006/relationships/printerSettings" Target="../printerSettings/printerSettings208.bin"/><Relationship Id="rId6" Type="http://schemas.openxmlformats.org/officeDocument/2006/relationships/printerSettings" Target="../printerSettings/printerSettings213.bin"/><Relationship Id="rId5" Type="http://schemas.openxmlformats.org/officeDocument/2006/relationships/printerSettings" Target="../printerSettings/printerSettings212.bin"/><Relationship Id="rId4" Type="http://schemas.openxmlformats.org/officeDocument/2006/relationships/printerSettings" Target="../printerSettings/printerSettings211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6.bin"/><Relationship Id="rId7" Type="http://schemas.openxmlformats.org/officeDocument/2006/relationships/drawing" Target="../drawings/drawing13.xml"/><Relationship Id="rId2" Type="http://schemas.openxmlformats.org/officeDocument/2006/relationships/printerSettings" Target="../printerSettings/printerSettings215.bin"/><Relationship Id="rId1" Type="http://schemas.openxmlformats.org/officeDocument/2006/relationships/printerSettings" Target="../printerSettings/printerSettings214.bin"/><Relationship Id="rId6" Type="http://schemas.openxmlformats.org/officeDocument/2006/relationships/printerSettings" Target="../printerSettings/printerSettings219.bin"/><Relationship Id="rId5" Type="http://schemas.openxmlformats.org/officeDocument/2006/relationships/printerSettings" Target="../printerSettings/printerSettings218.bin"/><Relationship Id="rId4" Type="http://schemas.openxmlformats.org/officeDocument/2006/relationships/printerSettings" Target="../printerSettings/printerSettings217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2.bin"/><Relationship Id="rId2" Type="http://schemas.openxmlformats.org/officeDocument/2006/relationships/printerSettings" Target="../printerSettings/printerSettings221.bin"/><Relationship Id="rId1" Type="http://schemas.openxmlformats.org/officeDocument/2006/relationships/printerSettings" Target="../printerSettings/printerSettings220.bin"/><Relationship Id="rId6" Type="http://schemas.openxmlformats.org/officeDocument/2006/relationships/printerSettings" Target="../printerSettings/printerSettings225.bin"/><Relationship Id="rId5" Type="http://schemas.openxmlformats.org/officeDocument/2006/relationships/printerSettings" Target="../printerSettings/printerSettings224.bin"/><Relationship Id="rId4" Type="http://schemas.openxmlformats.org/officeDocument/2006/relationships/printerSettings" Target="../printerSettings/printerSettings22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8.bin"/><Relationship Id="rId2" Type="http://schemas.openxmlformats.org/officeDocument/2006/relationships/printerSettings" Target="../printerSettings/printerSettings227.bin"/><Relationship Id="rId1" Type="http://schemas.openxmlformats.org/officeDocument/2006/relationships/printerSettings" Target="../printerSettings/printerSettings226.bin"/><Relationship Id="rId6" Type="http://schemas.openxmlformats.org/officeDocument/2006/relationships/printerSettings" Target="../printerSettings/printerSettings231.bin"/><Relationship Id="rId5" Type="http://schemas.openxmlformats.org/officeDocument/2006/relationships/printerSettings" Target="../printerSettings/printerSettings230.bin"/><Relationship Id="rId4" Type="http://schemas.openxmlformats.org/officeDocument/2006/relationships/printerSettings" Target="../printerSettings/printerSettings229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4.bin"/><Relationship Id="rId2" Type="http://schemas.openxmlformats.org/officeDocument/2006/relationships/printerSettings" Target="../printerSettings/printerSettings233.bin"/><Relationship Id="rId1" Type="http://schemas.openxmlformats.org/officeDocument/2006/relationships/printerSettings" Target="../printerSettings/printerSettings232.bin"/><Relationship Id="rId6" Type="http://schemas.openxmlformats.org/officeDocument/2006/relationships/printerSettings" Target="../printerSettings/printerSettings237.bin"/><Relationship Id="rId5" Type="http://schemas.openxmlformats.org/officeDocument/2006/relationships/printerSettings" Target="../printerSettings/printerSettings236.bin"/><Relationship Id="rId4" Type="http://schemas.openxmlformats.org/officeDocument/2006/relationships/printerSettings" Target="../printerSettings/printerSettings235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0.bin"/><Relationship Id="rId7" Type="http://schemas.openxmlformats.org/officeDocument/2006/relationships/drawing" Target="../drawings/drawing14.xml"/><Relationship Id="rId2" Type="http://schemas.openxmlformats.org/officeDocument/2006/relationships/printerSettings" Target="../printerSettings/printerSettings239.bin"/><Relationship Id="rId1" Type="http://schemas.openxmlformats.org/officeDocument/2006/relationships/printerSettings" Target="../printerSettings/printerSettings238.bin"/><Relationship Id="rId6" Type="http://schemas.openxmlformats.org/officeDocument/2006/relationships/printerSettings" Target="../printerSettings/printerSettings243.bin"/><Relationship Id="rId5" Type="http://schemas.openxmlformats.org/officeDocument/2006/relationships/printerSettings" Target="../printerSettings/printerSettings242.bin"/><Relationship Id="rId4" Type="http://schemas.openxmlformats.org/officeDocument/2006/relationships/printerSettings" Target="../printerSettings/printerSettings241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6.bin"/><Relationship Id="rId2" Type="http://schemas.openxmlformats.org/officeDocument/2006/relationships/printerSettings" Target="../printerSettings/printerSettings245.bin"/><Relationship Id="rId1" Type="http://schemas.openxmlformats.org/officeDocument/2006/relationships/printerSettings" Target="../printerSettings/printerSettings244.bin"/><Relationship Id="rId6" Type="http://schemas.openxmlformats.org/officeDocument/2006/relationships/printerSettings" Target="../printerSettings/printerSettings249.bin"/><Relationship Id="rId5" Type="http://schemas.openxmlformats.org/officeDocument/2006/relationships/printerSettings" Target="../printerSettings/printerSettings248.bin"/><Relationship Id="rId4" Type="http://schemas.openxmlformats.org/officeDocument/2006/relationships/printerSettings" Target="../printerSettings/printerSettings247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2.bin"/><Relationship Id="rId2" Type="http://schemas.openxmlformats.org/officeDocument/2006/relationships/printerSettings" Target="../printerSettings/printerSettings251.bin"/><Relationship Id="rId1" Type="http://schemas.openxmlformats.org/officeDocument/2006/relationships/printerSettings" Target="../printerSettings/printerSettings250.bin"/><Relationship Id="rId6" Type="http://schemas.openxmlformats.org/officeDocument/2006/relationships/printerSettings" Target="../printerSettings/printerSettings255.bin"/><Relationship Id="rId5" Type="http://schemas.openxmlformats.org/officeDocument/2006/relationships/printerSettings" Target="../printerSettings/printerSettings254.bin"/><Relationship Id="rId4" Type="http://schemas.openxmlformats.org/officeDocument/2006/relationships/printerSettings" Target="../printerSettings/printerSettings253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8.bin"/><Relationship Id="rId2" Type="http://schemas.openxmlformats.org/officeDocument/2006/relationships/printerSettings" Target="../printerSettings/printerSettings257.bin"/><Relationship Id="rId1" Type="http://schemas.openxmlformats.org/officeDocument/2006/relationships/printerSettings" Target="../printerSettings/printerSettings256.bin"/><Relationship Id="rId6" Type="http://schemas.openxmlformats.org/officeDocument/2006/relationships/printerSettings" Target="../printerSettings/printerSettings261.bin"/><Relationship Id="rId5" Type="http://schemas.openxmlformats.org/officeDocument/2006/relationships/printerSettings" Target="../printerSettings/printerSettings260.bin"/><Relationship Id="rId4" Type="http://schemas.openxmlformats.org/officeDocument/2006/relationships/printerSettings" Target="../printerSettings/printerSettings259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64.bin"/><Relationship Id="rId7" Type="http://schemas.openxmlformats.org/officeDocument/2006/relationships/drawing" Target="../drawings/drawing15.xml"/><Relationship Id="rId2" Type="http://schemas.openxmlformats.org/officeDocument/2006/relationships/printerSettings" Target="../printerSettings/printerSettings263.bin"/><Relationship Id="rId1" Type="http://schemas.openxmlformats.org/officeDocument/2006/relationships/printerSettings" Target="../printerSettings/printerSettings262.bin"/><Relationship Id="rId6" Type="http://schemas.openxmlformats.org/officeDocument/2006/relationships/printerSettings" Target="../printerSettings/printerSettings267.bin"/><Relationship Id="rId5" Type="http://schemas.openxmlformats.org/officeDocument/2006/relationships/printerSettings" Target="../printerSettings/printerSettings266.bin"/><Relationship Id="rId4" Type="http://schemas.openxmlformats.org/officeDocument/2006/relationships/printerSettings" Target="../printerSettings/printerSettings265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0.bin"/><Relationship Id="rId2" Type="http://schemas.openxmlformats.org/officeDocument/2006/relationships/printerSettings" Target="../printerSettings/printerSettings269.bin"/><Relationship Id="rId1" Type="http://schemas.openxmlformats.org/officeDocument/2006/relationships/printerSettings" Target="../printerSettings/printerSettings268.bin"/><Relationship Id="rId6" Type="http://schemas.openxmlformats.org/officeDocument/2006/relationships/printerSettings" Target="../printerSettings/printerSettings273.bin"/><Relationship Id="rId5" Type="http://schemas.openxmlformats.org/officeDocument/2006/relationships/printerSettings" Target="../printerSettings/printerSettings272.bin"/><Relationship Id="rId4" Type="http://schemas.openxmlformats.org/officeDocument/2006/relationships/printerSettings" Target="../printerSettings/printerSettings271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6.bin"/><Relationship Id="rId2" Type="http://schemas.openxmlformats.org/officeDocument/2006/relationships/printerSettings" Target="../printerSettings/printerSettings275.bin"/><Relationship Id="rId1" Type="http://schemas.openxmlformats.org/officeDocument/2006/relationships/printerSettings" Target="../printerSettings/printerSettings274.bin"/><Relationship Id="rId6" Type="http://schemas.openxmlformats.org/officeDocument/2006/relationships/printerSettings" Target="../printerSettings/printerSettings279.bin"/><Relationship Id="rId5" Type="http://schemas.openxmlformats.org/officeDocument/2006/relationships/printerSettings" Target="../printerSettings/printerSettings278.bin"/><Relationship Id="rId4" Type="http://schemas.openxmlformats.org/officeDocument/2006/relationships/printerSettings" Target="../printerSettings/printerSettings277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2.bin"/><Relationship Id="rId2" Type="http://schemas.openxmlformats.org/officeDocument/2006/relationships/printerSettings" Target="../printerSettings/printerSettings281.bin"/><Relationship Id="rId1" Type="http://schemas.openxmlformats.org/officeDocument/2006/relationships/printerSettings" Target="../printerSettings/printerSettings280.bin"/><Relationship Id="rId6" Type="http://schemas.openxmlformats.org/officeDocument/2006/relationships/printerSettings" Target="../printerSettings/printerSettings285.bin"/><Relationship Id="rId5" Type="http://schemas.openxmlformats.org/officeDocument/2006/relationships/printerSettings" Target="../printerSettings/printerSettings284.bin"/><Relationship Id="rId4" Type="http://schemas.openxmlformats.org/officeDocument/2006/relationships/printerSettings" Target="../printerSettings/printerSettings28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8.bin"/><Relationship Id="rId2" Type="http://schemas.openxmlformats.org/officeDocument/2006/relationships/printerSettings" Target="../printerSettings/printerSettings287.bin"/><Relationship Id="rId1" Type="http://schemas.openxmlformats.org/officeDocument/2006/relationships/printerSettings" Target="../printerSettings/printerSettings286.bin"/><Relationship Id="rId6" Type="http://schemas.openxmlformats.org/officeDocument/2006/relationships/printerSettings" Target="../printerSettings/printerSettings291.bin"/><Relationship Id="rId5" Type="http://schemas.openxmlformats.org/officeDocument/2006/relationships/printerSettings" Target="../printerSettings/printerSettings290.bin"/><Relationship Id="rId4" Type="http://schemas.openxmlformats.org/officeDocument/2006/relationships/printerSettings" Target="../printerSettings/printerSettings289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4.bin"/><Relationship Id="rId2" Type="http://schemas.openxmlformats.org/officeDocument/2006/relationships/printerSettings" Target="../printerSettings/printerSettings293.bin"/><Relationship Id="rId1" Type="http://schemas.openxmlformats.org/officeDocument/2006/relationships/printerSettings" Target="../printerSettings/printerSettings292.bin"/><Relationship Id="rId6" Type="http://schemas.openxmlformats.org/officeDocument/2006/relationships/printerSettings" Target="../printerSettings/printerSettings297.bin"/><Relationship Id="rId5" Type="http://schemas.openxmlformats.org/officeDocument/2006/relationships/printerSettings" Target="../printerSettings/printerSettings296.bin"/><Relationship Id="rId4" Type="http://schemas.openxmlformats.org/officeDocument/2006/relationships/printerSettings" Target="../printerSettings/printerSettings295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0.bin"/><Relationship Id="rId2" Type="http://schemas.openxmlformats.org/officeDocument/2006/relationships/printerSettings" Target="../printerSettings/printerSettings299.bin"/><Relationship Id="rId1" Type="http://schemas.openxmlformats.org/officeDocument/2006/relationships/printerSettings" Target="../printerSettings/printerSettings298.bin"/><Relationship Id="rId6" Type="http://schemas.openxmlformats.org/officeDocument/2006/relationships/printerSettings" Target="../printerSettings/printerSettings303.bin"/><Relationship Id="rId5" Type="http://schemas.openxmlformats.org/officeDocument/2006/relationships/printerSettings" Target="../printerSettings/printerSettings302.bin"/><Relationship Id="rId4" Type="http://schemas.openxmlformats.org/officeDocument/2006/relationships/printerSettings" Target="../printerSettings/printerSettings301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6.bin"/><Relationship Id="rId2" Type="http://schemas.openxmlformats.org/officeDocument/2006/relationships/printerSettings" Target="../printerSettings/printerSettings305.bin"/><Relationship Id="rId1" Type="http://schemas.openxmlformats.org/officeDocument/2006/relationships/printerSettings" Target="../printerSettings/printerSettings304.bin"/><Relationship Id="rId6" Type="http://schemas.openxmlformats.org/officeDocument/2006/relationships/printerSettings" Target="../printerSettings/printerSettings309.bin"/><Relationship Id="rId5" Type="http://schemas.openxmlformats.org/officeDocument/2006/relationships/printerSettings" Target="../printerSettings/printerSettings308.bin"/><Relationship Id="rId4" Type="http://schemas.openxmlformats.org/officeDocument/2006/relationships/printerSettings" Target="../printerSettings/printerSettings307.bin"/></Relationships>
</file>

<file path=xl/worksheets/_rels/sheet5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12.bin"/><Relationship Id="rId7" Type="http://schemas.openxmlformats.org/officeDocument/2006/relationships/drawing" Target="../drawings/drawing16.xml"/><Relationship Id="rId2" Type="http://schemas.openxmlformats.org/officeDocument/2006/relationships/printerSettings" Target="../printerSettings/printerSettings311.bin"/><Relationship Id="rId1" Type="http://schemas.openxmlformats.org/officeDocument/2006/relationships/printerSettings" Target="../printerSettings/printerSettings310.bin"/><Relationship Id="rId6" Type="http://schemas.openxmlformats.org/officeDocument/2006/relationships/printerSettings" Target="../printerSettings/printerSettings315.bin"/><Relationship Id="rId5" Type="http://schemas.openxmlformats.org/officeDocument/2006/relationships/printerSettings" Target="../printerSettings/printerSettings314.bin"/><Relationship Id="rId4" Type="http://schemas.openxmlformats.org/officeDocument/2006/relationships/printerSettings" Target="../printerSettings/printerSettings313.bin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18.bin"/><Relationship Id="rId2" Type="http://schemas.openxmlformats.org/officeDocument/2006/relationships/printerSettings" Target="../printerSettings/printerSettings317.bin"/><Relationship Id="rId1" Type="http://schemas.openxmlformats.org/officeDocument/2006/relationships/printerSettings" Target="../printerSettings/printerSettings316.bin"/><Relationship Id="rId6" Type="http://schemas.openxmlformats.org/officeDocument/2006/relationships/printerSettings" Target="../printerSettings/printerSettings321.bin"/><Relationship Id="rId5" Type="http://schemas.openxmlformats.org/officeDocument/2006/relationships/printerSettings" Target="../printerSettings/printerSettings320.bin"/><Relationship Id="rId4" Type="http://schemas.openxmlformats.org/officeDocument/2006/relationships/printerSettings" Target="../printerSettings/printerSettings319.bin"/></Relationships>
</file>

<file path=xl/worksheets/_rels/sheet5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24.bin"/><Relationship Id="rId2" Type="http://schemas.openxmlformats.org/officeDocument/2006/relationships/printerSettings" Target="../printerSettings/printerSettings323.bin"/><Relationship Id="rId1" Type="http://schemas.openxmlformats.org/officeDocument/2006/relationships/printerSettings" Target="../printerSettings/printerSettings322.bin"/><Relationship Id="rId6" Type="http://schemas.openxmlformats.org/officeDocument/2006/relationships/printerSettings" Target="../printerSettings/printerSettings327.bin"/><Relationship Id="rId5" Type="http://schemas.openxmlformats.org/officeDocument/2006/relationships/printerSettings" Target="../printerSettings/printerSettings326.bin"/><Relationship Id="rId4" Type="http://schemas.openxmlformats.org/officeDocument/2006/relationships/printerSettings" Target="../printerSettings/printerSettings325.bin"/></Relationships>
</file>

<file path=xl/worksheets/_rels/sheet5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0.bin"/><Relationship Id="rId2" Type="http://schemas.openxmlformats.org/officeDocument/2006/relationships/printerSettings" Target="../printerSettings/printerSettings329.bin"/><Relationship Id="rId1" Type="http://schemas.openxmlformats.org/officeDocument/2006/relationships/printerSettings" Target="../printerSettings/printerSettings328.bin"/><Relationship Id="rId6" Type="http://schemas.openxmlformats.org/officeDocument/2006/relationships/printerSettings" Target="../printerSettings/printerSettings333.bin"/><Relationship Id="rId5" Type="http://schemas.openxmlformats.org/officeDocument/2006/relationships/printerSettings" Target="../printerSettings/printerSettings332.bin"/><Relationship Id="rId4" Type="http://schemas.openxmlformats.org/officeDocument/2006/relationships/printerSettings" Target="../printerSettings/printerSettings33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7" Type="http://schemas.openxmlformats.org/officeDocument/2006/relationships/drawing" Target="../drawings/drawing1.xml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abSelected="1" zoomScale="70" zoomScaleNormal="70" workbookViewId="0">
      <selection sqref="A1:J1"/>
    </sheetView>
  </sheetViews>
  <sheetFormatPr defaultRowHeight="12.75" x14ac:dyDescent="0.2"/>
  <cols>
    <col min="1" max="1" width="1.7109375" style="2" customWidth="1"/>
    <col min="2" max="3" width="4.42578125" style="2" customWidth="1"/>
    <col min="4" max="4" width="4.7109375" style="2" customWidth="1"/>
    <col min="5" max="7" width="10.7109375" style="2" customWidth="1"/>
    <col min="8" max="8" width="9.140625" style="2"/>
    <col min="9" max="9" width="18" style="2" customWidth="1"/>
    <col min="10" max="10" width="8.5703125" style="2" customWidth="1"/>
    <col min="11" max="11" width="9.85546875" style="2" customWidth="1"/>
    <col min="12" max="16384" width="9.140625" style="2"/>
  </cols>
  <sheetData>
    <row r="1" spans="1:16" ht="28.5" customHeight="1" x14ac:dyDescent="0.2">
      <c r="A1" s="340"/>
      <c r="B1" s="340"/>
      <c r="C1" s="340"/>
      <c r="D1" s="340"/>
      <c r="E1" s="340"/>
      <c r="F1" s="340"/>
      <c r="G1" s="340"/>
      <c r="H1" s="340"/>
      <c r="I1" s="340"/>
      <c r="J1" s="340"/>
    </row>
    <row r="2" spans="1:16" ht="12.75" customHeight="1" x14ac:dyDescent="0.2">
      <c r="B2" s="341">
        <v>1</v>
      </c>
      <c r="C2" s="342"/>
      <c r="D2" s="343"/>
      <c r="E2" s="350" t="s">
        <v>334</v>
      </c>
      <c r="F2" s="351"/>
      <c r="G2" s="351"/>
      <c r="H2" s="351"/>
      <c r="I2" s="351"/>
      <c r="J2" s="351"/>
    </row>
    <row r="3" spans="1:16" ht="12.75" customHeight="1" x14ac:dyDescent="0.2">
      <c r="B3" s="344"/>
      <c r="C3" s="345"/>
      <c r="D3" s="346"/>
      <c r="E3" s="350"/>
      <c r="F3" s="351"/>
      <c r="G3" s="351"/>
      <c r="H3" s="351"/>
      <c r="I3" s="351"/>
      <c r="J3" s="351"/>
    </row>
    <row r="4" spans="1:16" ht="12.75" customHeight="1" x14ac:dyDescent="0.2">
      <c r="B4" s="344"/>
      <c r="C4" s="345"/>
      <c r="D4" s="346"/>
      <c r="E4" s="350"/>
      <c r="F4" s="351"/>
      <c r="G4" s="351"/>
      <c r="H4" s="351"/>
      <c r="I4" s="351"/>
      <c r="J4" s="351"/>
    </row>
    <row r="5" spans="1:16" ht="12.75" customHeight="1" x14ac:dyDescent="0.2">
      <c r="B5" s="344"/>
      <c r="C5" s="345"/>
      <c r="D5" s="346"/>
      <c r="E5" s="350"/>
      <c r="F5" s="351"/>
      <c r="G5" s="351"/>
      <c r="H5" s="351"/>
      <c r="I5" s="351"/>
      <c r="J5" s="351"/>
    </row>
    <row r="6" spans="1:16" ht="12.75" customHeight="1" x14ac:dyDescent="0.2">
      <c r="B6" s="347"/>
      <c r="C6" s="348"/>
      <c r="D6" s="349"/>
      <c r="E6" s="350"/>
      <c r="F6" s="351"/>
      <c r="G6" s="351"/>
      <c r="H6" s="351"/>
      <c r="I6" s="351"/>
      <c r="J6" s="351"/>
    </row>
    <row r="7" spans="1:16" ht="12.75" customHeight="1" x14ac:dyDescent="0.2">
      <c r="B7" s="55"/>
      <c r="C7" s="55"/>
      <c r="D7" s="56"/>
      <c r="E7" s="56"/>
      <c r="F7" s="56"/>
      <c r="G7" s="56"/>
      <c r="H7" s="56"/>
      <c r="I7" s="56"/>
    </row>
    <row r="8" spans="1:16" ht="20.100000000000001" customHeight="1" x14ac:dyDescent="0.25">
      <c r="B8" s="352" t="s">
        <v>335</v>
      </c>
      <c r="C8" s="352"/>
      <c r="D8" s="352"/>
      <c r="E8" s="352"/>
      <c r="F8" s="352"/>
      <c r="G8" s="352"/>
      <c r="H8" s="352"/>
      <c r="I8" s="352"/>
      <c r="J8" s="352"/>
      <c r="K8" s="352"/>
      <c r="M8" s="2" t="s">
        <v>337</v>
      </c>
      <c r="P8" s="2" t="s">
        <v>337</v>
      </c>
    </row>
    <row r="9" spans="1:16" ht="9.9499999999999993" customHeight="1" x14ac:dyDescent="0.2">
      <c r="O9" s="2" t="s">
        <v>337</v>
      </c>
    </row>
    <row r="10" spans="1:16" ht="17.100000000000001" customHeight="1" x14ac:dyDescent="0.25">
      <c r="B10" s="3" t="s">
        <v>758</v>
      </c>
      <c r="C10" s="5" t="s">
        <v>336</v>
      </c>
      <c r="D10" s="4"/>
      <c r="E10" s="4"/>
      <c r="F10" s="4"/>
      <c r="G10" s="4"/>
      <c r="H10" s="4"/>
      <c r="I10" s="4"/>
      <c r="J10" s="4"/>
    </row>
    <row r="11" spans="1:16" ht="14.1" customHeight="1" x14ac:dyDescent="0.2">
      <c r="C11" s="5" t="s">
        <v>338</v>
      </c>
      <c r="D11" s="4"/>
      <c r="E11" s="4"/>
      <c r="F11" s="4"/>
      <c r="G11" s="4"/>
      <c r="H11" s="4"/>
      <c r="I11" s="4"/>
      <c r="J11" s="4"/>
      <c r="M11" s="2" t="s">
        <v>337</v>
      </c>
      <c r="N11" s="2" t="s">
        <v>337</v>
      </c>
    </row>
    <row r="12" spans="1:16" ht="14.1" customHeight="1" x14ac:dyDescent="0.2">
      <c r="C12" s="5" t="s">
        <v>339</v>
      </c>
      <c r="D12" s="4"/>
      <c r="E12" s="4"/>
      <c r="F12" s="4"/>
      <c r="G12" s="4"/>
      <c r="H12" s="4"/>
      <c r="I12" s="4"/>
      <c r="J12" s="4"/>
      <c r="L12" s="2" t="s">
        <v>337</v>
      </c>
      <c r="M12" s="2" t="s">
        <v>337</v>
      </c>
      <c r="N12" s="2" t="s">
        <v>337</v>
      </c>
    </row>
    <row r="13" spans="1:16" ht="14.1" customHeight="1" x14ac:dyDescent="0.2">
      <c r="C13" s="5" t="s">
        <v>340</v>
      </c>
      <c r="D13" s="4"/>
      <c r="E13" s="4"/>
      <c r="F13" s="4"/>
      <c r="G13" s="4"/>
      <c r="H13" s="4"/>
      <c r="I13" s="4"/>
      <c r="J13" s="4"/>
      <c r="N13" s="2" t="s">
        <v>337</v>
      </c>
    </row>
    <row r="14" spans="1:16" ht="14.1" customHeight="1" x14ac:dyDescent="0.2">
      <c r="C14" s="5" t="s">
        <v>341</v>
      </c>
      <c r="D14" s="4"/>
      <c r="E14" s="4"/>
      <c r="F14" s="4"/>
      <c r="G14" s="4"/>
      <c r="H14" s="4"/>
      <c r="I14" s="4"/>
      <c r="J14" s="4"/>
      <c r="P14" s="2" t="s">
        <v>337</v>
      </c>
    </row>
    <row r="15" spans="1:16" ht="14.1" customHeight="1" x14ac:dyDescent="0.2">
      <c r="C15" s="4" t="s">
        <v>821</v>
      </c>
      <c r="D15" s="4"/>
      <c r="E15" s="4"/>
      <c r="F15" s="4"/>
      <c r="G15" s="4"/>
      <c r="H15" s="4"/>
      <c r="I15" s="4"/>
      <c r="J15" s="4"/>
      <c r="P15" s="2" t="s">
        <v>337</v>
      </c>
    </row>
    <row r="16" spans="1:16" ht="14.1" customHeight="1" x14ac:dyDescent="0.2">
      <c r="C16" s="4" t="s">
        <v>822</v>
      </c>
      <c r="D16" s="4"/>
      <c r="E16" s="4"/>
      <c r="F16" s="4"/>
      <c r="G16" s="4"/>
      <c r="H16" s="4"/>
      <c r="I16" s="4"/>
      <c r="J16" s="4"/>
    </row>
    <row r="17" spans="2:17" ht="14.1" customHeight="1" x14ac:dyDescent="0.2">
      <c r="C17" s="4" t="s">
        <v>823</v>
      </c>
      <c r="D17" s="4"/>
      <c r="E17" s="4"/>
      <c r="F17" s="4"/>
      <c r="G17" s="4"/>
      <c r="H17" s="4"/>
      <c r="I17" s="4"/>
      <c r="J17" s="4"/>
      <c r="L17" s="2" t="s">
        <v>337</v>
      </c>
      <c r="O17" s="2" t="s">
        <v>337</v>
      </c>
    </row>
    <row r="18" spans="2:17" ht="9.9499999999999993" customHeight="1" x14ac:dyDescent="0.2">
      <c r="B18" s="4"/>
      <c r="C18" s="4"/>
      <c r="D18" s="4"/>
      <c r="E18" s="4"/>
      <c r="F18" s="4"/>
      <c r="G18" s="4"/>
      <c r="H18" s="4"/>
      <c r="I18" s="4"/>
      <c r="J18" s="4"/>
    </row>
    <row r="19" spans="2:17" ht="14.1" customHeight="1" x14ac:dyDescent="0.25">
      <c r="B19" s="3" t="s">
        <v>759</v>
      </c>
      <c r="C19" s="57" t="s">
        <v>824</v>
      </c>
      <c r="D19" s="4"/>
      <c r="E19" s="4"/>
      <c r="F19" s="4"/>
      <c r="G19" s="4"/>
      <c r="H19" s="4"/>
      <c r="I19" s="4"/>
      <c r="J19" s="4"/>
      <c r="O19" s="2" t="s">
        <v>337</v>
      </c>
    </row>
    <row r="20" spans="2:17" ht="14.1" customHeight="1" x14ac:dyDescent="0.2">
      <c r="C20" s="4" t="s">
        <v>825</v>
      </c>
      <c r="D20" s="4"/>
      <c r="E20" s="4"/>
      <c r="F20" s="4"/>
      <c r="G20" s="4"/>
      <c r="H20" s="4"/>
      <c r="I20" s="4"/>
      <c r="J20" s="4"/>
      <c r="P20" s="2" t="s">
        <v>337</v>
      </c>
    </row>
    <row r="21" spans="2:17" ht="14.1" customHeight="1" x14ac:dyDescent="0.2">
      <c r="C21" s="4" t="s">
        <v>826</v>
      </c>
      <c r="D21" s="4"/>
      <c r="E21" s="4"/>
      <c r="F21" s="4"/>
      <c r="G21" s="4"/>
      <c r="H21" s="4"/>
      <c r="I21" s="4"/>
      <c r="J21" s="4"/>
    </row>
    <row r="22" spans="2:17" ht="14.1" customHeight="1" x14ac:dyDescent="0.2">
      <c r="C22" s="4" t="s">
        <v>827</v>
      </c>
      <c r="D22" s="4"/>
      <c r="E22" s="4"/>
      <c r="F22" s="4"/>
      <c r="G22" s="4"/>
      <c r="H22" s="4"/>
      <c r="I22" s="4"/>
      <c r="J22" s="4"/>
      <c r="N22" s="2" t="s">
        <v>337</v>
      </c>
      <c r="O22" s="2" t="s">
        <v>337</v>
      </c>
    </row>
    <row r="23" spans="2:17" ht="5.0999999999999996" customHeight="1" x14ac:dyDescent="0.2">
      <c r="C23" s="4"/>
      <c r="D23" s="4"/>
      <c r="E23" s="4"/>
      <c r="F23" s="4"/>
      <c r="G23" s="4"/>
      <c r="H23" s="4"/>
      <c r="I23" s="4"/>
      <c r="J23" s="4"/>
    </row>
    <row r="24" spans="2:17" ht="14.1" customHeight="1" x14ac:dyDescent="0.2">
      <c r="C24" s="7" t="s">
        <v>1410</v>
      </c>
      <c r="D24" s="5" t="s">
        <v>828</v>
      </c>
      <c r="E24" s="4"/>
      <c r="F24" s="4"/>
      <c r="G24" s="4"/>
      <c r="H24" s="4"/>
      <c r="I24" s="4"/>
      <c r="J24" s="4"/>
    </row>
    <row r="25" spans="2:17" ht="14.1" customHeight="1" x14ac:dyDescent="0.2">
      <c r="C25" s="4"/>
      <c r="D25" s="5" t="s">
        <v>829</v>
      </c>
      <c r="E25" s="4"/>
      <c r="F25" s="4"/>
      <c r="G25" s="4"/>
      <c r="H25" s="4"/>
      <c r="I25" s="4"/>
      <c r="J25" s="4"/>
      <c r="O25" s="2" t="s">
        <v>337</v>
      </c>
      <c r="P25" s="2" t="s">
        <v>337</v>
      </c>
      <c r="Q25" s="2" t="s">
        <v>337</v>
      </c>
    </row>
    <row r="26" spans="2:17" ht="14.1" customHeight="1" x14ac:dyDescent="0.2">
      <c r="C26" s="4"/>
      <c r="D26" s="5" t="s">
        <v>830</v>
      </c>
      <c r="E26" s="4"/>
      <c r="F26" s="4"/>
      <c r="G26" s="4"/>
      <c r="H26" s="4"/>
      <c r="I26" s="4"/>
      <c r="J26" s="4"/>
    </row>
    <row r="27" spans="2:17" ht="5.0999999999999996" customHeight="1" x14ac:dyDescent="0.2">
      <c r="C27" s="5"/>
      <c r="D27" s="4"/>
      <c r="E27" s="4"/>
      <c r="F27" s="4"/>
      <c r="G27" s="4"/>
      <c r="H27" s="4"/>
      <c r="I27" s="4"/>
      <c r="J27" s="4"/>
    </row>
    <row r="28" spans="2:17" ht="14.1" customHeight="1" x14ac:dyDescent="0.2">
      <c r="C28" s="7" t="s">
        <v>1411</v>
      </c>
      <c r="D28" s="4" t="s">
        <v>831</v>
      </c>
      <c r="E28" s="4"/>
      <c r="F28" s="4"/>
      <c r="G28" s="4"/>
      <c r="H28" s="4"/>
      <c r="I28" s="4"/>
      <c r="J28" s="4"/>
      <c r="M28" s="2" t="s">
        <v>337</v>
      </c>
    </row>
    <row r="29" spans="2:17" ht="14.1" customHeight="1" x14ac:dyDescent="0.2">
      <c r="C29" s="4"/>
      <c r="D29" s="4" t="s">
        <v>832</v>
      </c>
      <c r="E29" s="4"/>
      <c r="F29" s="4"/>
      <c r="G29" s="4"/>
      <c r="H29" s="4"/>
      <c r="I29" s="4"/>
      <c r="J29" s="4"/>
      <c r="N29" s="2" t="s">
        <v>337</v>
      </c>
      <c r="O29" s="2" t="s">
        <v>337</v>
      </c>
    </row>
    <row r="30" spans="2:17" ht="5.0999999999999996" customHeight="1" x14ac:dyDescent="0.2">
      <c r="C30" s="4"/>
      <c r="D30" s="4"/>
      <c r="E30" s="4"/>
      <c r="F30" s="4"/>
      <c r="G30" s="4"/>
      <c r="H30" s="4"/>
      <c r="I30" s="4"/>
      <c r="J30" s="4"/>
    </row>
    <row r="31" spans="2:17" ht="14.1" customHeight="1" x14ac:dyDescent="0.2">
      <c r="C31" s="7" t="s">
        <v>1412</v>
      </c>
      <c r="D31" s="4" t="s">
        <v>833</v>
      </c>
      <c r="E31" s="4"/>
      <c r="F31" s="4"/>
      <c r="G31" s="4"/>
      <c r="H31" s="4"/>
      <c r="I31" s="4"/>
      <c r="J31" s="4"/>
    </row>
    <row r="32" spans="2:17" ht="14.1" customHeight="1" x14ac:dyDescent="0.2">
      <c r="C32" s="4"/>
      <c r="D32" s="4" t="s">
        <v>834</v>
      </c>
      <c r="E32" s="4"/>
      <c r="F32" s="4"/>
      <c r="G32" s="4"/>
      <c r="H32" s="4"/>
      <c r="I32" s="4"/>
      <c r="J32" s="4"/>
    </row>
    <row r="33" spans="2:17" ht="5.0999999999999996" customHeight="1" x14ac:dyDescent="0.2">
      <c r="C33" s="4"/>
      <c r="D33" s="4"/>
      <c r="E33" s="4"/>
      <c r="F33" s="4"/>
      <c r="G33" s="4"/>
      <c r="H33" s="4"/>
      <c r="I33" s="4"/>
      <c r="J33" s="4"/>
    </row>
    <row r="34" spans="2:17" ht="14.1" customHeight="1" x14ac:dyDescent="0.2">
      <c r="C34" s="7" t="s">
        <v>1413</v>
      </c>
      <c r="D34" s="4" t="s">
        <v>835</v>
      </c>
      <c r="E34" s="4"/>
      <c r="F34" s="4"/>
      <c r="G34" s="4"/>
      <c r="H34" s="4"/>
      <c r="I34" s="4"/>
      <c r="J34" s="4"/>
    </row>
    <row r="35" spans="2:17" ht="14.1" customHeight="1" x14ac:dyDescent="0.2">
      <c r="C35" s="4"/>
      <c r="D35" s="4" t="s">
        <v>836</v>
      </c>
      <c r="E35" s="4"/>
      <c r="F35" s="4"/>
      <c r="G35" s="4"/>
      <c r="H35" s="4"/>
      <c r="I35" s="4"/>
      <c r="J35" s="4"/>
      <c r="Q35" s="2" t="s">
        <v>337</v>
      </c>
    </row>
    <row r="36" spans="2:17" ht="5.0999999999999996" customHeight="1" x14ac:dyDescent="0.2">
      <c r="C36" s="4"/>
      <c r="D36" s="4"/>
      <c r="E36" s="4"/>
      <c r="F36" s="4"/>
      <c r="G36" s="4"/>
      <c r="H36" s="4"/>
      <c r="I36" s="4"/>
      <c r="J36" s="4"/>
    </row>
    <row r="37" spans="2:17" ht="14.1" customHeight="1" x14ac:dyDescent="0.2">
      <c r="C37" s="7" t="s">
        <v>837</v>
      </c>
      <c r="D37" s="4" t="s">
        <v>838</v>
      </c>
      <c r="E37" s="4"/>
      <c r="F37" s="4"/>
      <c r="G37" s="4"/>
      <c r="H37" s="4"/>
      <c r="I37" s="4"/>
      <c r="J37" s="4"/>
    </row>
    <row r="38" spans="2:17" ht="14.1" customHeight="1" x14ac:dyDescent="0.2">
      <c r="C38" s="4"/>
      <c r="D38" s="4" t="s">
        <v>839</v>
      </c>
      <c r="E38" s="4"/>
      <c r="F38" s="4"/>
      <c r="G38" s="4"/>
      <c r="H38" s="4"/>
      <c r="I38" s="4"/>
      <c r="J38" s="4"/>
    </row>
    <row r="39" spans="2:17" ht="14.1" customHeight="1" x14ac:dyDescent="0.2">
      <c r="C39" s="4"/>
      <c r="D39" s="4" t="s">
        <v>840</v>
      </c>
      <c r="E39" s="4"/>
      <c r="F39" s="4"/>
      <c r="G39" s="4"/>
      <c r="H39" s="4"/>
      <c r="I39" s="4"/>
      <c r="J39" s="4"/>
    </row>
    <row r="40" spans="2:17" ht="9.9499999999999993" customHeight="1" x14ac:dyDescent="0.2">
      <c r="B40" s="4"/>
      <c r="C40" s="4"/>
      <c r="D40" s="4"/>
      <c r="E40" s="4"/>
      <c r="F40" s="4"/>
      <c r="G40" s="4"/>
      <c r="H40" s="4"/>
      <c r="I40" s="4"/>
      <c r="J40" s="4"/>
    </row>
    <row r="41" spans="2:17" ht="17.100000000000001" customHeight="1" x14ac:dyDescent="0.25">
      <c r="B41" s="3" t="s">
        <v>760</v>
      </c>
      <c r="C41" s="5" t="s">
        <v>841</v>
      </c>
      <c r="D41" s="4"/>
      <c r="E41" s="4"/>
      <c r="F41" s="4"/>
      <c r="G41" s="4"/>
      <c r="H41" s="4"/>
      <c r="I41" s="4"/>
      <c r="J41" s="4"/>
    </row>
    <row r="42" spans="2:17" ht="14.1" customHeight="1" x14ac:dyDescent="0.2">
      <c r="C42" s="4" t="s">
        <v>842</v>
      </c>
      <c r="D42" s="4"/>
      <c r="E42" s="4"/>
      <c r="F42" s="4"/>
      <c r="G42" s="4"/>
      <c r="H42" s="4"/>
      <c r="I42" s="4"/>
      <c r="J42" s="4"/>
    </row>
    <row r="43" spans="2:17" ht="14.1" customHeight="1" x14ac:dyDescent="0.2">
      <c r="C43" s="4" t="s">
        <v>843</v>
      </c>
      <c r="D43" s="4"/>
      <c r="E43" s="4"/>
      <c r="F43" s="4"/>
      <c r="G43" s="4"/>
      <c r="H43" s="4"/>
      <c r="I43" s="4"/>
      <c r="J43" s="4"/>
    </row>
    <row r="44" spans="2:17" ht="9.9499999999999993" customHeight="1" x14ac:dyDescent="0.2">
      <c r="C44" s="4"/>
      <c r="D44" s="4"/>
      <c r="E44" s="4"/>
      <c r="F44" s="4"/>
      <c r="G44" s="4"/>
      <c r="H44" s="4"/>
      <c r="I44" s="4"/>
      <c r="J44" s="4"/>
    </row>
    <row r="45" spans="2:17" ht="14.1" customHeight="1" x14ac:dyDescent="0.2">
      <c r="B45" s="178" t="s">
        <v>270</v>
      </c>
      <c r="C45" s="5" t="s">
        <v>271</v>
      </c>
    </row>
    <row r="46" spans="2:17" ht="14.1" customHeight="1" x14ac:dyDescent="0.2">
      <c r="C46" s="5" t="s">
        <v>1078</v>
      </c>
    </row>
    <row r="47" spans="2:17" ht="14.1" customHeight="1" x14ac:dyDescent="0.2">
      <c r="C47" s="5" t="s">
        <v>1079</v>
      </c>
    </row>
    <row r="48" spans="2:17" ht="14.1" customHeight="1" x14ac:dyDescent="0.2">
      <c r="C48" s="5" t="s">
        <v>1080</v>
      </c>
    </row>
    <row r="49" spans="3:3" ht="14.1" customHeight="1" x14ac:dyDescent="0.2">
      <c r="C49" s="5" t="s">
        <v>1324</v>
      </c>
    </row>
    <row r="50" spans="3:3" ht="14.1" customHeight="1" x14ac:dyDescent="0.2">
      <c r="C50" s="5" t="s">
        <v>1320</v>
      </c>
    </row>
    <row r="51" spans="3:3" ht="14.1" customHeight="1" x14ac:dyDescent="0.2">
      <c r="C51" s="5" t="s">
        <v>1321</v>
      </c>
    </row>
    <row r="52" spans="3:3" ht="14.1" customHeight="1" x14ac:dyDescent="0.2">
      <c r="C52" s="4" t="s">
        <v>1322</v>
      </c>
    </row>
    <row r="53" spans="3:3" ht="14.1" customHeight="1" x14ac:dyDescent="0.2">
      <c r="C53" s="4" t="s">
        <v>1323</v>
      </c>
    </row>
    <row r="54" spans="3:3" ht="14.1" customHeight="1" x14ac:dyDescent="0.2">
      <c r="C54" s="4" t="s">
        <v>1011</v>
      </c>
    </row>
    <row r="55" spans="3:3" ht="14.1" customHeight="1" x14ac:dyDescent="0.2"/>
    <row r="56" spans="3:3" ht="12.75" customHeight="1" x14ac:dyDescent="0.2"/>
    <row r="57" spans="3:3" ht="12.75" customHeight="1" x14ac:dyDescent="0.2"/>
    <row r="58" spans="3:3" ht="12.75" customHeight="1" x14ac:dyDescent="0.2"/>
    <row r="59" spans="3:3" ht="12.75" customHeight="1" x14ac:dyDescent="0.2"/>
  </sheetData>
  <customSheetViews>
    <customSheetView guid="{B2DDA8C4-3089-41F7-BA6E-A0E09596A2CA}" scale="70" showPageBreaks="1" fitToPage="1" printArea="1">
      <selection activeCell="L20" sqref="L20"/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5">
      <selection activeCell="L20" sqref="L20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L20" sqref="L20"/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selection activeCell="L20" sqref="L20"/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selection activeCell="L20" sqref="L20"/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4">
    <mergeCell ref="A1:J1"/>
    <mergeCell ref="B2:D6"/>
    <mergeCell ref="E2:J6"/>
    <mergeCell ref="B8:K8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showGridLines="0"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2" width="4.7109375" style="2" customWidth="1"/>
    <col min="3" max="3" width="16.85546875" style="2" customWidth="1"/>
    <col min="4" max="4" width="4.7109375" style="2" customWidth="1"/>
    <col min="5" max="5" width="14.140625" style="2" customWidth="1"/>
    <col min="6" max="6" width="4.7109375" style="2" customWidth="1"/>
    <col min="7" max="7" width="14.5703125" style="2" customWidth="1"/>
    <col min="8" max="8" width="4.7109375" style="2" customWidth="1"/>
    <col min="9" max="9" width="10" style="2" customWidth="1"/>
    <col min="10" max="10" width="1.7109375" style="2" customWidth="1"/>
    <col min="11" max="11" width="10" style="2" customWidth="1"/>
    <col min="12" max="12" width="2.7109375" style="2" customWidth="1"/>
    <col min="13" max="13" width="9.140625" style="312" customWidth="1"/>
    <col min="14" max="14" width="2.7109375" style="407" hidden="1" customWidth="1"/>
    <col min="15" max="15" width="9.140625" style="407" hidden="1" customWidth="1"/>
    <col min="16" max="16" width="2.7109375" style="407" hidden="1" customWidth="1"/>
    <col min="17" max="17" width="9.140625" style="407" hidden="1" customWidth="1"/>
    <col min="18" max="21" width="8.85546875" style="407" hidden="1" customWidth="1"/>
    <col min="22" max="26" width="8.85546875" style="317" customWidth="1"/>
  </cols>
  <sheetData>
    <row r="1" spans="1:17" ht="29.25" customHeight="1" x14ac:dyDescent="0.2"/>
    <row r="2" spans="1:17" ht="15.75" x14ac:dyDescent="0.25">
      <c r="A2" s="10"/>
      <c r="B2" s="120" t="s">
        <v>256</v>
      </c>
      <c r="C2" s="26"/>
      <c r="D2" s="26"/>
      <c r="E2" s="26"/>
      <c r="F2" s="26"/>
      <c r="G2" s="26"/>
      <c r="H2" s="26"/>
      <c r="I2" s="26"/>
      <c r="J2" s="26"/>
      <c r="K2" s="26"/>
      <c r="L2" s="10"/>
      <c r="M2" s="313"/>
      <c r="N2" s="402"/>
      <c r="O2" s="402"/>
      <c r="P2" s="402"/>
      <c r="Q2" s="402"/>
    </row>
    <row r="3" spans="1:17" ht="9.75" customHeight="1" x14ac:dyDescent="0.25">
      <c r="A3" s="10"/>
      <c r="B3" s="26"/>
      <c r="C3" s="26"/>
      <c r="D3" s="26"/>
      <c r="E3" s="26"/>
      <c r="F3" s="26"/>
      <c r="G3" s="26"/>
      <c r="H3" s="26"/>
      <c r="I3" s="26"/>
      <c r="J3" s="26"/>
      <c r="K3" s="26"/>
      <c r="L3" s="10"/>
      <c r="M3" s="313"/>
      <c r="N3" s="402"/>
      <c r="O3" s="402"/>
      <c r="P3" s="402"/>
      <c r="Q3" s="402"/>
    </row>
    <row r="4" spans="1:17" ht="15.75" x14ac:dyDescent="0.25">
      <c r="A4" s="10"/>
      <c r="B4" s="276" t="s">
        <v>1286</v>
      </c>
      <c r="C4" s="277"/>
      <c r="D4" s="277"/>
      <c r="E4" s="277"/>
      <c r="F4" s="277"/>
      <c r="G4" s="277"/>
      <c r="H4" s="277"/>
      <c r="I4" s="277"/>
      <c r="J4" s="277"/>
      <c r="K4" s="277"/>
      <c r="L4" s="10"/>
      <c r="M4" s="313"/>
      <c r="N4" s="402"/>
      <c r="O4" s="402"/>
      <c r="P4" s="402"/>
      <c r="Q4" s="402"/>
    </row>
    <row r="5" spans="1:17" ht="15.75" x14ac:dyDescent="0.25">
      <c r="A5" s="10"/>
      <c r="B5" s="275" t="s">
        <v>467</v>
      </c>
      <c r="C5" s="278"/>
      <c r="D5" s="278"/>
      <c r="E5" s="278"/>
      <c r="F5" s="278"/>
      <c r="G5" s="278"/>
      <c r="H5" s="278"/>
      <c r="I5" s="278"/>
      <c r="J5" s="278"/>
      <c r="K5" s="278"/>
      <c r="L5" s="10"/>
      <c r="M5" s="313"/>
      <c r="N5" s="402"/>
      <c r="O5" s="402"/>
      <c r="P5" s="402"/>
      <c r="Q5" s="402"/>
    </row>
    <row r="6" spans="1:17" ht="15.75" x14ac:dyDescent="0.25">
      <c r="A6" s="10"/>
      <c r="B6" s="279" t="s">
        <v>1118</v>
      </c>
      <c r="C6" s="280"/>
      <c r="D6" s="280"/>
      <c r="E6" s="280"/>
      <c r="F6" s="280"/>
      <c r="G6" s="280"/>
      <c r="H6" s="280"/>
      <c r="I6" s="280"/>
      <c r="J6" s="280"/>
      <c r="K6" s="280"/>
      <c r="L6" s="10"/>
      <c r="M6" s="313"/>
      <c r="N6" s="402"/>
      <c r="O6" s="402"/>
      <c r="P6" s="402"/>
      <c r="Q6" s="402"/>
    </row>
    <row r="7" spans="1:17" ht="15.75" x14ac:dyDescent="0.25">
      <c r="A7" s="10"/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10"/>
      <c r="M7" s="313"/>
      <c r="N7" s="402"/>
      <c r="O7" s="402"/>
      <c r="P7" s="402"/>
      <c r="Q7" s="402"/>
    </row>
    <row r="8" spans="1:17" ht="15.75" x14ac:dyDescent="0.25">
      <c r="A8" s="10"/>
      <c r="B8" s="10" t="s">
        <v>1287</v>
      </c>
      <c r="C8" s="10"/>
      <c r="D8" s="10"/>
      <c r="E8" s="10"/>
      <c r="F8" s="10"/>
      <c r="G8" s="83"/>
      <c r="H8" s="25"/>
      <c r="I8" s="25"/>
      <c r="J8" s="25"/>
      <c r="K8" s="10"/>
      <c r="L8" s="10"/>
      <c r="M8" s="313"/>
      <c r="N8" s="402"/>
      <c r="O8" s="402"/>
      <c r="P8" s="402"/>
      <c r="Q8" s="418" t="s">
        <v>1682</v>
      </c>
    </row>
    <row r="9" spans="1:17" ht="15.75" x14ac:dyDescent="0.25">
      <c r="A9" s="10"/>
      <c r="B9" s="69" t="s">
        <v>322</v>
      </c>
      <c r="C9" s="10"/>
      <c r="D9" s="10"/>
      <c r="E9" s="10"/>
      <c r="F9" s="10"/>
      <c r="G9" s="10"/>
      <c r="H9" s="10"/>
      <c r="I9" s="41">
        <f>Q9</f>
        <v>65000</v>
      </c>
      <c r="J9" s="25"/>
      <c r="K9" s="25"/>
      <c r="L9" s="10"/>
      <c r="M9" s="313"/>
      <c r="N9" s="402"/>
      <c r="O9" s="402"/>
      <c r="P9" s="405" t="s">
        <v>804</v>
      </c>
      <c r="Q9" s="409">
        <v>65000</v>
      </c>
    </row>
    <row r="10" spans="1:17" ht="15.75" x14ac:dyDescent="0.25">
      <c r="A10" s="10"/>
      <c r="B10" s="69" t="s">
        <v>1624</v>
      </c>
      <c r="C10" s="10"/>
      <c r="D10" s="10"/>
      <c r="E10" s="10"/>
      <c r="F10" s="10"/>
      <c r="G10" s="10"/>
      <c r="H10" s="10"/>
      <c r="I10" s="53">
        <f>Q10</f>
        <v>3900</v>
      </c>
      <c r="J10" s="25"/>
      <c r="K10" s="25"/>
      <c r="L10" s="10"/>
      <c r="M10" s="313"/>
      <c r="N10" s="402"/>
      <c r="O10" s="402"/>
      <c r="P10" s="405" t="s">
        <v>38</v>
      </c>
      <c r="Q10" s="409">
        <v>3900</v>
      </c>
    </row>
    <row r="11" spans="1:17" ht="15.75" x14ac:dyDescent="0.25">
      <c r="A11" s="10"/>
      <c r="B11" s="158" t="s">
        <v>1288</v>
      </c>
      <c r="C11" s="10"/>
      <c r="D11" s="10"/>
      <c r="E11" s="10"/>
      <c r="F11" s="10"/>
      <c r="G11" s="10"/>
      <c r="H11" s="10"/>
      <c r="I11" s="83" t="s">
        <v>337</v>
      </c>
      <c r="J11" s="25"/>
      <c r="K11" s="17">
        <f>SUM(I9:I10)</f>
        <v>68900</v>
      </c>
      <c r="L11" s="10"/>
      <c r="M11" s="313"/>
      <c r="N11" s="402"/>
      <c r="O11" s="402"/>
      <c r="P11" s="402"/>
      <c r="Q11" s="402"/>
    </row>
    <row r="12" spans="1:17" ht="7.5" customHeight="1" x14ac:dyDescent="0.25">
      <c r="A12" s="10"/>
      <c r="B12" s="158"/>
      <c r="C12" s="10"/>
      <c r="D12" s="10"/>
      <c r="E12" s="10"/>
      <c r="F12" s="10"/>
      <c r="G12" s="10"/>
      <c r="H12" s="10"/>
      <c r="I12" s="83"/>
      <c r="J12" s="25"/>
      <c r="K12" s="17"/>
      <c r="L12" s="10"/>
      <c r="M12" s="313"/>
      <c r="N12" s="402"/>
      <c r="O12" s="402"/>
      <c r="P12" s="402"/>
      <c r="Q12" s="402"/>
    </row>
    <row r="13" spans="1:17" ht="15.75" x14ac:dyDescent="0.25">
      <c r="A13" s="10"/>
      <c r="B13" s="10" t="s">
        <v>1289</v>
      </c>
      <c r="C13" s="10"/>
      <c r="D13" s="10"/>
      <c r="E13" s="10"/>
      <c r="F13" s="10"/>
      <c r="G13" s="10"/>
      <c r="H13" s="10"/>
      <c r="I13" s="83"/>
      <c r="J13" s="25"/>
      <c r="K13" s="25"/>
      <c r="L13" s="10"/>
      <c r="M13" s="313"/>
      <c r="N13" s="402"/>
      <c r="O13" s="402"/>
      <c r="P13" s="402"/>
      <c r="Q13" s="402"/>
    </row>
    <row r="14" spans="1:17" ht="15.75" x14ac:dyDescent="0.25">
      <c r="A14" s="10"/>
      <c r="B14" s="69" t="s">
        <v>1499</v>
      </c>
      <c r="C14" s="10"/>
      <c r="D14" s="10"/>
      <c r="E14" s="10"/>
      <c r="F14" s="10"/>
      <c r="G14" s="10"/>
      <c r="H14" s="10"/>
      <c r="I14" s="41">
        <f>Q14</f>
        <v>28800</v>
      </c>
      <c r="J14" s="25"/>
      <c r="K14" s="25"/>
      <c r="L14" s="10"/>
      <c r="M14" s="313"/>
      <c r="N14" s="402"/>
      <c r="O14" s="402"/>
      <c r="P14" s="405" t="s">
        <v>1292</v>
      </c>
      <c r="Q14" s="409">
        <v>28800</v>
      </c>
    </row>
    <row r="15" spans="1:17" ht="15.75" x14ac:dyDescent="0.25">
      <c r="A15" s="10"/>
      <c r="B15" s="69" t="s">
        <v>483</v>
      </c>
      <c r="C15" s="10"/>
      <c r="D15" s="10"/>
      <c r="E15" s="10"/>
      <c r="F15" s="10"/>
      <c r="G15" s="10"/>
      <c r="H15" s="10"/>
      <c r="I15" s="78">
        <f>Q15</f>
        <v>4300</v>
      </c>
      <c r="J15" s="25"/>
      <c r="K15" s="25"/>
      <c r="L15" s="10"/>
      <c r="M15" s="313"/>
      <c r="N15" s="402"/>
      <c r="O15" s="402"/>
      <c r="P15" s="405" t="s">
        <v>1612</v>
      </c>
      <c r="Q15" s="409">
        <v>4300</v>
      </c>
    </row>
    <row r="16" spans="1:17" ht="15.75" x14ac:dyDescent="0.25">
      <c r="A16" s="10"/>
      <c r="B16" s="69" t="s">
        <v>604</v>
      </c>
      <c r="C16" s="10"/>
      <c r="D16" s="10"/>
      <c r="E16" s="10"/>
      <c r="F16" s="10"/>
      <c r="G16" s="10"/>
      <c r="H16" s="10"/>
      <c r="I16" s="53">
        <f>Q16</f>
        <v>1200</v>
      </c>
      <c r="J16" s="25"/>
      <c r="K16" s="25"/>
      <c r="L16" s="10"/>
      <c r="M16" s="313"/>
      <c r="N16" s="402"/>
      <c r="O16" s="402"/>
      <c r="P16" s="405" t="s">
        <v>1291</v>
      </c>
      <c r="Q16" s="409">
        <v>1200</v>
      </c>
    </row>
    <row r="17" spans="1:17" ht="15.75" x14ac:dyDescent="0.25">
      <c r="A17" s="10"/>
      <c r="B17" s="158" t="s">
        <v>1290</v>
      </c>
      <c r="C17" s="10"/>
      <c r="D17" s="10"/>
      <c r="E17" s="10"/>
      <c r="F17" s="10"/>
      <c r="G17" s="10"/>
      <c r="H17" s="10"/>
      <c r="I17" s="83" t="s">
        <v>337</v>
      </c>
      <c r="J17" s="25"/>
      <c r="K17" s="53">
        <f>SUM(I14:I16)</f>
        <v>34300</v>
      </c>
      <c r="L17" s="10"/>
      <c r="M17" s="313"/>
      <c r="N17" s="402"/>
      <c r="O17" s="402"/>
      <c r="P17" s="402"/>
      <c r="Q17" s="402"/>
    </row>
    <row r="18" spans="1:17" ht="7.5" customHeight="1" x14ac:dyDescent="0.25">
      <c r="A18" s="10"/>
      <c r="B18" s="158"/>
      <c r="C18" s="10"/>
      <c r="D18" s="10"/>
      <c r="E18" s="10"/>
      <c r="F18" s="10"/>
      <c r="G18" s="10"/>
      <c r="H18" s="10"/>
      <c r="I18" s="83"/>
      <c r="J18" s="25"/>
      <c r="K18" s="229"/>
      <c r="L18" s="10"/>
      <c r="M18" s="313"/>
      <c r="N18" s="402"/>
      <c r="O18" s="402"/>
      <c r="P18" s="402"/>
      <c r="Q18" s="402"/>
    </row>
    <row r="19" spans="1:17" ht="16.5" thickBot="1" x14ac:dyDescent="0.3">
      <c r="A19" s="10"/>
      <c r="B19" s="10" t="s">
        <v>476</v>
      </c>
      <c r="C19" s="10"/>
      <c r="D19" s="10"/>
      <c r="E19" s="10"/>
      <c r="F19" s="10"/>
      <c r="G19" s="10"/>
      <c r="H19" s="10"/>
      <c r="I19" s="83" t="s">
        <v>337</v>
      </c>
      <c r="J19" s="25"/>
      <c r="K19" s="44">
        <f>K11-K17</f>
        <v>34600</v>
      </c>
      <c r="L19" s="10"/>
      <c r="M19" s="313"/>
      <c r="N19" s="402"/>
      <c r="O19" s="402"/>
      <c r="P19" s="402"/>
      <c r="Q19" s="402"/>
    </row>
    <row r="20" spans="1:17" ht="16.5" thickTop="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313"/>
      <c r="N20" s="402"/>
      <c r="O20" s="402"/>
      <c r="P20" s="402"/>
      <c r="Q20" s="402"/>
    </row>
    <row r="21" spans="1:17" ht="15.75" x14ac:dyDescent="0.25">
      <c r="A21" s="10"/>
      <c r="B21" s="120" t="s">
        <v>257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313"/>
      <c r="N21" s="402"/>
      <c r="O21" s="402"/>
      <c r="P21" s="402"/>
      <c r="Q21" s="402"/>
    </row>
    <row r="22" spans="1:17" ht="15.75" x14ac:dyDescent="0.25">
      <c r="B22" s="230" t="s">
        <v>55</v>
      </c>
      <c r="C22" s="231" t="s">
        <v>1293</v>
      </c>
      <c r="D22" s="10"/>
      <c r="E22" s="10"/>
      <c r="F22" s="10"/>
      <c r="G22" s="10"/>
      <c r="H22" s="10"/>
      <c r="I22" s="10"/>
      <c r="J22" s="10"/>
      <c r="K22" s="10"/>
      <c r="L22" s="10"/>
      <c r="M22" s="313"/>
      <c r="N22" s="402"/>
      <c r="O22" s="402"/>
      <c r="P22" s="402"/>
      <c r="Q22" s="402"/>
    </row>
    <row r="23" spans="1:17" ht="15.75" x14ac:dyDescent="0.25">
      <c r="B23" s="230" t="s">
        <v>58</v>
      </c>
      <c r="C23" s="231" t="s">
        <v>1294</v>
      </c>
      <c r="D23" s="10"/>
      <c r="E23" s="10"/>
      <c r="F23" s="10"/>
      <c r="G23" s="10"/>
      <c r="H23" s="10"/>
      <c r="I23" s="10"/>
      <c r="J23" s="10"/>
      <c r="K23" s="10"/>
      <c r="L23" s="10"/>
      <c r="M23" s="313"/>
      <c r="N23" s="402"/>
      <c r="O23" s="402"/>
      <c r="P23" s="402"/>
      <c r="Q23" s="402"/>
    </row>
    <row r="24" spans="1:17" ht="15.75" x14ac:dyDescent="0.25">
      <c r="B24" s="230" t="s">
        <v>60</v>
      </c>
      <c r="C24" s="231" t="s">
        <v>1293</v>
      </c>
      <c r="D24" s="10"/>
      <c r="E24" s="10"/>
      <c r="F24" s="10"/>
      <c r="G24" s="10"/>
      <c r="H24" s="10"/>
      <c r="I24" s="10"/>
      <c r="J24" s="10"/>
      <c r="K24" s="10"/>
      <c r="L24" s="10"/>
      <c r="M24" s="313"/>
      <c r="N24" s="402"/>
      <c r="O24" s="402"/>
      <c r="P24" s="402"/>
      <c r="Q24" s="402"/>
    </row>
    <row r="25" spans="1:17" ht="15.75" x14ac:dyDescent="0.25">
      <c r="B25" s="230" t="s">
        <v>67</v>
      </c>
      <c r="C25" s="231" t="s">
        <v>1295</v>
      </c>
      <c r="D25" s="10"/>
      <c r="E25" s="10"/>
      <c r="F25" s="10"/>
      <c r="G25" s="10"/>
      <c r="H25" s="10"/>
      <c r="I25" s="10"/>
      <c r="J25" s="10"/>
      <c r="K25" s="10"/>
      <c r="L25" s="10"/>
      <c r="M25" s="313"/>
      <c r="N25" s="402"/>
      <c r="O25" s="402"/>
      <c r="P25" s="402"/>
      <c r="Q25" s="402"/>
    </row>
    <row r="26" spans="1:17" ht="15.75" x14ac:dyDescent="0.25">
      <c r="B26" s="230" t="s">
        <v>70</v>
      </c>
      <c r="C26" s="231" t="s">
        <v>1294</v>
      </c>
      <c r="D26" s="10"/>
      <c r="E26" s="10"/>
      <c r="F26" s="10"/>
      <c r="G26" s="10"/>
      <c r="H26" s="10"/>
      <c r="I26" s="10"/>
      <c r="J26" s="10"/>
      <c r="K26" s="10"/>
      <c r="L26" s="10"/>
      <c r="M26" s="313"/>
      <c r="N26" s="402"/>
      <c r="O26" s="402"/>
      <c r="P26" s="402"/>
      <c r="Q26" s="402"/>
    </row>
    <row r="27" spans="1:17" ht="15.75" x14ac:dyDescent="0.25">
      <c r="B27" s="230" t="s">
        <v>754</v>
      </c>
      <c r="C27" s="231" t="s">
        <v>1294</v>
      </c>
      <c r="D27" s="10"/>
      <c r="E27" s="10"/>
      <c r="F27" s="10"/>
      <c r="G27" s="10"/>
      <c r="H27" s="10"/>
      <c r="I27" s="10"/>
      <c r="J27" s="10"/>
      <c r="K27" s="10"/>
      <c r="L27" s="10"/>
      <c r="M27" s="313"/>
      <c r="N27" s="402"/>
      <c r="O27" s="402"/>
      <c r="P27" s="402"/>
      <c r="Q27" s="402"/>
    </row>
    <row r="28" spans="1:17" ht="15.75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313"/>
      <c r="N28" s="402"/>
      <c r="O28" s="402"/>
      <c r="P28" s="402"/>
      <c r="Q28" s="402"/>
    </row>
    <row r="29" spans="1:17" ht="15.75" x14ac:dyDescent="0.25">
      <c r="A29" s="10"/>
      <c r="B29" s="120" t="s">
        <v>258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313"/>
      <c r="N29" s="402"/>
      <c r="O29" s="402"/>
      <c r="P29" s="402"/>
      <c r="Q29" s="402"/>
    </row>
    <row r="30" spans="1:17" ht="15.75" x14ac:dyDescent="0.25">
      <c r="A30" s="10"/>
      <c r="B30" s="230" t="s">
        <v>55</v>
      </c>
      <c r="C30" s="231" t="s">
        <v>1296</v>
      </c>
      <c r="D30" s="10"/>
      <c r="E30" s="10"/>
      <c r="F30" s="10"/>
      <c r="G30" s="10"/>
      <c r="H30" s="10"/>
      <c r="I30" s="10"/>
      <c r="J30" s="10"/>
      <c r="K30" s="10"/>
      <c r="L30" s="10"/>
      <c r="M30" s="313"/>
      <c r="N30" s="402"/>
      <c r="O30" s="402"/>
      <c r="P30" s="402"/>
      <c r="Q30" s="402"/>
    </row>
    <row r="31" spans="1:17" ht="15.75" x14ac:dyDescent="0.25">
      <c r="B31" s="230" t="s">
        <v>58</v>
      </c>
      <c r="C31" s="231" t="s">
        <v>1297</v>
      </c>
    </row>
    <row r="32" spans="1:17" ht="15.75" x14ac:dyDescent="0.25">
      <c r="B32" s="230" t="s">
        <v>60</v>
      </c>
      <c r="C32" s="231" t="s">
        <v>1297</v>
      </c>
    </row>
    <row r="33" spans="1:21" ht="15.75" x14ac:dyDescent="0.25">
      <c r="B33" s="230" t="s">
        <v>67</v>
      </c>
      <c r="C33" s="231" t="s">
        <v>1296</v>
      </c>
    </row>
    <row r="34" spans="1:21" ht="15.75" x14ac:dyDescent="0.25">
      <c r="B34" s="230" t="s">
        <v>70</v>
      </c>
      <c r="C34" s="231" t="s">
        <v>1298</v>
      </c>
    </row>
    <row r="36" spans="1:21" ht="15.75" x14ac:dyDescent="0.25">
      <c r="B36" s="274" t="s">
        <v>254</v>
      </c>
      <c r="M36" s="318"/>
      <c r="O36" s="418"/>
      <c r="Q36" s="410"/>
      <c r="S36" s="410"/>
      <c r="T36" s="402"/>
      <c r="U36" s="412" t="s">
        <v>246</v>
      </c>
    </row>
    <row r="37" spans="1:21" ht="15.75" x14ac:dyDescent="0.25">
      <c r="B37" s="10" t="s">
        <v>1507</v>
      </c>
      <c r="C37" s="231" t="str">
        <f>CONCATENATE(TEXT(U37,"$#,###"),"  (",TEXT(O37,"$#,###")," + ",TEXT(Q37,"$#,###")," = a)")</f>
        <v>$55,000  ($30,000 + $25,000 = a)</v>
      </c>
      <c r="M37" s="318"/>
      <c r="N37" s="405">
        <v>1</v>
      </c>
      <c r="O37" s="409">
        <v>30000</v>
      </c>
      <c r="P37" s="405"/>
      <c r="Q37" s="409">
        <v>25000</v>
      </c>
      <c r="R37" s="405"/>
      <c r="S37" s="409"/>
      <c r="T37" s="402"/>
      <c r="U37" s="410">
        <f>O37+Q37</f>
        <v>55000</v>
      </c>
    </row>
    <row r="38" spans="1:21" ht="15.75" x14ac:dyDescent="0.25">
      <c r="B38" s="10" t="s">
        <v>1509</v>
      </c>
      <c r="C38" s="231" t="str">
        <f>CONCATENATE(TEXT(U38,"$#,###"),"  (b + ",TEXT(Q38,"$#,###")," = ",TEXT(S38,"$#,###"),")")</f>
        <v>$64,000  (b + $30,000 = $94,000)</v>
      </c>
      <c r="M38" s="318"/>
      <c r="N38" s="405">
        <v>2</v>
      </c>
      <c r="O38" s="409"/>
      <c r="P38" s="405"/>
      <c r="Q38" s="409">
        <v>30000</v>
      </c>
      <c r="R38" s="405"/>
      <c r="S38" s="409">
        <v>94000</v>
      </c>
      <c r="T38" s="402"/>
      <c r="U38" s="410">
        <f>S38-Q38</f>
        <v>64000</v>
      </c>
    </row>
    <row r="39" spans="1:21" ht="15.75" x14ac:dyDescent="0.25">
      <c r="B39" s="10" t="s">
        <v>1510</v>
      </c>
      <c r="C39" s="231" t="str">
        <f>CONCATENATE(TEXT(U39,"$#,###"),"  (",TEXT(O39,"$#,###")," + c =  ",TEXT(S39,"$#,###"),")")</f>
        <v>$20,000  ($50,000 + c =  $70,000)</v>
      </c>
      <c r="M39" s="318"/>
      <c r="N39" s="405">
        <v>3</v>
      </c>
      <c r="O39" s="409">
        <v>50000</v>
      </c>
      <c r="P39" s="405"/>
      <c r="Q39" s="409"/>
      <c r="R39" s="405"/>
      <c r="S39" s="409">
        <v>70000</v>
      </c>
      <c r="T39" s="402"/>
      <c r="U39" s="410">
        <f>S39-O39</f>
        <v>20000</v>
      </c>
    </row>
    <row r="40" spans="1:21" ht="15.75" x14ac:dyDescent="0.25">
      <c r="A40" s="231"/>
    </row>
    <row r="41" spans="1:21" ht="15.75" x14ac:dyDescent="0.25">
      <c r="B41" s="274" t="s">
        <v>255</v>
      </c>
    </row>
    <row r="42" spans="1:21" ht="15.75" x14ac:dyDescent="0.25">
      <c r="A42" s="231" t="s">
        <v>1301</v>
      </c>
    </row>
    <row r="43" spans="1:21" ht="15.75" x14ac:dyDescent="0.25">
      <c r="A43" s="231" t="s">
        <v>1302</v>
      </c>
    </row>
    <row r="44" spans="1:21" ht="15.75" x14ac:dyDescent="0.25">
      <c r="A44" s="231" t="s">
        <v>1300</v>
      </c>
    </row>
    <row r="45" spans="1:21" ht="15.75" x14ac:dyDescent="0.25">
      <c r="A45" s="231" t="s">
        <v>1299</v>
      </c>
    </row>
    <row r="46" spans="1:21" ht="15.75" x14ac:dyDescent="0.25">
      <c r="A46" s="120"/>
    </row>
  </sheetData>
  <customSheetViews>
    <customSheetView guid="{B2DDA8C4-3089-41F7-BA6E-A0E09596A2CA}" showPageBreaks="1" showGridLines="0" printArea="1">
      <selection activeCell="B32" sqref="B32"/>
      <pageMargins left="0.7" right="0.7" top="0.75" bottom="0.75" header="0.3" footer="0.3"/>
      <pageSetup scale="99" orientation="portrait" horizontalDpi="4294967294" verticalDpi="0" r:id="rId1"/>
    </customSheetView>
    <customSheetView guid="{92AEB71B-C088-46D1-AFBE-855E5EC7C157}" showGridLines="0" showRuler="0">
      <selection activeCell="B32" sqref="B32"/>
      <pageMargins left="0.7" right="0.7" top="0.75" bottom="0.75" header="0.3" footer="0.3"/>
      <pageSetup scale="99" orientation="portrait" horizontalDpi="4294967294" verticalDpi="0" r:id="rId2"/>
      <headerFooter alignWithMargins="0"/>
    </customSheetView>
  </customSheetViews>
  <phoneticPr fontId="49" type="noConversion"/>
  <printOptions horizontalCentered="1"/>
  <pageMargins left="0.75" right="1" top="0.85" bottom="0.8" header="0.5" footer="0.35"/>
  <pageSetup scale="93" orientation="portrait" useFirstPageNumber="1" horizontalDpi="1200" verticalDpi="1200" r:id="rId3"/>
  <headerFooter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7"/>
  <sheetViews>
    <sheetView zoomScale="70" zoomScaleNormal="70" workbookViewId="0"/>
  </sheetViews>
  <sheetFormatPr defaultRowHeight="12.75" x14ac:dyDescent="0.2"/>
  <cols>
    <col min="1" max="1" width="1.7109375" style="2" customWidth="1"/>
    <col min="2" max="2" width="4" style="2" customWidth="1"/>
    <col min="3" max="3" width="3.85546875" style="2" customWidth="1"/>
    <col min="4" max="4" width="5.7109375" style="2" customWidth="1"/>
    <col min="5" max="5" width="4.42578125" style="2" customWidth="1"/>
    <col min="6" max="7" width="4.7109375" style="2" customWidth="1"/>
    <col min="8" max="8" width="7.7109375" style="2" customWidth="1"/>
    <col min="9" max="9" width="29.5703125" style="2" customWidth="1"/>
    <col min="10" max="10" width="27.28515625" style="2" customWidth="1"/>
    <col min="11" max="16384" width="9.140625" style="2"/>
  </cols>
  <sheetData>
    <row r="1" spans="1:10" ht="28.5" customHeight="1" x14ac:dyDescent="0.2">
      <c r="A1" s="245"/>
      <c r="B1" s="245"/>
    </row>
    <row r="2" spans="1:10" s="10" customFormat="1" ht="15.95" customHeight="1" x14ac:dyDescent="0.25">
      <c r="B2" s="369" t="s">
        <v>844</v>
      </c>
      <c r="C2" s="369"/>
      <c r="D2" s="369"/>
      <c r="E2" s="369"/>
      <c r="F2" s="369"/>
      <c r="G2" s="369"/>
      <c r="H2" s="369"/>
      <c r="I2" s="369"/>
      <c r="J2" s="369"/>
    </row>
    <row r="3" spans="1:10" ht="7.5" customHeight="1" x14ac:dyDescent="0.2">
      <c r="B3" s="58"/>
    </row>
    <row r="4" spans="1:10" ht="15.95" customHeight="1" x14ac:dyDescent="0.25">
      <c r="B4" s="59" t="s">
        <v>380</v>
      </c>
    </row>
    <row r="5" spans="1:10" s="10" customFormat="1" ht="15.95" customHeight="1" x14ac:dyDescent="0.25">
      <c r="B5" s="11" t="s">
        <v>758</v>
      </c>
      <c r="C5" s="10" t="s">
        <v>845</v>
      </c>
    </row>
    <row r="6" spans="1:10" s="10" customFormat="1" ht="15.95" customHeight="1" x14ac:dyDescent="0.25">
      <c r="B6" s="11" t="s">
        <v>759</v>
      </c>
      <c r="C6" s="10" t="s">
        <v>846</v>
      </c>
    </row>
    <row r="7" spans="1:10" s="10" customFormat="1" ht="15.95" customHeight="1" x14ac:dyDescent="0.25">
      <c r="B7" s="11" t="s">
        <v>760</v>
      </c>
      <c r="C7" s="10" t="s">
        <v>847</v>
      </c>
    </row>
    <row r="8" spans="1:10" s="10" customFormat="1" ht="15.95" customHeight="1" x14ac:dyDescent="0.25">
      <c r="B8" s="11" t="s">
        <v>270</v>
      </c>
      <c r="C8" s="10" t="s">
        <v>848</v>
      </c>
    </row>
    <row r="9" spans="1:10" s="10" customFormat="1" ht="15.95" customHeight="1" x14ac:dyDescent="0.25">
      <c r="B9" s="11" t="s">
        <v>1012</v>
      </c>
      <c r="C9" s="10" t="s">
        <v>849</v>
      </c>
    </row>
    <row r="10" spans="1:10" ht="15.95" customHeight="1" x14ac:dyDescent="0.2"/>
    <row r="11" spans="1:10" ht="15.95" customHeight="1" x14ac:dyDescent="0.25">
      <c r="B11" s="10" t="s">
        <v>386</v>
      </c>
    </row>
    <row r="12" spans="1:10" ht="15.95" customHeight="1" x14ac:dyDescent="0.25">
      <c r="A12" s="60"/>
      <c r="B12" s="60" t="s">
        <v>758</v>
      </c>
      <c r="C12" s="60" t="s">
        <v>850</v>
      </c>
      <c r="D12" s="60"/>
      <c r="E12" s="60"/>
      <c r="F12" s="60"/>
      <c r="G12" s="60"/>
      <c r="H12" s="60"/>
    </row>
    <row r="13" spans="1:10" ht="15.95" customHeight="1" x14ac:dyDescent="0.25">
      <c r="A13" s="60"/>
      <c r="B13" s="60"/>
      <c r="C13" s="60" t="s">
        <v>851</v>
      </c>
      <c r="D13" s="60"/>
      <c r="E13" s="60"/>
      <c r="F13" s="60"/>
      <c r="G13" s="60"/>
      <c r="H13" s="60"/>
    </row>
    <row r="14" spans="1:10" ht="15.95" customHeight="1" x14ac:dyDescent="0.25">
      <c r="A14" s="60"/>
      <c r="B14" s="60"/>
      <c r="C14" s="60" t="s">
        <v>852</v>
      </c>
      <c r="D14" s="60"/>
      <c r="E14" s="60"/>
      <c r="F14" s="60"/>
      <c r="G14" s="60"/>
      <c r="H14" s="60"/>
    </row>
    <row r="15" spans="1:10" ht="9.9499999999999993" customHeight="1" x14ac:dyDescent="0.25">
      <c r="A15" s="60"/>
      <c r="B15" s="60"/>
      <c r="C15" s="60"/>
      <c r="D15" s="60"/>
      <c r="E15" s="60"/>
      <c r="F15" s="60"/>
      <c r="G15" s="60"/>
      <c r="H15" s="60"/>
    </row>
    <row r="16" spans="1:10" ht="15.95" customHeight="1" x14ac:dyDescent="0.25">
      <c r="A16" s="60"/>
      <c r="B16" s="60" t="s">
        <v>759</v>
      </c>
      <c r="C16" s="60" t="s">
        <v>504</v>
      </c>
      <c r="D16" s="60"/>
      <c r="E16" s="60"/>
      <c r="F16" s="60"/>
      <c r="G16" s="60"/>
      <c r="H16" s="60"/>
      <c r="I16" s="60"/>
      <c r="J16" s="60"/>
    </row>
    <row r="17" spans="1:8" ht="15.95" customHeight="1" x14ac:dyDescent="0.25">
      <c r="A17" s="60"/>
      <c r="B17" s="60"/>
      <c r="C17" s="60" t="s">
        <v>503</v>
      </c>
      <c r="D17" s="60"/>
      <c r="E17" s="60"/>
      <c r="F17" s="60"/>
      <c r="G17" s="60"/>
      <c r="H17" s="60"/>
    </row>
    <row r="18" spans="1:8" ht="5.0999999999999996" customHeight="1" x14ac:dyDescent="0.25">
      <c r="A18" s="60"/>
      <c r="B18" s="60"/>
      <c r="C18" s="60"/>
      <c r="D18" s="60"/>
      <c r="E18" s="60"/>
      <c r="F18" s="60"/>
      <c r="G18" s="60"/>
      <c r="H18" s="60"/>
    </row>
    <row r="19" spans="1:8" ht="15.95" customHeight="1" x14ac:dyDescent="0.25">
      <c r="A19" s="60"/>
      <c r="B19" s="60"/>
      <c r="C19" s="60" t="s">
        <v>55</v>
      </c>
      <c r="D19" s="61" t="s">
        <v>853</v>
      </c>
      <c r="E19" s="60"/>
      <c r="F19" s="60"/>
      <c r="G19" s="60"/>
      <c r="H19" s="60"/>
    </row>
    <row r="20" spans="1:8" ht="5.0999999999999996" customHeight="1" x14ac:dyDescent="0.25">
      <c r="A20" s="60"/>
      <c r="B20" s="60"/>
      <c r="C20" s="60"/>
      <c r="D20" s="61"/>
      <c r="E20" s="60"/>
      <c r="F20" s="60"/>
      <c r="G20" s="60"/>
      <c r="H20" s="60"/>
    </row>
    <row r="21" spans="1:8" ht="15.95" customHeight="1" x14ac:dyDescent="0.25">
      <c r="A21" s="60"/>
      <c r="B21" s="60"/>
      <c r="C21" s="60"/>
      <c r="D21" s="61" t="s">
        <v>854</v>
      </c>
      <c r="F21" s="60"/>
      <c r="G21" s="60"/>
      <c r="H21" s="60"/>
    </row>
    <row r="22" spans="1:8" ht="15.95" customHeight="1" x14ac:dyDescent="0.25">
      <c r="A22" s="60"/>
      <c r="B22" s="60"/>
      <c r="C22" s="60"/>
      <c r="D22" s="62" t="s">
        <v>855</v>
      </c>
      <c r="E22" s="62" t="s">
        <v>1231</v>
      </c>
      <c r="F22" s="60"/>
      <c r="G22" s="60"/>
      <c r="H22" s="60"/>
    </row>
    <row r="23" spans="1:8" ht="15.95" customHeight="1" x14ac:dyDescent="0.25">
      <c r="A23" s="60"/>
      <c r="B23" s="60"/>
      <c r="C23" s="60"/>
      <c r="D23" s="62" t="s">
        <v>856</v>
      </c>
      <c r="E23" s="62" t="s">
        <v>1232</v>
      </c>
      <c r="F23" s="60"/>
      <c r="G23" s="60"/>
      <c r="H23" s="60"/>
    </row>
    <row r="24" spans="1:8" ht="15.95" customHeight="1" x14ac:dyDescent="0.25">
      <c r="A24" s="60"/>
      <c r="B24" s="60"/>
      <c r="C24" s="60"/>
      <c r="D24" s="62" t="s">
        <v>857</v>
      </c>
      <c r="E24" s="62" t="s">
        <v>1233</v>
      </c>
      <c r="F24" s="60"/>
      <c r="G24" s="60"/>
      <c r="H24" s="60"/>
    </row>
    <row r="25" spans="1:8" ht="5.0999999999999996" customHeight="1" x14ac:dyDescent="0.25">
      <c r="A25" s="60"/>
      <c r="B25" s="60"/>
      <c r="C25" s="60"/>
      <c r="D25" s="62"/>
      <c r="E25" s="62"/>
      <c r="F25" s="60"/>
      <c r="G25" s="60"/>
      <c r="H25" s="60"/>
    </row>
    <row r="26" spans="1:8" ht="15.95" customHeight="1" x14ac:dyDescent="0.25">
      <c r="A26" s="60"/>
      <c r="B26" s="60"/>
      <c r="C26" s="60"/>
      <c r="D26" s="61" t="s">
        <v>858</v>
      </c>
      <c r="E26" s="60"/>
      <c r="F26" s="60"/>
      <c r="G26" s="60"/>
      <c r="H26" s="60"/>
    </row>
    <row r="27" spans="1:8" ht="15.95" customHeight="1" x14ac:dyDescent="0.25">
      <c r="A27" s="60"/>
      <c r="B27" s="60"/>
      <c r="C27" s="60"/>
      <c r="D27" s="62" t="s">
        <v>855</v>
      </c>
      <c r="E27" s="62" t="s">
        <v>1234</v>
      </c>
      <c r="F27" s="60"/>
      <c r="G27" s="60"/>
      <c r="H27" s="60"/>
    </row>
    <row r="28" spans="1:8" ht="15.95" customHeight="1" x14ac:dyDescent="0.25">
      <c r="A28" s="60"/>
      <c r="B28" s="60"/>
      <c r="C28" s="60"/>
      <c r="D28" s="62" t="s">
        <v>856</v>
      </c>
      <c r="E28" s="62" t="s">
        <v>1235</v>
      </c>
      <c r="F28" s="60"/>
      <c r="G28" s="60"/>
      <c r="H28" s="60"/>
    </row>
    <row r="29" spans="1:8" ht="9.9499999999999993" customHeight="1" x14ac:dyDescent="0.25">
      <c r="A29" s="60"/>
      <c r="B29" s="60"/>
      <c r="C29" s="60"/>
      <c r="D29" s="62"/>
      <c r="E29" s="62"/>
      <c r="F29" s="60"/>
      <c r="G29" s="60"/>
      <c r="H29" s="60"/>
    </row>
    <row r="30" spans="1:8" ht="15.95" customHeight="1" x14ac:dyDescent="0.25">
      <c r="A30" s="60"/>
      <c r="B30" s="60"/>
      <c r="C30" s="60" t="s">
        <v>58</v>
      </c>
      <c r="D30" s="61" t="s">
        <v>859</v>
      </c>
      <c r="E30" s="60"/>
      <c r="F30" s="60"/>
      <c r="G30" s="60"/>
      <c r="H30" s="60"/>
    </row>
    <row r="31" spans="1:8" ht="5.0999999999999996" customHeight="1" x14ac:dyDescent="0.25">
      <c r="A31" s="60"/>
      <c r="B31" s="60"/>
      <c r="C31" s="60"/>
      <c r="D31" s="61"/>
      <c r="E31" s="60"/>
      <c r="F31" s="60"/>
      <c r="G31" s="60"/>
      <c r="H31" s="60"/>
    </row>
    <row r="32" spans="1:8" ht="15.95" customHeight="1" x14ac:dyDescent="0.25">
      <c r="A32" s="60"/>
      <c r="B32" s="60"/>
      <c r="C32" s="60"/>
      <c r="D32" s="61" t="s">
        <v>854</v>
      </c>
      <c r="E32" s="60"/>
      <c r="F32" s="60"/>
      <c r="G32" s="60"/>
      <c r="H32" s="60"/>
    </row>
    <row r="33" spans="1:8" ht="15.95" customHeight="1" x14ac:dyDescent="0.25">
      <c r="A33" s="60"/>
      <c r="B33" s="60"/>
      <c r="C33" s="60"/>
      <c r="D33" s="63" t="s">
        <v>855</v>
      </c>
      <c r="E33" s="63" t="s">
        <v>1236</v>
      </c>
      <c r="F33" s="60"/>
      <c r="G33" s="60"/>
      <c r="H33" s="60"/>
    </row>
    <row r="34" spans="1:8" ht="15.95" customHeight="1" x14ac:dyDescent="0.25">
      <c r="A34" s="60"/>
      <c r="B34" s="60"/>
      <c r="C34" s="60"/>
      <c r="D34" s="63"/>
      <c r="E34" s="63" t="s">
        <v>1237</v>
      </c>
      <c r="F34" s="60"/>
      <c r="G34" s="60"/>
      <c r="H34" s="60"/>
    </row>
    <row r="35" spans="1:8" ht="15.95" customHeight="1" x14ac:dyDescent="0.25">
      <c r="A35" s="60"/>
      <c r="B35" s="60"/>
      <c r="C35" s="60"/>
      <c r="D35" s="62" t="s">
        <v>856</v>
      </c>
      <c r="E35" s="62" t="s">
        <v>1238</v>
      </c>
      <c r="F35" s="60"/>
      <c r="G35" s="60"/>
      <c r="H35" s="60"/>
    </row>
    <row r="36" spans="1:8" ht="5.0999999999999996" customHeight="1" x14ac:dyDescent="0.25">
      <c r="A36" s="60"/>
      <c r="B36" s="60"/>
      <c r="C36" s="60"/>
      <c r="D36" s="62"/>
      <c r="E36" s="62"/>
      <c r="F36" s="60"/>
      <c r="G36" s="60"/>
      <c r="H36" s="60"/>
    </row>
    <row r="37" spans="1:8" ht="15.95" customHeight="1" x14ac:dyDescent="0.25">
      <c r="A37" s="60"/>
      <c r="B37" s="60"/>
      <c r="C37" s="60"/>
      <c r="D37" s="61" t="s">
        <v>858</v>
      </c>
      <c r="E37" s="60"/>
      <c r="F37" s="60"/>
      <c r="G37" s="60"/>
      <c r="H37" s="60"/>
    </row>
    <row r="38" spans="1:8" ht="15.95" customHeight="1" x14ac:dyDescent="0.25">
      <c r="A38" s="60"/>
      <c r="B38" s="60"/>
      <c r="C38" s="60"/>
      <c r="D38" s="62" t="s">
        <v>855</v>
      </c>
      <c r="E38" s="63" t="s">
        <v>1538</v>
      </c>
      <c r="F38" s="60"/>
      <c r="G38" s="60"/>
      <c r="H38" s="60"/>
    </row>
    <row r="39" spans="1:8" ht="15.95" customHeight="1" x14ac:dyDescent="0.25">
      <c r="A39" s="60"/>
      <c r="B39" s="60"/>
      <c r="C39" s="60"/>
      <c r="D39" s="62"/>
      <c r="E39" s="63" t="s">
        <v>1239</v>
      </c>
      <c r="F39" s="60"/>
      <c r="G39" s="60"/>
      <c r="H39" s="60"/>
    </row>
    <row r="40" spans="1:8" ht="15.95" customHeight="1" x14ac:dyDescent="0.25">
      <c r="A40" s="60"/>
      <c r="B40" s="60"/>
      <c r="C40" s="60"/>
      <c r="D40" s="62" t="s">
        <v>856</v>
      </c>
      <c r="E40" s="62" t="s">
        <v>1240</v>
      </c>
      <c r="F40" s="60"/>
      <c r="G40" s="60"/>
      <c r="H40" s="60"/>
    </row>
    <row r="41" spans="1:8" ht="15.95" customHeight="1" x14ac:dyDescent="0.25">
      <c r="A41" s="60"/>
      <c r="B41" s="60"/>
      <c r="C41" s="60"/>
      <c r="D41" s="62" t="s">
        <v>857</v>
      </c>
      <c r="E41" s="62" t="s">
        <v>1241</v>
      </c>
      <c r="F41" s="60"/>
      <c r="G41" s="60"/>
      <c r="H41" s="60"/>
    </row>
    <row r="42" spans="1:8" ht="9.9499999999999993" customHeight="1" x14ac:dyDescent="0.25">
      <c r="A42" s="60"/>
      <c r="B42" s="60"/>
      <c r="C42" s="60"/>
      <c r="D42" s="62"/>
      <c r="E42" s="62"/>
      <c r="F42" s="60"/>
      <c r="G42" s="60"/>
      <c r="H42" s="60"/>
    </row>
    <row r="43" spans="1:8" ht="15.95" customHeight="1" x14ac:dyDescent="0.25">
      <c r="A43" s="60"/>
      <c r="B43" s="60"/>
      <c r="C43" s="60" t="s">
        <v>60</v>
      </c>
      <c r="D43" s="61" t="s">
        <v>860</v>
      </c>
      <c r="E43" s="60"/>
      <c r="F43" s="60"/>
      <c r="G43" s="60"/>
      <c r="H43" s="60"/>
    </row>
    <row r="44" spans="1:8" ht="5.0999999999999996" customHeight="1" x14ac:dyDescent="0.25">
      <c r="A44" s="60"/>
      <c r="B44" s="60"/>
      <c r="C44" s="60"/>
      <c r="D44" s="61"/>
      <c r="E44" s="60"/>
      <c r="F44" s="60"/>
      <c r="G44" s="60"/>
      <c r="H44" s="60"/>
    </row>
    <row r="45" spans="1:8" ht="15.95" customHeight="1" x14ac:dyDescent="0.25">
      <c r="A45" s="60"/>
      <c r="B45" s="60"/>
      <c r="C45" s="60"/>
      <c r="D45" s="61" t="s">
        <v>854</v>
      </c>
      <c r="E45" s="60"/>
      <c r="F45" s="60"/>
      <c r="G45" s="60"/>
      <c r="H45" s="60"/>
    </row>
    <row r="46" spans="1:8" ht="15.95" customHeight="1" x14ac:dyDescent="0.25">
      <c r="A46" s="60"/>
      <c r="B46" s="60"/>
      <c r="C46" s="60"/>
      <c r="D46" s="63" t="s">
        <v>855</v>
      </c>
      <c r="E46" s="62" t="s">
        <v>1242</v>
      </c>
      <c r="F46" s="60"/>
      <c r="G46" s="60"/>
      <c r="H46" s="60"/>
    </row>
    <row r="47" spans="1:8" ht="15.95" customHeight="1" x14ac:dyDescent="0.25">
      <c r="A47" s="60"/>
      <c r="B47" s="60"/>
      <c r="C47" s="60"/>
      <c r="D47" s="62" t="s">
        <v>856</v>
      </c>
      <c r="E47" s="62" t="s">
        <v>1243</v>
      </c>
      <c r="F47" s="60"/>
      <c r="G47" s="60"/>
      <c r="H47" s="60"/>
    </row>
    <row r="48" spans="1:8" ht="15.95" customHeight="1" x14ac:dyDescent="0.25">
      <c r="A48" s="60"/>
      <c r="B48" s="60"/>
      <c r="C48" s="60"/>
      <c r="D48" s="62" t="s">
        <v>857</v>
      </c>
      <c r="E48" s="62" t="s">
        <v>1244</v>
      </c>
      <c r="F48" s="60"/>
      <c r="G48" s="60"/>
      <c r="H48" s="60"/>
    </row>
    <row r="49" spans="1:8" ht="5.0999999999999996" customHeight="1" x14ac:dyDescent="0.25">
      <c r="A49" s="60"/>
      <c r="B49" s="60"/>
      <c r="C49" s="60"/>
      <c r="D49" s="62"/>
      <c r="E49" s="62"/>
      <c r="F49" s="60"/>
      <c r="G49" s="60"/>
      <c r="H49" s="60"/>
    </row>
    <row r="50" spans="1:8" ht="15.95" customHeight="1" x14ac:dyDescent="0.25">
      <c r="A50" s="60"/>
      <c r="B50" s="60"/>
      <c r="C50" s="60"/>
      <c r="D50" s="61" t="s">
        <v>858</v>
      </c>
      <c r="E50" s="63"/>
      <c r="F50" s="60"/>
      <c r="G50" s="60"/>
      <c r="H50" s="60"/>
    </row>
    <row r="51" spans="1:8" ht="15.95" customHeight="1" x14ac:dyDescent="0.25">
      <c r="A51" s="60"/>
      <c r="B51" s="60"/>
      <c r="C51" s="60"/>
      <c r="D51" s="62" t="s">
        <v>855</v>
      </c>
      <c r="E51" s="62" t="s">
        <v>1245</v>
      </c>
      <c r="F51" s="60"/>
      <c r="G51" s="60"/>
      <c r="H51" s="60"/>
    </row>
    <row r="52" spans="1:8" ht="15.95" customHeight="1" x14ac:dyDescent="0.25">
      <c r="A52" s="60"/>
      <c r="B52" s="60"/>
      <c r="C52" s="60"/>
      <c r="D52" s="62" t="s">
        <v>856</v>
      </c>
      <c r="E52" s="62" t="s">
        <v>1246</v>
      </c>
      <c r="F52" s="60"/>
      <c r="G52" s="60"/>
      <c r="H52" s="60"/>
    </row>
    <row r="53" spans="1:8" ht="5.0999999999999996" customHeight="1" x14ac:dyDescent="0.25">
      <c r="A53" s="60"/>
      <c r="B53" s="60"/>
      <c r="C53" s="60"/>
      <c r="D53" s="60"/>
      <c r="E53" s="60"/>
      <c r="F53" s="60"/>
      <c r="G53" s="60"/>
      <c r="H53" s="60"/>
    </row>
    <row r="54" spans="1:8" ht="15.95" customHeight="1" x14ac:dyDescent="0.25">
      <c r="A54" s="60"/>
      <c r="B54" s="60"/>
      <c r="C54" s="60"/>
      <c r="D54" s="60"/>
      <c r="E54" s="60"/>
      <c r="F54" s="60"/>
      <c r="G54" s="60"/>
      <c r="H54" s="60"/>
    </row>
    <row r="55" spans="1:8" ht="15.95" customHeight="1" x14ac:dyDescent="0.25">
      <c r="A55" s="60"/>
      <c r="B55" s="60"/>
      <c r="C55" s="60"/>
      <c r="D55" s="60"/>
      <c r="E55" s="60"/>
      <c r="F55" s="60"/>
      <c r="G55" s="60"/>
      <c r="H55" s="60"/>
    </row>
    <row r="56" spans="1:8" ht="15.95" customHeight="1" x14ac:dyDescent="0.25">
      <c r="A56" s="60"/>
      <c r="B56" s="60"/>
      <c r="C56" s="60"/>
      <c r="D56" s="60"/>
      <c r="E56" s="60"/>
      <c r="F56" s="60"/>
      <c r="G56" s="60"/>
      <c r="H56" s="60"/>
    </row>
    <row r="57" spans="1:8" ht="15.95" customHeight="1" x14ac:dyDescent="0.25">
      <c r="A57" s="60"/>
      <c r="B57" s="60"/>
      <c r="C57" s="60"/>
      <c r="D57" s="60"/>
      <c r="E57" s="60"/>
      <c r="F57" s="60"/>
      <c r="G57" s="60"/>
      <c r="H57" s="60"/>
    </row>
    <row r="58" spans="1:8" ht="15.95" customHeight="1" x14ac:dyDescent="0.25">
      <c r="A58" s="60"/>
      <c r="B58" s="60"/>
      <c r="C58" s="60"/>
      <c r="D58" s="60"/>
      <c r="E58" s="60"/>
      <c r="F58" s="60"/>
      <c r="G58" s="60"/>
      <c r="H58" s="60"/>
    </row>
    <row r="59" spans="1:8" ht="15.95" customHeight="1" x14ac:dyDescent="0.25">
      <c r="A59" s="60"/>
      <c r="B59" s="60"/>
      <c r="C59" s="60"/>
      <c r="D59" s="60"/>
      <c r="E59" s="60"/>
      <c r="F59" s="60"/>
      <c r="G59" s="60"/>
      <c r="H59" s="60"/>
    </row>
    <row r="60" spans="1:8" ht="15.95" customHeight="1" x14ac:dyDescent="0.25">
      <c r="A60" s="60"/>
      <c r="B60" s="60"/>
      <c r="C60" s="60"/>
      <c r="D60" s="60"/>
      <c r="E60" s="60"/>
      <c r="F60" s="60"/>
      <c r="G60" s="60"/>
      <c r="H60" s="60"/>
    </row>
    <row r="61" spans="1:8" ht="14.45" customHeight="1" x14ac:dyDescent="0.25">
      <c r="A61" s="60"/>
      <c r="B61" s="60"/>
      <c r="C61" s="60"/>
      <c r="D61" s="60"/>
      <c r="E61" s="60"/>
      <c r="F61" s="60"/>
      <c r="G61" s="60"/>
      <c r="H61" s="60"/>
    </row>
    <row r="62" spans="1:8" ht="14.45" customHeight="1" x14ac:dyDescent="0.25">
      <c r="A62" s="60"/>
      <c r="B62" s="60"/>
      <c r="C62" s="60"/>
      <c r="D62" s="60"/>
      <c r="E62" s="60"/>
      <c r="F62" s="60"/>
      <c r="G62" s="60"/>
      <c r="H62" s="60"/>
    </row>
    <row r="63" spans="1:8" ht="14.45" customHeight="1" x14ac:dyDescent="0.25">
      <c r="A63" s="60"/>
      <c r="B63" s="60"/>
      <c r="C63" s="60"/>
      <c r="D63" s="60"/>
      <c r="E63" s="60"/>
      <c r="F63" s="60"/>
      <c r="G63" s="60"/>
      <c r="H63" s="60"/>
    </row>
    <row r="64" spans="1:8" ht="15" customHeight="1" x14ac:dyDescent="0.25">
      <c r="A64" s="60"/>
      <c r="B64" s="60"/>
      <c r="C64" s="60"/>
      <c r="D64" s="60"/>
      <c r="E64" s="60"/>
      <c r="F64" s="60"/>
      <c r="G64" s="60"/>
      <c r="H64" s="60"/>
    </row>
    <row r="65" spans="1:8" ht="15" customHeight="1" x14ac:dyDescent="0.25">
      <c r="A65" s="60"/>
      <c r="B65" s="60"/>
      <c r="C65" s="60"/>
      <c r="D65" s="60"/>
      <c r="E65" s="60"/>
      <c r="F65" s="60"/>
      <c r="G65" s="60"/>
      <c r="H65" s="60"/>
    </row>
    <row r="66" spans="1:8" ht="15" customHeight="1" x14ac:dyDescent="0.25">
      <c r="A66" s="60"/>
      <c r="B66" s="60"/>
      <c r="C66" s="60"/>
      <c r="D66" s="60"/>
      <c r="E66" s="60"/>
      <c r="F66" s="60"/>
      <c r="G66" s="60"/>
      <c r="H66" s="60"/>
    </row>
    <row r="67" spans="1:8" ht="15" customHeight="1" x14ac:dyDescent="0.25">
      <c r="A67" s="60"/>
      <c r="B67" s="60"/>
      <c r="C67" s="60"/>
      <c r="D67" s="60"/>
      <c r="E67" s="60"/>
      <c r="F67" s="60"/>
      <c r="G67" s="60"/>
      <c r="H67" s="60"/>
    </row>
    <row r="68" spans="1:8" ht="15" customHeight="1" x14ac:dyDescent="0.25">
      <c r="A68" s="60"/>
      <c r="B68" s="60"/>
      <c r="C68" s="60"/>
      <c r="D68" s="60"/>
      <c r="E68" s="60"/>
      <c r="F68" s="60"/>
      <c r="G68" s="60"/>
      <c r="H68" s="60"/>
    </row>
    <row r="69" spans="1:8" ht="15" customHeight="1" x14ac:dyDescent="0.25">
      <c r="A69" s="60"/>
      <c r="B69" s="60"/>
      <c r="C69" s="60"/>
      <c r="D69" s="60"/>
      <c r="E69" s="60"/>
      <c r="F69" s="60"/>
      <c r="G69" s="60"/>
      <c r="H69" s="60"/>
    </row>
    <row r="70" spans="1:8" ht="15" customHeight="1" x14ac:dyDescent="0.25">
      <c r="A70" s="60"/>
      <c r="B70" s="60"/>
      <c r="C70" s="60"/>
      <c r="D70" s="60"/>
      <c r="E70" s="60"/>
      <c r="F70" s="60"/>
      <c r="G70" s="60"/>
      <c r="H70" s="60"/>
    </row>
    <row r="71" spans="1:8" ht="15" customHeight="1" x14ac:dyDescent="0.25">
      <c r="A71" s="60"/>
      <c r="B71" s="60"/>
      <c r="C71" s="60"/>
      <c r="D71" s="60"/>
      <c r="E71" s="60"/>
      <c r="F71" s="60"/>
      <c r="G71" s="60"/>
      <c r="H71" s="60"/>
    </row>
    <row r="72" spans="1:8" ht="15" customHeight="1" x14ac:dyDescent="0.25">
      <c r="A72" s="60"/>
      <c r="B72" s="60"/>
      <c r="C72" s="60"/>
      <c r="D72" s="60"/>
      <c r="E72" s="60"/>
      <c r="F72" s="60"/>
      <c r="G72" s="60"/>
      <c r="H72" s="60"/>
    </row>
    <row r="73" spans="1:8" ht="15" customHeight="1" x14ac:dyDescent="0.25">
      <c r="A73" s="60"/>
      <c r="B73" s="60"/>
      <c r="C73" s="60"/>
      <c r="D73" s="60"/>
      <c r="E73" s="60"/>
      <c r="F73" s="60"/>
      <c r="G73" s="60"/>
      <c r="H73" s="60"/>
    </row>
    <row r="74" spans="1:8" ht="15" customHeight="1" x14ac:dyDescent="0.25">
      <c r="A74" s="60"/>
      <c r="B74" s="60"/>
      <c r="C74" s="60"/>
      <c r="D74" s="60"/>
      <c r="E74" s="60"/>
      <c r="F74" s="60"/>
      <c r="G74" s="60"/>
      <c r="H74" s="60"/>
    </row>
    <row r="75" spans="1:8" ht="15" customHeight="1" x14ac:dyDescent="0.25">
      <c r="A75" s="60"/>
      <c r="B75" s="60"/>
      <c r="C75" s="60"/>
      <c r="D75" s="60"/>
      <c r="E75" s="60"/>
      <c r="F75" s="60"/>
      <c r="G75" s="60"/>
      <c r="H75" s="60"/>
    </row>
    <row r="76" spans="1:8" ht="15" customHeight="1" x14ac:dyDescent="0.25">
      <c r="A76" s="60"/>
      <c r="B76" s="60"/>
      <c r="C76" s="60"/>
      <c r="D76" s="60"/>
      <c r="E76" s="60"/>
      <c r="F76" s="60"/>
      <c r="G76" s="60"/>
      <c r="H76" s="60"/>
    </row>
    <row r="77" spans="1:8" ht="15.75" x14ac:dyDescent="0.25">
      <c r="A77" s="60"/>
      <c r="B77" s="60"/>
      <c r="C77" s="60"/>
      <c r="D77" s="60"/>
      <c r="E77" s="60"/>
      <c r="F77" s="60"/>
      <c r="G77" s="60"/>
      <c r="H77" s="60"/>
    </row>
    <row r="78" spans="1:8" ht="15.75" x14ac:dyDescent="0.25">
      <c r="A78" s="60"/>
      <c r="B78" s="60"/>
      <c r="C78" s="60"/>
      <c r="D78" s="60"/>
      <c r="E78" s="60"/>
      <c r="F78" s="60"/>
      <c r="G78" s="60"/>
      <c r="H78" s="60"/>
    </row>
    <row r="79" spans="1:8" ht="15.75" x14ac:dyDescent="0.25">
      <c r="A79" s="60"/>
      <c r="B79" s="60"/>
      <c r="C79" s="60"/>
      <c r="D79" s="60"/>
      <c r="E79" s="60"/>
      <c r="F79" s="60"/>
      <c r="G79" s="60"/>
      <c r="H79" s="60"/>
    </row>
    <row r="80" spans="1:8" ht="15.75" x14ac:dyDescent="0.25">
      <c r="A80" s="60"/>
      <c r="B80" s="60"/>
      <c r="C80" s="60"/>
      <c r="D80" s="60"/>
      <c r="E80" s="60"/>
      <c r="F80" s="60"/>
      <c r="G80" s="60"/>
      <c r="H80" s="60"/>
    </row>
    <row r="81" spans="1:8" ht="15.75" x14ac:dyDescent="0.25">
      <c r="A81" s="60"/>
      <c r="B81" s="60"/>
      <c r="C81" s="60"/>
      <c r="D81" s="60"/>
      <c r="E81" s="60"/>
      <c r="F81" s="60"/>
      <c r="G81" s="60"/>
      <c r="H81" s="60"/>
    </row>
    <row r="82" spans="1:8" ht="15.75" x14ac:dyDescent="0.25">
      <c r="A82" s="60"/>
      <c r="B82" s="60"/>
      <c r="C82" s="60"/>
      <c r="D82" s="60"/>
      <c r="E82" s="60"/>
      <c r="F82" s="60"/>
      <c r="G82" s="60"/>
      <c r="H82" s="60"/>
    </row>
    <row r="83" spans="1:8" ht="15.75" x14ac:dyDescent="0.25">
      <c r="A83" s="60"/>
      <c r="B83" s="60"/>
      <c r="C83" s="60"/>
      <c r="D83" s="60"/>
      <c r="E83" s="60"/>
      <c r="F83" s="60"/>
      <c r="G83" s="60"/>
      <c r="H83" s="60"/>
    </row>
    <row r="84" spans="1:8" ht="15.75" x14ac:dyDescent="0.25">
      <c r="A84" s="60"/>
      <c r="B84" s="60"/>
      <c r="C84" s="60"/>
      <c r="D84" s="60"/>
      <c r="E84" s="60"/>
      <c r="F84" s="60"/>
      <c r="G84" s="60"/>
      <c r="H84" s="60"/>
    </row>
    <row r="85" spans="1:8" ht="15.75" x14ac:dyDescent="0.25">
      <c r="A85" s="60"/>
      <c r="B85" s="60"/>
      <c r="C85" s="60"/>
      <c r="D85" s="60"/>
      <c r="E85" s="60"/>
      <c r="F85" s="60"/>
      <c r="G85" s="60"/>
      <c r="H85" s="60"/>
    </row>
    <row r="86" spans="1:8" ht="15.75" x14ac:dyDescent="0.25">
      <c r="A86" s="60"/>
      <c r="B86" s="60"/>
      <c r="C86" s="60"/>
      <c r="D86" s="60"/>
      <c r="E86" s="60"/>
      <c r="F86" s="60"/>
      <c r="G86" s="60"/>
      <c r="H86" s="60"/>
    </row>
    <row r="87" spans="1:8" ht="15.75" x14ac:dyDescent="0.25">
      <c r="A87" s="60"/>
      <c r="B87" s="60"/>
      <c r="C87" s="60"/>
      <c r="D87" s="60"/>
      <c r="E87" s="60"/>
      <c r="F87" s="60"/>
      <c r="G87" s="60"/>
      <c r="H87" s="60"/>
    </row>
    <row r="88" spans="1:8" ht="15.75" x14ac:dyDescent="0.25">
      <c r="A88" s="60"/>
      <c r="B88" s="60"/>
      <c r="C88" s="60"/>
      <c r="D88" s="60"/>
      <c r="E88" s="60"/>
      <c r="F88" s="60"/>
      <c r="G88" s="60"/>
      <c r="H88" s="60"/>
    </row>
    <row r="89" spans="1:8" ht="15.75" x14ac:dyDescent="0.25">
      <c r="A89" s="60"/>
      <c r="B89" s="60"/>
      <c r="C89" s="60"/>
      <c r="D89" s="60"/>
      <c r="E89" s="60"/>
      <c r="F89" s="60"/>
      <c r="G89" s="60"/>
      <c r="H89" s="60"/>
    </row>
    <row r="90" spans="1:8" ht="15.75" x14ac:dyDescent="0.25">
      <c r="A90" s="60"/>
      <c r="B90" s="60"/>
      <c r="C90" s="60"/>
      <c r="D90" s="60"/>
      <c r="E90" s="60"/>
      <c r="F90" s="60"/>
      <c r="G90" s="60"/>
      <c r="H90" s="60"/>
    </row>
    <row r="91" spans="1:8" ht="15.75" x14ac:dyDescent="0.25">
      <c r="A91" s="60"/>
      <c r="B91" s="60"/>
      <c r="C91" s="60"/>
      <c r="D91" s="60"/>
      <c r="E91" s="60"/>
      <c r="F91" s="60"/>
      <c r="G91" s="60"/>
      <c r="H91" s="60"/>
    </row>
    <row r="92" spans="1:8" ht="15.75" x14ac:dyDescent="0.25">
      <c r="A92" s="60"/>
      <c r="B92" s="60"/>
      <c r="C92" s="60"/>
      <c r="D92" s="60"/>
      <c r="E92" s="60"/>
      <c r="F92" s="60"/>
      <c r="G92" s="60"/>
      <c r="H92" s="60"/>
    </row>
    <row r="93" spans="1:8" ht="15.75" x14ac:dyDescent="0.25">
      <c r="A93" s="60"/>
      <c r="B93" s="60"/>
      <c r="C93" s="60"/>
      <c r="D93" s="60"/>
      <c r="E93" s="60"/>
      <c r="F93" s="60"/>
      <c r="G93" s="60"/>
      <c r="H93" s="60"/>
    </row>
    <row r="94" spans="1:8" ht="15.75" x14ac:dyDescent="0.25">
      <c r="A94" s="60"/>
      <c r="B94" s="60"/>
      <c r="C94" s="60"/>
      <c r="D94" s="60"/>
      <c r="E94" s="60"/>
      <c r="F94" s="60"/>
      <c r="G94" s="60"/>
      <c r="H94" s="60"/>
    </row>
    <row r="95" spans="1:8" ht="15.75" x14ac:dyDescent="0.25">
      <c r="A95" s="60"/>
      <c r="B95" s="60"/>
      <c r="C95" s="60"/>
      <c r="D95" s="60"/>
      <c r="E95" s="60"/>
      <c r="F95" s="60"/>
      <c r="G95" s="60"/>
      <c r="H95" s="60"/>
    </row>
    <row r="96" spans="1:8" ht="15.75" x14ac:dyDescent="0.25">
      <c r="A96" s="60"/>
      <c r="B96" s="60"/>
      <c r="C96" s="60"/>
      <c r="D96" s="60"/>
      <c r="E96" s="60"/>
      <c r="F96" s="60"/>
      <c r="G96" s="60"/>
      <c r="H96" s="60"/>
    </row>
    <row r="97" spans="1:8" ht="15.75" x14ac:dyDescent="0.25">
      <c r="A97" s="60"/>
      <c r="B97" s="60"/>
      <c r="C97" s="60"/>
      <c r="D97" s="60"/>
      <c r="E97" s="60"/>
      <c r="F97" s="60"/>
      <c r="G97" s="60"/>
      <c r="H97" s="60"/>
    </row>
    <row r="98" spans="1:8" ht="15.75" x14ac:dyDescent="0.25">
      <c r="A98" s="60"/>
      <c r="B98" s="60"/>
      <c r="C98" s="60"/>
      <c r="D98" s="60"/>
      <c r="E98" s="60"/>
      <c r="F98" s="60"/>
      <c r="G98" s="60"/>
      <c r="H98" s="60"/>
    </row>
    <row r="99" spans="1:8" ht="15.75" x14ac:dyDescent="0.25">
      <c r="A99" s="60"/>
      <c r="B99" s="60"/>
      <c r="C99" s="60"/>
      <c r="D99" s="60"/>
      <c r="E99" s="60"/>
      <c r="F99" s="60"/>
      <c r="G99" s="60"/>
      <c r="H99" s="60"/>
    </row>
    <row r="100" spans="1:8" ht="15.75" x14ac:dyDescent="0.25">
      <c r="A100" s="60"/>
      <c r="B100" s="60"/>
      <c r="C100" s="60"/>
      <c r="D100" s="60"/>
      <c r="E100" s="60"/>
      <c r="F100" s="60"/>
      <c r="G100" s="60"/>
      <c r="H100" s="60"/>
    </row>
    <row r="101" spans="1:8" ht="15.75" x14ac:dyDescent="0.25">
      <c r="A101" s="60"/>
      <c r="B101" s="60"/>
      <c r="C101" s="60"/>
      <c r="D101" s="60"/>
      <c r="E101" s="60"/>
      <c r="F101" s="60"/>
      <c r="G101" s="60"/>
      <c r="H101" s="60"/>
    </row>
    <row r="102" spans="1:8" ht="15.75" x14ac:dyDescent="0.25">
      <c r="A102" s="60"/>
      <c r="B102" s="60"/>
      <c r="C102" s="60"/>
      <c r="D102" s="60"/>
      <c r="E102" s="60"/>
      <c r="F102" s="60"/>
      <c r="G102" s="60"/>
      <c r="H102" s="60"/>
    </row>
    <row r="103" spans="1:8" ht="15.75" x14ac:dyDescent="0.25">
      <c r="A103" s="60"/>
      <c r="B103" s="60"/>
      <c r="C103" s="60"/>
      <c r="D103" s="60"/>
      <c r="E103" s="60"/>
      <c r="F103" s="60"/>
      <c r="G103" s="60"/>
      <c r="H103" s="60"/>
    </row>
    <row r="104" spans="1:8" ht="15.75" x14ac:dyDescent="0.25">
      <c r="A104" s="60"/>
      <c r="B104" s="60"/>
      <c r="C104" s="60"/>
      <c r="D104" s="60"/>
      <c r="E104" s="60"/>
      <c r="F104" s="60"/>
      <c r="G104" s="60"/>
      <c r="H104" s="60"/>
    </row>
    <row r="105" spans="1:8" ht="15.75" x14ac:dyDescent="0.25">
      <c r="A105" s="60"/>
      <c r="B105" s="60"/>
      <c r="C105" s="60"/>
      <c r="D105" s="60"/>
      <c r="E105" s="60"/>
      <c r="F105" s="60"/>
      <c r="G105" s="60"/>
      <c r="H105" s="60"/>
    </row>
    <row r="106" spans="1:8" ht="15.75" x14ac:dyDescent="0.25">
      <c r="A106" s="60"/>
      <c r="B106" s="60"/>
      <c r="C106" s="60"/>
      <c r="D106" s="60"/>
      <c r="E106" s="60"/>
      <c r="F106" s="60"/>
      <c r="G106" s="60"/>
      <c r="H106" s="60"/>
    </row>
    <row r="107" spans="1:8" ht="15.75" x14ac:dyDescent="0.25">
      <c r="A107" s="60"/>
      <c r="B107" s="60"/>
      <c r="C107" s="60"/>
      <c r="D107" s="60"/>
      <c r="E107" s="60"/>
      <c r="F107" s="60"/>
      <c r="G107" s="60"/>
      <c r="H107" s="60"/>
    </row>
    <row r="108" spans="1:8" ht="15.75" x14ac:dyDescent="0.25">
      <c r="A108" s="60"/>
      <c r="B108" s="60"/>
      <c r="C108" s="60"/>
      <c r="D108" s="60"/>
      <c r="E108" s="60"/>
      <c r="F108" s="60"/>
      <c r="G108" s="60"/>
      <c r="H108" s="60"/>
    </row>
    <row r="109" spans="1:8" ht="15.75" x14ac:dyDescent="0.25">
      <c r="A109" s="60"/>
      <c r="B109" s="60"/>
      <c r="C109" s="60"/>
      <c r="D109" s="60"/>
      <c r="E109" s="60"/>
      <c r="F109" s="60"/>
      <c r="G109" s="60"/>
      <c r="H109" s="60"/>
    </row>
    <row r="110" spans="1:8" ht="15.75" x14ac:dyDescent="0.25">
      <c r="A110" s="60"/>
      <c r="B110" s="60"/>
      <c r="C110" s="60"/>
      <c r="D110" s="60"/>
      <c r="E110" s="60"/>
      <c r="F110" s="60"/>
      <c r="G110" s="60"/>
      <c r="H110" s="60"/>
    </row>
    <row r="111" spans="1:8" ht="15.75" x14ac:dyDescent="0.25">
      <c r="A111" s="60"/>
      <c r="B111" s="60"/>
      <c r="C111" s="60"/>
      <c r="D111" s="60"/>
      <c r="E111" s="60"/>
      <c r="F111" s="60"/>
      <c r="G111" s="60"/>
      <c r="H111" s="60"/>
    </row>
    <row r="112" spans="1:8" ht="15.75" x14ac:dyDescent="0.25">
      <c r="A112" s="60"/>
      <c r="B112" s="60"/>
      <c r="C112" s="60"/>
      <c r="D112" s="60"/>
      <c r="E112" s="60"/>
      <c r="F112" s="60"/>
      <c r="G112" s="60"/>
      <c r="H112" s="60"/>
    </row>
    <row r="113" spans="1:8" ht="15.75" x14ac:dyDescent="0.25">
      <c r="A113" s="60"/>
      <c r="B113" s="60"/>
      <c r="C113" s="60"/>
      <c r="D113" s="60"/>
      <c r="E113" s="60"/>
      <c r="F113" s="60"/>
      <c r="G113" s="60"/>
      <c r="H113" s="60"/>
    </row>
    <row r="114" spans="1:8" ht="15.75" x14ac:dyDescent="0.25">
      <c r="A114" s="60"/>
      <c r="B114" s="60"/>
      <c r="C114" s="60"/>
      <c r="D114" s="60"/>
      <c r="E114" s="60"/>
      <c r="F114" s="60"/>
      <c r="G114" s="60"/>
      <c r="H114" s="60"/>
    </row>
    <row r="115" spans="1:8" ht="15.75" x14ac:dyDescent="0.25">
      <c r="A115" s="60"/>
      <c r="B115" s="60"/>
      <c r="C115" s="60"/>
      <c r="D115" s="60"/>
      <c r="E115" s="60"/>
      <c r="F115" s="60"/>
      <c r="G115" s="60"/>
      <c r="H115" s="60"/>
    </row>
    <row r="116" spans="1:8" ht="15.75" x14ac:dyDescent="0.25">
      <c r="A116" s="60"/>
      <c r="B116" s="60"/>
      <c r="C116" s="60"/>
      <c r="D116" s="60"/>
      <c r="E116" s="60"/>
      <c r="F116" s="60"/>
      <c r="G116" s="60"/>
      <c r="H116" s="60"/>
    </row>
    <row r="117" spans="1:8" ht="15.75" x14ac:dyDescent="0.25">
      <c r="A117" s="60"/>
      <c r="B117" s="60"/>
      <c r="C117" s="60"/>
      <c r="D117" s="60"/>
      <c r="E117" s="60"/>
      <c r="F117" s="60"/>
      <c r="G117" s="60"/>
      <c r="H117" s="60"/>
    </row>
    <row r="118" spans="1:8" ht="15.75" x14ac:dyDescent="0.25">
      <c r="A118" s="60"/>
      <c r="B118" s="60"/>
      <c r="C118" s="60"/>
      <c r="D118" s="60"/>
      <c r="E118" s="60"/>
      <c r="F118" s="60"/>
      <c r="G118" s="60"/>
      <c r="H118" s="60"/>
    </row>
    <row r="119" spans="1:8" ht="15.75" x14ac:dyDescent="0.25">
      <c r="A119" s="60"/>
      <c r="B119" s="60"/>
      <c r="C119" s="60"/>
      <c r="D119" s="60"/>
      <c r="E119" s="60"/>
      <c r="F119" s="60"/>
      <c r="G119" s="60"/>
      <c r="H119" s="60"/>
    </row>
    <row r="120" spans="1:8" ht="15.75" x14ac:dyDescent="0.25">
      <c r="A120" s="60"/>
      <c r="B120" s="60"/>
      <c r="C120" s="60"/>
      <c r="D120" s="60"/>
      <c r="E120" s="60"/>
      <c r="F120" s="60"/>
      <c r="G120" s="60"/>
      <c r="H120" s="60"/>
    </row>
    <row r="121" spans="1:8" ht="15.75" x14ac:dyDescent="0.25">
      <c r="A121" s="60"/>
      <c r="B121" s="60"/>
      <c r="C121" s="60"/>
      <c r="D121" s="60"/>
      <c r="E121" s="60"/>
      <c r="F121" s="60"/>
      <c r="G121" s="60"/>
      <c r="H121" s="60"/>
    </row>
    <row r="122" spans="1:8" ht="15.75" x14ac:dyDescent="0.25">
      <c r="A122" s="60"/>
      <c r="B122" s="60"/>
      <c r="C122" s="60"/>
      <c r="D122" s="60"/>
      <c r="E122" s="60"/>
      <c r="F122" s="60"/>
      <c r="G122" s="60"/>
      <c r="H122" s="60"/>
    </row>
    <row r="123" spans="1:8" ht="15.75" x14ac:dyDescent="0.25">
      <c r="A123" s="60"/>
      <c r="B123" s="60"/>
      <c r="C123" s="60"/>
      <c r="D123" s="60"/>
      <c r="E123" s="60"/>
      <c r="F123" s="60"/>
      <c r="G123" s="60"/>
      <c r="H123" s="60"/>
    </row>
    <row r="124" spans="1:8" ht="15.75" x14ac:dyDescent="0.25">
      <c r="A124" s="60"/>
      <c r="B124" s="60"/>
      <c r="C124" s="60"/>
      <c r="D124" s="60"/>
      <c r="E124" s="60"/>
      <c r="F124" s="60"/>
      <c r="G124" s="60"/>
      <c r="H124" s="60"/>
    </row>
    <row r="125" spans="1:8" ht="15.75" x14ac:dyDescent="0.25">
      <c r="A125" s="60"/>
      <c r="B125" s="60"/>
      <c r="C125" s="60"/>
      <c r="D125" s="60"/>
      <c r="E125" s="60"/>
      <c r="F125" s="60"/>
      <c r="G125" s="60"/>
      <c r="H125" s="60"/>
    </row>
    <row r="126" spans="1:8" ht="15.75" x14ac:dyDescent="0.25">
      <c r="A126" s="60"/>
      <c r="B126" s="60"/>
      <c r="C126" s="60"/>
      <c r="D126" s="60"/>
      <c r="E126" s="60"/>
      <c r="F126" s="60"/>
      <c r="G126" s="60"/>
      <c r="H126" s="60"/>
    </row>
    <row r="127" spans="1:8" ht="15.75" x14ac:dyDescent="0.25">
      <c r="A127" s="60"/>
      <c r="B127" s="60"/>
      <c r="C127" s="60"/>
      <c r="D127" s="60"/>
      <c r="E127" s="60"/>
      <c r="F127" s="60"/>
      <c r="G127" s="60"/>
      <c r="H127" s="60"/>
    </row>
    <row r="128" spans="1:8" ht="15.75" x14ac:dyDescent="0.25">
      <c r="A128" s="60"/>
      <c r="B128" s="60"/>
      <c r="C128" s="60"/>
      <c r="D128" s="60"/>
      <c r="E128" s="60"/>
      <c r="F128" s="60"/>
      <c r="G128" s="60"/>
      <c r="H128" s="60"/>
    </row>
    <row r="129" spans="1:8" ht="15.75" x14ac:dyDescent="0.25">
      <c r="A129" s="60"/>
      <c r="B129" s="60"/>
      <c r="C129" s="60"/>
      <c r="D129" s="60"/>
      <c r="E129" s="60"/>
      <c r="F129" s="60"/>
      <c r="G129" s="60"/>
      <c r="H129" s="60"/>
    </row>
    <row r="130" spans="1:8" ht="15.75" x14ac:dyDescent="0.25">
      <c r="A130" s="60"/>
      <c r="B130" s="60"/>
      <c r="C130" s="60"/>
      <c r="D130" s="60"/>
      <c r="E130" s="60"/>
      <c r="F130" s="60"/>
      <c r="G130" s="60"/>
      <c r="H130" s="60"/>
    </row>
    <row r="131" spans="1:8" ht="15.75" x14ac:dyDescent="0.25">
      <c r="A131" s="60"/>
      <c r="B131" s="60"/>
      <c r="C131" s="60"/>
      <c r="D131" s="60"/>
      <c r="E131" s="60"/>
      <c r="F131" s="60"/>
      <c r="G131" s="60"/>
      <c r="H131" s="60"/>
    </row>
    <row r="132" spans="1:8" ht="15.75" x14ac:dyDescent="0.25">
      <c r="A132" s="60"/>
      <c r="B132" s="60"/>
      <c r="C132" s="60"/>
      <c r="D132" s="60"/>
      <c r="E132" s="60"/>
      <c r="F132" s="60"/>
      <c r="G132" s="60"/>
      <c r="H132" s="60"/>
    </row>
    <row r="133" spans="1:8" ht="15.75" x14ac:dyDescent="0.25">
      <c r="A133" s="60"/>
      <c r="B133" s="60"/>
      <c r="C133" s="60"/>
      <c r="D133" s="60"/>
      <c r="E133" s="60"/>
      <c r="F133" s="60"/>
      <c r="G133" s="60"/>
      <c r="H133" s="60"/>
    </row>
    <row r="134" spans="1:8" ht="15.75" x14ac:dyDescent="0.25">
      <c r="A134" s="60"/>
      <c r="B134" s="60"/>
      <c r="C134" s="60"/>
      <c r="D134" s="60"/>
      <c r="E134" s="60"/>
      <c r="F134" s="60"/>
      <c r="G134" s="60"/>
      <c r="H134" s="60"/>
    </row>
    <row r="135" spans="1:8" ht="15.75" x14ac:dyDescent="0.25">
      <c r="A135" s="60"/>
      <c r="B135" s="60"/>
      <c r="C135" s="60"/>
      <c r="D135" s="60"/>
      <c r="E135" s="60"/>
      <c r="F135" s="60"/>
      <c r="G135" s="60"/>
      <c r="H135" s="60"/>
    </row>
    <row r="136" spans="1:8" ht="15.75" x14ac:dyDescent="0.25">
      <c r="A136" s="60"/>
      <c r="B136" s="60"/>
      <c r="C136" s="60"/>
      <c r="D136" s="60"/>
      <c r="E136" s="60"/>
      <c r="F136" s="60"/>
      <c r="G136" s="60"/>
      <c r="H136" s="60"/>
    </row>
    <row r="137" spans="1:8" ht="15.75" x14ac:dyDescent="0.25">
      <c r="A137" s="60"/>
      <c r="B137" s="60"/>
      <c r="C137" s="60"/>
      <c r="D137" s="60"/>
      <c r="E137" s="60"/>
      <c r="F137" s="60"/>
      <c r="G137" s="60"/>
      <c r="H137" s="60"/>
    </row>
    <row r="138" spans="1:8" ht="15.75" x14ac:dyDescent="0.25">
      <c r="A138" s="60"/>
      <c r="B138" s="60"/>
      <c r="C138" s="60"/>
      <c r="D138" s="60"/>
      <c r="E138" s="60"/>
      <c r="F138" s="60"/>
      <c r="G138" s="60"/>
      <c r="H138" s="60"/>
    </row>
    <row r="139" spans="1:8" ht="15.75" x14ac:dyDescent="0.25">
      <c r="A139" s="60"/>
      <c r="B139" s="60"/>
      <c r="C139" s="60"/>
      <c r="D139" s="60"/>
      <c r="E139" s="60"/>
      <c r="F139" s="60"/>
      <c r="G139" s="60"/>
      <c r="H139" s="60"/>
    </row>
    <row r="140" spans="1:8" ht="15.75" x14ac:dyDescent="0.25">
      <c r="A140" s="60"/>
      <c r="B140" s="60"/>
      <c r="C140" s="60"/>
      <c r="D140" s="60"/>
      <c r="E140" s="60"/>
      <c r="F140" s="60"/>
      <c r="G140" s="60"/>
      <c r="H140" s="60"/>
    </row>
    <row r="141" spans="1:8" ht="15.75" x14ac:dyDescent="0.25">
      <c r="A141" s="60"/>
      <c r="B141" s="60"/>
      <c r="C141" s="60"/>
      <c r="D141" s="60"/>
      <c r="E141" s="60"/>
      <c r="F141" s="60"/>
      <c r="G141" s="60"/>
      <c r="H141" s="60"/>
    </row>
    <row r="142" spans="1:8" ht="15.75" x14ac:dyDescent="0.25">
      <c r="A142" s="60"/>
      <c r="B142" s="60"/>
      <c r="C142" s="60"/>
      <c r="D142" s="60"/>
      <c r="E142" s="60"/>
      <c r="F142" s="60"/>
      <c r="G142" s="60"/>
      <c r="H142" s="60"/>
    </row>
    <row r="143" spans="1:8" ht="15.75" x14ac:dyDescent="0.25">
      <c r="A143" s="60"/>
      <c r="B143" s="60"/>
      <c r="C143" s="60"/>
      <c r="D143" s="60"/>
      <c r="E143" s="60"/>
      <c r="F143" s="60"/>
      <c r="G143" s="60"/>
      <c r="H143" s="60"/>
    </row>
    <row r="144" spans="1:8" ht="15.75" x14ac:dyDescent="0.25">
      <c r="A144" s="60"/>
      <c r="B144" s="60"/>
      <c r="C144" s="60"/>
      <c r="D144" s="60"/>
      <c r="E144" s="60"/>
      <c r="F144" s="60"/>
      <c r="G144" s="60"/>
      <c r="H144" s="60"/>
    </row>
    <row r="145" spans="1:8" ht="15.75" x14ac:dyDescent="0.25">
      <c r="A145" s="60"/>
      <c r="B145" s="60"/>
      <c r="C145" s="60"/>
      <c r="D145" s="60"/>
      <c r="E145" s="60"/>
      <c r="F145" s="60"/>
      <c r="G145" s="60"/>
      <c r="H145" s="60"/>
    </row>
    <row r="146" spans="1:8" ht="15.75" x14ac:dyDescent="0.25">
      <c r="A146" s="60"/>
      <c r="B146" s="60"/>
      <c r="C146" s="60"/>
      <c r="D146" s="60"/>
      <c r="E146" s="60"/>
      <c r="F146" s="60"/>
      <c r="G146" s="60"/>
      <c r="H146" s="60"/>
    </row>
    <row r="147" spans="1:8" ht="15.75" x14ac:dyDescent="0.25">
      <c r="A147" s="60"/>
      <c r="B147" s="60"/>
      <c r="C147" s="60"/>
      <c r="D147" s="60"/>
      <c r="E147" s="60"/>
      <c r="F147" s="60"/>
      <c r="G147" s="60"/>
      <c r="H147" s="60"/>
    </row>
    <row r="148" spans="1:8" ht="15.75" x14ac:dyDescent="0.25">
      <c r="A148" s="60"/>
      <c r="B148" s="60"/>
      <c r="C148" s="60"/>
      <c r="D148" s="60"/>
      <c r="E148" s="60"/>
      <c r="F148" s="60"/>
      <c r="G148" s="60"/>
      <c r="H148" s="60"/>
    </row>
    <row r="149" spans="1:8" ht="15.75" x14ac:dyDescent="0.25">
      <c r="A149" s="60"/>
      <c r="B149" s="60"/>
      <c r="C149" s="60"/>
      <c r="D149" s="60"/>
      <c r="E149" s="60"/>
      <c r="F149" s="60"/>
      <c r="G149" s="60"/>
      <c r="H149" s="60"/>
    </row>
    <row r="150" spans="1:8" ht="15.75" x14ac:dyDescent="0.25">
      <c r="A150" s="60"/>
      <c r="B150" s="60"/>
      <c r="C150" s="60"/>
      <c r="D150" s="60"/>
      <c r="E150" s="60"/>
      <c r="F150" s="60"/>
      <c r="G150" s="60"/>
      <c r="H150" s="60"/>
    </row>
    <row r="151" spans="1:8" ht="15.75" x14ac:dyDescent="0.25">
      <c r="A151" s="60"/>
      <c r="B151" s="60"/>
      <c r="C151" s="60"/>
      <c r="D151" s="60"/>
      <c r="E151" s="60"/>
      <c r="F151" s="60"/>
      <c r="G151" s="60"/>
      <c r="H151" s="60"/>
    </row>
    <row r="152" spans="1:8" ht="15.75" x14ac:dyDescent="0.25">
      <c r="A152" s="60"/>
      <c r="B152" s="60"/>
      <c r="C152" s="60"/>
      <c r="D152" s="60"/>
      <c r="E152" s="60"/>
      <c r="F152" s="60"/>
      <c r="G152" s="60"/>
      <c r="H152" s="60"/>
    </row>
    <row r="153" spans="1:8" ht="15.75" x14ac:dyDescent="0.25">
      <c r="A153" s="60"/>
      <c r="B153" s="60"/>
      <c r="C153" s="60"/>
      <c r="D153" s="60"/>
      <c r="E153" s="60"/>
      <c r="F153" s="60"/>
      <c r="G153" s="60"/>
      <c r="H153" s="60"/>
    </row>
    <row r="154" spans="1:8" ht="15.75" x14ac:dyDescent="0.25">
      <c r="A154" s="60"/>
      <c r="B154" s="60"/>
      <c r="C154" s="60"/>
      <c r="D154" s="60"/>
      <c r="E154" s="60"/>
      <c r="F154" s="60"/>
      <c r="G154" s="60"/>
      <c r="H154" s="60"/>
    </row>
    <row r="155" spans="1:8" ht="15.75" x14ac:dyDescent="0.25">
      <c r="A155" s="60"/>
      <c r="B155" s="60"/>
      <c r="C155" s="60"/>
      <c r="D155" s="60"/>
      <c r="E155" s="60"/>
      <c r="F155" s="60"/>
      <c r="G155" s="60"/>
      <c r="H155" s="60"/>
    </row>
    <row r="156" spans="1:8" ht="15.75" x14ac:dyDescent="0.25">
      <c r="A156" s="60"/>
      <c r="B156" s="60"/>
      <c r="C156" s="60"/>
      <c r="D156" s="60"/>
      <c r="E156" s="60"/>
      <c r="F156" s="60"/>
      <c r="G156" s="60"/>
      <c r="H156" s="60"/>
    </row>
    <row r="157" spans="1:8" ht="15.75" x14ac:dyDescent="0.25">
      <c r="A157" s="60"/>
      <c r="B157" s="60"/>
      <c r="C157" s="60"/>
      <c r="D157" s="60"/>
      <c r="E157" s="60"/>
      <c r="F157" s="60"/>
      <c r="G157" s="60"/>
      <c r="H157" s="60"/>
    </row>
    <row r="158" spans="1:8" ht="15.75" x14ac:dyDescent="0.25">
      <c r="A158" s="60"/>
      <c r="B158" s="60"/>
      <c r="C158" s="60"/>
      <c r="D158" s="60"/>
      <c r="E158" s="60"/>
      <c r="F158" s="60"/>
      <c r="G158" s="60"/>
      <c r="H158" s="60"/>
    </row>
    <row r="159" spans="1:8" ht="15.75" x14ac:dyDescent="0.25">
      <c r="A159" s="60"/>
      <c r="B159" s="60"/>
      <c r="C159" s="60"/>
      <c r="D159" s="60"/>
      <c r="E159" s="60"/>
      <c r="F159" s="60"/>
      <c r="G159" s="60"/>
      <c r="H159" s="60"/>
    </row>
    <row r="160" spans="1:8" ht="15.75" x14ac:dyDescent="0.25">
      <c r="A160" s="60"/>
      <c r="B160" s="60"/>
      <c r="C160" s="60"/>
      <c r="D160" s="60"/>
      <c r="E160" s="60"/>
      <c r="F160" s="60"/>
      <c r="G160" s="60"/>
      <c r="H160" s="60"/>
    </row>
    <row r="161" spans="1:8" ht="15.75" x14ac:dyDescent="0.25">
      <c r="A161" s="60"/>
      <c r="B161" s="60"/>
      <c r="C161" s="60"/>
      <c r="D161" s="60"/>
      <c r="E161" s="60"/>
      <c r="F161" s="60"/>
      <c r="G161" s="60"/>
      <c r="H161" s="60"/>
    </row>
    <row r="162" spans="1:8" ht="15.75" x14ac:dyDescent="0.25">
      <c r="A162" s="60"/>
      <c r="B162" s="60"/>
      <c r="C162" s="60"/>
      <c r="D162" s="60"/>
      <c r="E162" s="60"/>
      <c r="F162" s="60"/>
      <c r="G162" s="60"/>
      <c r="H162" s="60"/>
    </row>
    <row r="163" spans="1:8" ht="15.75" x14ac:dyDescent="0.25">
      <c r="A163" s="60"/>
      <c r="B163" s="60"/>
      <c r="C163" s="60"/>
      <c r="D163" s="60"/>
      <c r="E163" s="60"/>
      <c r="F163" s="60"/>
      <c r="G163" s="60"/>
      <c r="H163" s="60"/>
    </row>
    <row r="164" spans="1:8" ht="15.75" x14ac:dyDescent="0.25">
      <c r="A164" s="60"/>
      <c r="B164" s="60"/>
      <c r="C164" s="60"/>
      <c r="D164" s="60"/>
      <c r="E164" s="60"/>
      <c r="F164" s="60"/>
      <c r="G164" s="60"/>
      <c r="H164" s="60"/>
    </row>
    <row r="165" spans="1:8" ht="15.75" x14ac:dyDescent="0.25">
      <c r="A165" s="60"/>
      <c r="B165" s="60"/>
      <c r="C165" s="60"/>
      <c r="D165" s="60"/>
      <c r="E165" s="60"/>
      <c r="F165" s="60"/>
      <c r="G165" s="60"/>
      <c r="H165" s="60"/>
    </row>
    <row r="166" spans="1:8" ht="15.75" x14ac:dyDescent="0.25">
      <c r="A166" s="60"/>
      <c r="B166" s="60"/>
      <c r="C166" s="60"/>
      <c r="D166" s="60"/>
      <c r="E166" s="60"/>
      <c r="F166" s="60"/>
      <c r="G166" s="60"/>
      <c r="H166" s="60"/>
    </row>
    <row r="167" spans="1:8" ht="15.75" x14ac:dyDescent="0.25">
      <c r="A167" s="60"/>
      <c r="B167" s="60"/>
      <c r="C167" s="60"/>
      <c r="D167" s="60"/>
      <c r="E167" s="60"/>
      <c r="F167" s="60"/>
      <c r="G167" s="60"/>
      <c r="H167" s="60"/>
    </row>
    <row r="168" spans="1:8" ht="15.75" x14ac:dyDescent="0.25">
      <c r="A168" s="60"/>
      <c r="B168" s="60"/>
      <c r="C168" s="60"/>
      <c r="D168" s="60"/>
      <c r="E168" s="60"/>
      <c r="F168" s="60"/>
      <c r="G168" s="60"/>
      <c r="H168" s="60"/>
    </row>
    <row r="169" spans="1:8" ht="15.75" x14ac:dyDescent="0.25">
      <c r="A169" s="60"/>
      <c r="B169" s="60"/>
      <c r="C169" s="60"/>
      <c r="D169" s="60"/>
      <c r="E169" s="60"/>
      <c r="F169" s="60"/>
      <c r="G169" s="60"/>
      <c r="H169" s="60"/>
    </row>
    <row r="170" spans="1:8" ht="15.75" x14ac:dyDescent="0.25">
      <c r="A170" s="60"/>
      <c r="B170" s="60"/>
      <c r="C170" s="60"/>
      <c r="D170" s="60"/>
      <c r="E170" s="60"/>
      <c r="F170" s="60"/>
      <c r="G170" s="60"/>
      <c r="H170" s="60"/>
    </row>
    <row r="171" spans="1:8" ht="15.75" x14ac:dyDescent="0.25">
      <c r="A171" s="60"/>
      <c r="B171" s="60"/>
      <c r="C171" s="60"/>
      <c r="D171" s="60"/>
      <c r="E171" s="60"/>
      <c r="F171" s="60"/>
      <c r="G171" s="60"/>
      <c r="H171" s="60"/>
    </row>
    <row r="172" spans="1:8" ht="15.75" x14ac:dyDescent="0.25">
      <c r="A172" s="60"/>
      <c r="B172" s="60"/>
      <c r="C172" s="60"/>
      <c r="D172" s="60"/>
      <c r="E172" s="60"/>
      <c r="F172" s="60"/>
      <c r="G172" s="60"/>
      <c r="H172" s="60"/>
    </row>
    <row r="173" spans="1:8" ht="15.75" x14ac:dyDescent="0.25">
      <c r="A173" s="60"/>
      <c r="B173" s="60"/>
      <c r="C173" s="60"/>
      <c r="D173" s="60"/>
      <c r="E173" s="60"/>
      <c r="F173" s="60"/>
      <c r="G173" s="60"/>
      <c r="H173" s="60"/>
    </row>
    <row r="174" spans="1:8" ht="15.75" x14ac:dyDescent="0.25">
      <c r="A174" s="60"/>
      <c r="B174" s="60"/>
      <c r="C174" s="60"/>
      <c r="D174" s="60"/>
      <c r="E174" s="60"/>
      <c r="F174" s="60"/>
      <c r="G174" s="60"/>
      <c r="H174" s="60"/>
    </row>
    <row r="175" spans="1:8" ht="15.75" x14ac:dyDescent="0.25">
      <c r="A175" s="60"/>
      <c r="B175" s="60"/>
      <c r="C175" s="60"/>
      <c r="D175" s="60"/>
      <c r="E175" s="60"/>
      <c r="F175" s="60"/>
      <c r="G175" s="60"/>
      <c r="H175" s="60"/>
    </row>
    <row r="176" spans="1:8" ht="15.75" x14ac:dyDescent="0.25">
      <c r="A176" s="60"/>
      <c r="B176" s="60"/>
      <c r="C176" s="60"/>
      <c r="D176" s="60"/>
      <c r="E176" s="60"/>
      <c r="F176" s="60"/>
      <c r="G176" s="60"/>
      <c r="H176" s="60"/>
    </row>
    <row r="177" spans="1:8" ht="15.75" x14ac:dyDescent="0.25">
      <c r="A177" s="60"/>
      <c r="B177" s="60"/>
      <c r="C177" s="60"/>
      <c r="D177" s="60"/>
      <c r="E177" s="60"/>
      <c r="F177" s="60"/>
      <c r="G177" s="60"/>
      <c r="H177" s="60"/>
    </row>
    <row r="178" spans="1:8" ht="15.75" x14ac:dyDescent="0.25">
      <c r="A178" s="60"/>
      <c r="B178" s="60"/>
      <c r="C178" s="60"/>
      <c r="D178" s="60"/>
      <c r="E178" s="60"/>
      <c r="F178" s="60"/>
      <c r="G178" s="60"/>
      <c r="H178" s="60"/>
    </row>
    <row r="179" spans="1:8" ht="15.75" x14ac:dyDescent="0.25">
      <c r="A179" s="60"/>
      <c r="B179" s="60"/>
      <c r="C179" s="60"/>
      <c r="D179" s="60"/>
      <c r="E179" s="60"/>
      <c r="F179" s="60"/>
      <c r="G179" s="60"/>
      <c r="H179" s="60"/>
    </row>
    <row r="180" spans="1:8" ht="15.75" x14ac:dyDescent="0.25">
      <c r="A180" s="60"/>
      <c r="B180" s="60"/>
      <c r="C180" s="60"/>
      <c r="D180" s="60"/>
      <c r="E180" s="60"/>
      <c r="F180" s="60"/>
      <c r="G180" s="60"/>
      <c r="H180" s="60"/>
    </row>
    <row r="181" spans="1:8" ht="15.75" x14ac:dyDescent="0.25">
      <c r="A181" s="60"/>
      <c r="B181" s="60"/>
      <c r="C181" s="60"/>
      <c r="D181" s="60"/>
      <c r="E181" s="60"/>
      <c r="F181" s="60"/>
      <c r="G181" s="60"/>
      <c r="H181" s="60"/>
    </row>
    <row r="182" spans="1:8" ht="15.75" x14ac:dyDescent="0.25">
      <c r="A182" s="60"/>
      <c r="B182" s="60"/>
      <c r="C182" s="60"/>
      <c r="D182" s="60"/>
      <c r="E182" s="60"/>
      <c r="F182" s="60"/>
      <c r="G182" s="60"/>
      <c r="H182" s="60"/>
    </row>
    <row r="183" spans="1:8" ht="15.75" x14ac:dyDescent="0.25">
      <c r="A183" s="60"/>
      <c r="B183" s="60"/>
      <c r="C183" s="60"/>
      <c r="D183" s="60"/>
      <c r="E183" s="60"/>
      <c r="F183" s="60"/>
      <c r="G183" s="60"/>
      <c r="H183" s="60"/>
    </row>
    <row r="184" spans="1:8" ht="15.75" x14ac:dyDescent="0.25">
      <c r="A184" s="60"/>
      <c r="B184" s="60"/>
      <c r="C184" s="60"/>
      <c r="D184" s="60"/>
      <c r="E184" s="60"/>
      <c r="F184" s="60"/>
      <c r="G184" s="60"/>
      <c r="H184" s="60"/>
    </row>
    <row r="185" spans="1:8" ht="15.75" x14ac:dyDescent="0.25">
      <c r="A185" s="60"/>
      <c r="B185" s="60"/>
      <c r="C185" s="60"/>
      <c r="D185" s="60"/>
      <c r="E185" s="60"/>
      <c r="F185" s="60"/>
      <c r="G185" s="60"/>
      <c r="H185" s="60"/>
    </row>
    <row r="186" spans="1:8" ht="15.75" x14ac:dyDescent="0.25">
      <c r="A186" s="60"/>
      <c r="B186" s="60"/>
      <c r="C186" s="60"/>
      <c r="D186" s="60"/>
      <c r="E186" s="60"/>
      <c r="F186" s="60"/>
      <c r="G186" s="60"/>
      <c r="H186" s="60"/>
    </row>
    <row r="187" spans="1:8" ht="15.75" x14ac:dyDescent="0.25">
      <c r="A187" s="60"/>
      <c r="B187" s="60"/>
      <c r="C187" s="60"/>
      <c r="D187" s="60"/>
      <c r="E187" s="60"/>
      <c r="F187" s="60"/>
      <c r="G187" s="60"/>
      <c r="H187" s="60"/>
    </row>
    <row r="188" spans="1:8" ht="15.75" x14ac:dyDescent="0.25">
      <c r="A188" s="60"/>
      <c r="B188" s="60"/>
      <c r="C188" s="60"/>
      <c r="D188" s="60"/>
      <c r="E188" s="60"/>
      <c r="F188" s="60"/>
      <c r="G188" s="60"/>
      <c r="H188" s="60"/>
    </row>
    <row r="189" spans="1:8" ht="15.75" x14ac:dyDescent="0.25">
      <c r="A189" s="60"/>
      <c r="B189" s="60"/>
      <c r="C189" s="60"/>
      <c r="D189" s="60"/>
      <c r="E189" s="60"/>
      <c r="F189" s="60"/>
      <c r="G189" s="60"/>
      <c r="H189" s="60"/>
    </row>
    <row r="190" spans="1:8" ht="15.75" x14ac:dyDescent="0.25">
      <c r="A190" s="60"/>
      <c r="B190" s="60"/>
      <c r="C190" s="60"/>
      <c r="D190" s="60"/>
      <c r="E190" s="60"/>
      <c r="F190" s="60"/>
      <c r="G190" s="60"/>
      <c r="H190" s="60"/>
    </row>
    <row r="191" spans="1:8" ht="15.75" x14ac:dyDescent="0.25">
      <c r="A191" s="60"/>
      <c r="B191" s="60"/>
      <c r="C191" s="60"/>
      <c r="D191" s="60"/>
      <c r="E191" s="60"/>
      <c r="F191" s="60"/>
      <c r="G191" s="60"/>
      <c r="H191" s="60"/>
    </row>
    <row r="192" spans="1:8" ht="15.75" x14ac:dyDescent="0.25">
      <c r="A192" s="60"/>
      <c r="B192" s="60"/>
      <c r="C192" s="60"/>
      <c r="D192" s="60"/>
      <c r="E192" s="60"/>
      <c r="F192" s="60"/>
      <c r="G192" s="60"/>
      <c r="H192" s="60"/>
    </row>
    <row r="193" spans="1:8" ht="15.75" x14ac:dyDescent="0.25">
      <c r="A193" s="60"/>
      <c r="B193" s="60"/>
      <c r="C193" s="60"/>
      <c r="D193" s="60"/>
      <c r="E193" s="60"/>
      <c r="F193" s="60"/>
      <c r="G193" s="60"/>
      <c r="H193" s="60"/>
    </row>
    <row r="194" spans="1:8" ht="15.75" x14ac:dyDescent="0.25">
      <c r="A194" s="60"/>
      <c r="B194" s="60"/>
      <c r="C194" s="60"/>
      <c r="D194" s="60"/>
      <c r="E194" s="60"/>
      <c r="F194" s="60"/>
      <c r="G194" s="60"/>
      <c r="H194" s="60"/>
    </row>
    <row r="195" spans="1:8" ht="15.75" x14ac:dyDescent="0.25">
      <c r="A195" s="60"/>
      <c r="B195" s="60"/>
      <c r="C195" s="60"/>
      <c r="D195" s="60"/>
      <c r="E195" s="60"/>
      <c r="F195" s="60"/>
      <c r="G195" s="60"/>
      <c r="H195" s="60"/>
    </row>
    <row r="196" spans="1:8" ht="15.75" x14ac:dyDescent="0.25">
      <c r="A196" s="60"/>
      <c r="B196" s="60"/>
      <c r="C196" s="60"/>
      <c r="D196" s="60"/>
      <c r="E196" s="60"/>
      <c r="F196" s="60"/>
      <c r="G196" s="60"/>
      <c r="H196" s="60"/>
    </row>
    <row r="197" spans="1:8" ht="15.75" x14ac:dyDescent="0.25">
      <c r="A197" s="60"/>
      <c r="B197" s="60"/>
      <c r="C197" s="60"/>
      <c r="D197" s="60"/>
      <c r="E197" s="60"/>
      <c r="F197" s="60"/>
      <c r="G197" s="60"/>
      <c r="H197" s="60"/>
    </row>
    <row r="198" spans="1:8" ht="15.75" x14ac:dyDescent="0.25">
      <c r="A198" s="60"/>
      <c r="B198" s="60"/>
      <c r="C198" s="60"/>
      <c r="D198" s="60"/>
      <c r="E198" s="60"/>
      <c r="F198" s="60"/>
      <c r="G198" s="60"/>
      <c r="H198" s="60"/>
    </row>
    <row r="199" spans="1:8" ht="15.75" x14ac:dyDescent="0.25">
      <c r="A199" s="60"/>
      <c r="B199" s="60"/>
      <c r="C199" s="60"/>
      <c r="D199" s="60"/>
      <c r="E199" s="60"/>
      <c r="F199" s="60"/>
      <c r="G199" s="60"/>
      <c r="H199" s="60"/>
    </row>
    <row r="200" spans="1:8" ht="15.75" x14ac:dyDescent="0.25">
      <c r="A200" s="60"/>
      <c r="B200" s="60"/>
      <c r="C200" s="60"/>
      <c r="D200" s="60"/>
      <c r="E200" s="60"/>
      <c r="F200" s="60"/>
      <c r="G200" s="60"/>
      <c r="H200" s="60"/>
    </row>
    <row r="201" spans="1:8" ht="15.75" x14ac:dyDescent="0.25">
      <c r="A201" s="60"/>
      <c r="B201" s="60"/>
      <c r="C201" s="60"/>
      <c r="D201" s="60"/>
      <c r="E201" s="60"/>
      <c r="F201" s="60"/>
      <c r="G201" s="60"/>
      <c r="H201" s="60"/>
    </row>
    <row r="202" spans="1:8" ht="15.75" x14ac:dyDescent="0.25">
      <c r="A202" s="60"/>
      <c r="B202" s="60"/>
      <c r="C202" s="60"/>
      <c r="D202" s="60"/>
      <c r="E202" s="60"/>
      <c r="F202" s="60"/>
      <c r="G202" s="60"/>
      <c r="H202" s="60"/>
    </row>
    <row r="203" spans="1:8" ht="15.75" x14ac:dyDescent="0.25">
      <c r="A203" s="60"/>
      <c r="B203" s="60"/>
      <c r="C203" s="60"/>
      <c r="D203" s="60"/>
      <c r="E203" s="60"/>
      <c r="F203" s="60"/>
      <c r="G203" s="60"/>
      <c r="H203" s="60"/>
    </row>
    <row r="204" spans="1:8" ht="15.75" x14ac:dyDescent="0.25">
      <c r="A204" s="60"/>
      <c r="B204" s="60"/>
      <c r="C204" s="60"/>
      <c r="D204" s="60"/>
      <c r="E204" s="60"/>
      <c r="F204" s="60"/>
      <c r="G204" s="60"/>
      <c r="H204" s="60"/>
    </row>
    <row r="205" spans="1:8" ht="15.75" x14ac:dyDescent="0.25">
      <c r="A205" s="60"/>
      <c r="B205" s="60"/>
      <c r="C205" s="60"/>
      <c r="D205" s="60"/>
      <c r="E205" s="60"/>
      <c r="F205" s="60"/>
      <c r="G205" s="60"/>
      <c r="H205" s="60"/>
    </row>
    <row r="206" spans="1:8" ht="15.75" x14ac:dyDescent="0.25">
      <c r="A206" s="60"/>
      <c r="B206" s="60"/>
      <c r="C206" s="60"/>
      <c r="D206" s="60"/>
      <c r="E206" s="60"/>
      <c r="F206" s="60"/>
      <c r="G206" s="60"/>
      <c r="H206" s="60"/>
    </row>
    <row r="207" spans="1:8" ht="15.75" x14ac:dyDescent="0.25">
      <c r="A207" s="60"/>
      <c r="B207" s="60"/>
      <c r="C207" s="60"/>
      <c r="D207" s="60"/>
      <c r="E207" s="60"/>
      <c r="F207" s="60"/>
      <c r="G207" s="60"/>
      <c r="H207" s="60"/>
    </row>
    <row r="208" spans="1:8" ht="15.75" x14ac:dyDescent="0.25">
      <c r="A208" s="60"/>
      <c r="B208" s="60"/>
      <c r="C208" s="60"/>
      <c r="D208" s="60"/>
      <c r="E208" s="60"/>
      <c r="F208" s="60"/>
      <c r="G208" s="60"/>
      <c r="H208" s="60"/>
    </row>
    <row r="209" spans="1:8" ht="15.75" x14ac:dyDescent="0.25">
      <c r="A209" s="60"/>
      <c r="B209" s="60"/>
      <c r="C209" s="60"/>
      <c r="D209" s="60"/>
      <c r="E209" s="60"/>
      <c r="F209" s="60"/>
      <c r="G209" s="60"/>
      <c r="H209" s="60"/>
    </row>
    <row r="210" spans="1:8" ht="15.75" x14ac:dyDescent="0.25">
      <c r="A210" s="60"/>
      <c r="B210" s="60"/>
      <c r="C210" s="60"/>
      <c r="D210" s="60"/>
      <c r="E210" s="60"/>
      <c r="F210" s="60"/>
      <c r="G210" s="60"/>
      <c r="H210" s="60"/>
    </row>
    <row r="211" spans="1:8" ht="15.75" x14ac:dyDescent="0.25">
      <c r="A211" s="60"/>
      <c r="B211" s="60"/>
      <c r="C211" s="60"/>
      <c r="D211" s="60"/>
      <c r="E211" s="60"/>
      <c r="F211" s="60"/>
      <c r="G211" s="60"/>
      <c r="H211" s="60"/>
    </row>
    <row r="212" spans="1:8" ht="15.75" x14ac:dyDescent="0.25">
      <c r="A212" s="60"/>
      <c r="B212" s="60"/>
      <c r="C212" s="60"/>
      <c r="D212" s="60"/>
      <c r="E212" s="60"/>
      <c r="F212" s="60"/>
      <c r="G212" s="60"/>
      <c r="H212" s="60"/>
    </row>
    <row r="213" spans="1:8" ht="15.75" x14ac:dyDescent="0.25">
      <c r="A213" s="60"/>
      <c r="B213" s="60"/>
      <c r="C213" s="60"/>
      <c r="D213" s="60"/>
      <c r="E213" s="60"/>
      <c r="F213" s="60"/>
      <c r="G213" s="60"/>
      <c r="H213" s="60"/>
    </row>
    <row r="214" spans="1:8" ht="15.75" x14ac:dyDescent="0.25">
      <c r="A214" s="60"/>
      <c r="B214" s="60"/>
      <c r="C214" s="60"/>
      <c r="D214" s="60"/>
      <c r="E214" s="60"/>
      <c r="F214" s="60"/>
      <c r="G214" s="60"/>
      <c r="H214" s="60"/>
    </row>
    <row r="215" spans="1:8" ht="15.75" x14ac:dyDescent="0.25">
      <c r="A215" s="60"/>
      <c r="B215" s="60"/>
      <c r="C215" s="60"/>
      <c r="D215" s="60"/>
      <c r="E215" s="60"/>
      <c r="F215" s="60"/>
      <c r="G215" s="60"/>
      <c r="H215" s="60"/>
    </row>
    <row r="216" spans="1:8" ht="15.75" x14ac:dyDescent="0.25">
      <c r="A216" s="60"/>
      <c r="B216" s="60"/>
      <c r="C216" s="60"/>
      <c r="D216" s="60"/>
      <c r="E216" s="60"/>
      <c r="F216" s="60"/>
      <c r="G216" s="60"/>
      <c r="H216" s="60"/>
    </row>
    <row r="217" spans="1:8" ht="15.75" x14ac:dyDescent="0.25">
      <c r="A217" s="60"/>
      <c r="B217" s="60"/>
      <c r="C217" s="60"/>
      <c r="D217" s="60"/>
      <c r="E217" s="60"/>
      <c r="F217" s="60"/>
      <c r="G217" s="60"/>
      <c r="H217" s="60"/>
    </row>
    <row r="218" spans="1:8" ht="15.75" x14ac:dyDescent="0.25">
      <c r="A218" s="60"/>
      <c r="B218" s="60"/>
      <c r="C218" s="60"/>
      <c r="D218" s="60"/>
      <c r="E218" s="60"/>
      <c r="F218" s="60"/>
      <c r="G218" s="60"/>
      <c r="H218" s="60"/>
    </row>
    <row r="219" spans="1:8" ht="15.75" x14ac:dyDescent="0.25">
      <c r="A219" s="60"/>
      <c r="B219" s="60"/>
      <c r="C219" s="60"/>
      <c r="D219" s="60"/>
      <c r="E219" s="60"/>
      <c r="F219" s="60"/>
      <c r="G219" s="60"/>
      <c r="H219" s="60"/>
    </row>
    <row r="220" spans="1:8" ht="15.75" x14ac:dyDescent="0.25">
      <c r="A220" s="60"/>
      <c r="B220" s="60"/>
      <c r="C220" s="60"/>
      <c r="D220" s="60"/>
      <c r="E220" s="60"/>
      <c r="F220" s="60"/>
      <c r="G220" s="60"/>
      <c r="H220" s="60"/>
    </row>
    <row r="221" spans="1:8" ht="15.75" x14ac:dyDescent="0.25">
      <c r="A221" s="60"/>
      <c r="B221" s="60"/>
      <c r="C221" s="60"/>
      <c r="D221" s="60"/>
      <c r="E221" s="60"/>
      <c r="F221" s="60"/>
      <c r="G221" s="60"/>
      <c r="H221" s="60"/>
    </row>
    <row r="222" spans="1:8" ht="15.75" x14ac:dyDescent="0.25">
      <c r="A222" s="60"/>
      <c r="B222" s="60"/>
      <c r="C222" s="60"/>
      <c r="D222" s="60"/>
      <c r="E222" s="60"/>
      <c r="F222" s="60"/>
      <c r="G222" s="60"/>
      <c r="H222" s="60"/>
    </row>
    <row r="223" spans="1:8" ht="15.75" x14ac:dyDescent="0.25">
      <c r="A223" s="60"/>
      <c r="B223" s="60"/>
      <c r="C223" s="60"/>
      <c r="D223" s="60"/>
      <c r="E223" s="60"/>
      <c r="F223" s="60"/>
      <c r="G223" s="60"/>
      <c r="H223" s="60"/>
    </row>
    <row r="224" spans="1:8" ht="15.75" x14ac:dyDescent="0.25">
      <c r="A224" s="60"/>
      <c r="B224" s="60"/>
      <c r="C224" s="60"/>
      <c r="D224" s="60"/>
      <c r="E224" s="60"/>
      <c r="F224" s="60"/>
      <c r="G224" s="60"/>
      <c r="H224" s="60"/>
    </row>
    <row r="225" spans="1:8" ht="15.75" x14ac:dyDescent="0.25">
      <c r="A225" s="60"/>
      <c r="B225" s="60"/>
      <c r="C225" s="60"/>
      <c r="D225" s="60"/>
      <c r="E225" s="60"/>
      <c r="F225" s="60"/>
      <c r="G225" s="60"/>
      <c r="H225" s="60"/>
    </row>
    <row r="226" spans="1:8" ht="15.75" x14ac:dyDescent="0.25">
      <c r="A226" s="60"/>
      <c r="B226" s="60"/>
      <c r="C226" s="60"/>
      <c r="D226" s="60"/>
      <c r="E226" s="60"/>
      <c r="F226" s="60"/>
      <c r="G226" s="60"/>
      <c r="H226" s="60"/>
    </row>
    <row r="227" spans="1:8" ht="15.75" x14ac:dyDescent="0.25">
      <c r="A227" s="60"/>
      <c r="B227" s="60"/>
      <c r="C227" s="60"/>
      <c r="D227" s="60"/>
      <c r="E227" s="60"/>
      <c r="F227" s="60"/>
      <c r="G227" s="60"/>
      <c r="H227" s="60"/>
    </row>
    <row r="228" spans="1:8" ht="15.75" x14ac:dyDescent="0.25">
      <c r="A228" s="60"/>
      <c r="B228" s="60"/>
      <c r="C228" s="60"/>
      <c r="D228" s="60"/>
      <c r="E228" s="60"/>
      <c r="F228" s="60"/>
      <c r="G228" s="60"/>
      <c r="H228" s="60"/>
    </row>
    <row r="229" spans="1:8" ht="15.75" x14ac:dyDescent="0.25">
      <c r="A229" s="60"/>
      <c r="B229" s="60"/>
      <c r="C229" s="60"/>
      <c r="D229" s="60"/>
      <c r="E229" s="60"/>
      <c r="F229" s="60"/>
      <c r="G229" s="60"/>
      <c r="H229" s="60"/>
    </row>
    <row r="230" spans="1:8" ht="15.75" x14ac:dyDescent="0.25">
      <c r="A230" s="60"/>
      <c r="B230" s="60"/>
      <c r="C230" s="60"/>
      <c r="D230" s="60"/>
      <c r="E230" s="60"/>
      <c r="F230" s="60"/>
      <c r="G230" s="60"/>
      <c r="H230" s="60"/>
    </row>
    <row r="231" spans="1:8" ht="15.75" x14ac:dyDescent="0.25">
      <c r="A231" s="60"/>
      <c r="B231" s="60"/>
      <c r="C231" s="60"/>
      <c r="D231" s="60"/>
      <c r="E231" s="60"/>
      <c r="F231" s="60"/>
      <c r="G231" s="60"/>
      <c r="H231" s="60"/>
    </row>
    <row r="232" spans="1:8" ht="15.75" x14ac:dyDescent="0.25">
      <c r="A232" s="60"/>
      <c r="B232" s="60"/>
      <c r="C232" s="60"/>
      <c r="D232" s="60"/>
      <c r="E232" s="60"/>
      <c r="F232" s="60"/>
      <c r="G232" s="60"/>
      <c r="H232" s="60"/>
    </row>
    <row r="233" spans="1:8" ht="15.75" x14ac:dyDescent="0.25">
      <c r="A233" s="60"/>
      <c r="B233" s="60"/>
      <c r="C233" s="60"/>
      <c r="D233" s="60"/>
      <c r="E233" s="60"/>
      <c r="F233" s="60"/>
      <c r="G233" s="60"/>
      <c r="H233" s="60"/>
    </row>
    <row r="234" spans="1:8" ht="15.75" x14ac:dyDescent="0.25">
      <c r="A234" s="60"/>
      <c r="B234" s="60"/>
      <c r="C234" s="60"/>
      <c r="D234" s="60"/>
      <c r="E234" s="60"/>
      <c r="F234" s="60"/>
      <c r="G234" s="60"/>
      <c r="H234" s="60"/>
    </row>
    <row r="235" spans="1:8" ht="15.75" x14ac:dyDescent="0.25">
      <c r="A235" s="60"/>
      <c r="B235" s="60"/>
      <c r="C235" s="60"/>
      <c r="D235" s="60"/>
      <c r="E235" s="60"/>
      <c r="F235" s="60"/>
      <c r="G235" s="60"/>
      <c r="H235" s="60"/>
    </row>
    <row r="236" spans="1:8" ht="15.75" x14ac:dyDescent="0.25">
      <c r="A236" s="60"/>
      <c r="B236" s="60"/>
      <c r="C236" s="60"/>
      <c r="D236" s="60"/>
      <c r="E236" s="60"/>
      <c r="F236" s="60"/>
      <c r="G236" s="60"/>
      <c r="H236" s="60"/>
    </row>
    <row r="237" spans="1:8" ht="15.75" x14ac:dyDescent="0.25">
      <c r="A237" s="60"/>
      <c r="B237" s="60"/>
      <c r="C237" s="60"/>
      <c r="D237" s="60"/>
      <c r="E237" s="60"/>
      <c r="F237" s="60"/>
      <c r="G237" s="60"/>
      <c r="H237" s="60"/>
    </row>
    <row r="238" spans="1:8" ht="15.75" x14ac:dyDescent="0.25">
      <c r="A238" s="60"/>
      <c r="B238" s="60"/>
      <c r="C238" s="60"/>
      <c r="D238" s="60"/>
      <c r="E238" s="60"/>
      <c r="F238" s="60"/>
      <c r="G238" s="60"/>
      <c r="H238" s="60"/>
    </row>
    <row r="239" spans="1:8" ht="15.75" x14ac:dyDescent="0.25">
      <c r="A239" s="60"/>
      <c r="B239" s="60"/>
      <c r="C239" s="60"/>
      <c r="D239" s="60"/>
      <c r="E239" s="60"/>
      <c r="F239" s="60"/>
      <c r="G239" s="60"/>
      <c r="H239" s="60"/>
    </row>
    <row r="240" spans="1:8" ht="15.75" x14ac:dyDescent="0.25">
      <c r="A240" s="60"/>
      <c r="B240" s="60"/>
      <c r="C240" s="60"/>
      <c r="D240" s="60"/>
      <c r="E240" s="60"/>
      <c r="F240" s="60"/>
      <c r="G240" s="60"/>
      <c r="H240" s="60"/>
    </row>
    <row r="241" spans="1:8" ht="15.75" x14ac:dyDescent="0.25">
      <c r="A241" s="60"/>
      <c r="B241" s="60"/>
      <c r="C241" s="60"/>
      <c r="D241" s="60"/>
      <c r="E241" s="60"/>
      <c r="F241" s="60"/>
      <c r="G241" s="60"/>
      <c r="H241" s="60"/>
    </row>
    <row r="242" spans="1:8" ht="15.75" x14ac:dyDescent="0.25">
      <c r="A242" s="60"/>
      <c r="B242" s="60"/>
      <c r="C242" s="60"/>
      <c r="D242" s="60"/>
      <c r="E242" s="60"/>
      <c r="F242" s="60"/>
      <c r="G242" s="60"/>
      <c r="H242" s="60"/>
    </row>
    <row r="243" spans="1:8" ht="15.75" x14ac:dyDescent="0.25">
      <c r="A243" s="60"/>
      <c r="B243" s="60"/>
      <c r="C243" s="60"/>
      <c r="D243" s="60"/>
      <c r="E243" s="60"/>
      <c r="F243" s="60"/>
      <c r="G243" s="60"/>
      <c r="H243" s="60"/>
    </row>
    <row r="244" spans="1:8" ht="15.75" x14ac:dyDescent="0.25">
      <c r="A244" s="60"/>
      <c r="B244" s="60"/>
      <c r="C244" s="60"/>
      <c r="D244" s="60"/>
      <c r="E244" s="60"/>
      <c r="F244" s="60"/>
      <c r="G244" s="60"/>
      <c r="H244" s="60"/>
    </row>
    <row r="245" spans="1:8" ht="15.75" x14ac:dyDescent="0.25">
      <c r="A245" s="60"/>
      <c r="B245" s="60"/>
      <c r="C245" s="60"/>
      <c r="D245" s="60"/>
      <c r="E245" s="60"/>
      <c r="F245" s="60"/>
      <c r="G245" s="60"/>
      <c r="H245" s="60"/>
    </row>
    <row r="246" spans="1:8" ht="15.75" x14ac:dyDescent="0.25">
      <c r="A246" s="60"/>
      <c r="B246" s="60"/>
      <c r="C246" s="60"/>
      <c r="D246" s="60"/>
      <c r="E246" s="60"/>
      <c r="F246" s="60"/>
      <c r="G246" s="60"/>
      <c r="H246" s="60"/>
    </row>
    <row r="247" spans="1:8" ht="15.75" x14ac:dyDescent="0.25">
      <c r="A247" s="60"/>
      <c r="B247" s="60"/>
      <c r="C247" s="60"/>
      <c r="D247" s="60"/>
      <c r="E247" s="60"/>
      <c r="F247" s="60"/>
      <c r="G247" s="60"/>
      <c r="H247" s="60"/>
    </row>
    <row r="248" spans="1:8" ht="15.75" x14ac:dyDescent="0.25">
      <c r="A248" s="60"/>
      <c r="B248" s="60"/>
      <c r="C248" s="60"/>
      <c r="D248" s="60"/>
      <c r="E248" s="60"/>
      <c r="F248" s="60"/>
      <c r="G248" s="60"/>
      <c r="H248" s="60"/>
    </row>
    <row r="249" spans="1:8" ht="15.75" x14ac:dyDescent="0.25">
      <c r="A249" s="60"/>
      <c r="B249" s="60"/>
      <c r="C249" s="60"/>
      <c r="D249" s="60"/>
      <c r="E249" s="60"/>
      <c r="F249" s="60"/>
      <c r="G249" s="60"/>
      <c r="H249" s="60"/>
    </row>
    <row r="250" spans="1:8" ht="15.75" x14ac:dyDescent="0.25">
      <c r="A250" s="60"/>
      <c r="B250" s="60"/>
      <c r="C250" s="60"/>
      <c r="D250" s="60"/>
      <c r="E250" s="60"/>
      <c r="F250" s="60"/>
      <c r="G250" s="60"/>
      <c r="H250" s="60"/>
    </row>
    <row r="251" spans="1:8" ht="15.75" x14ac:dyDescent="0.25">
      <c r="A251" s="60"/>
      <c r="B251" s="60"/>
      <c r="C251" s="60"/>
      <c r="D251" s="60"/>
      <c r="E251" s="60"/>
      <c r="F251" s="60"/>
      <c r="G251" s="60"/>
      <c r="H251" s="60"/>
    </row>
    <row r="252" spans="1:8" ht="15.75" x14ac:dyDescent="0.25">
      <c r="A252" s="60"/>
      <c r="B252" s="60"/>
      <c r="C252" s="60"/>
      <c r="D252" s="60"/>
      <c r="E252" s="60"/>
      <c r="F252" s="60"/>
      <c r="G252" s="60"/>
      <c r="H252" s="60"/>
    </row>
    <row r="253" spans="1:8" ht="15.75" x14ac:dyDescent="0.25">
      <c r="A253" s="60"/>
      <c r="B253" s="60"/>
      <c r="C253" s="60"/>
      <c r="D253" s="60"/>
      <c r="E253" s="60"/>
      <c r="F253" s="60"/>
      <c r="G253" s="60"/>
      <c r="H253" s="60"/>
    </row>
    <row r="254" spans="1:8" ht="15.75" x14ac:dyDescent="0.25">
      <c r="A254" s="60"/>
      <c r="B254" s="60"/>
      <c r="C254" s="60"/>
      <c r="D254" s="60"/>
      <c r="E254" s="60"/>
      <c r="F254" s="60"/>
      <c r="G254" s="60"/>
      <c r="H254" s="60"/>
    </row>
    <row r="255" spans="1:8" ht="15.75" x14ac:dyDescent="0.25">
      <c r="A255" s="60"/>
      <c r="B255" s="60"/>
      <c r="C255" s="60"/>
      <c r="D255" s="60"/>
      <c r="E255" s="60"/>
      <c r="F255" s="60"/>
      <c r="G255" s="60"/>
      <c r="H255" s="60"/>
    </row>
    <row r="256" spans="1:8" ht="15.75" x14ac:dyDescent="0.25">
      <c r="A256" s="60"/>
      <c r="B256" s="60"/>
      <c r="C256" s="60"/>
      <c r="D256" s="60"/>
      <c r="E256" s="60"/>
      <c r="F256" s="60"/>
      <c r="G256" s="60"/>
      <c r="H256" s="60"/>
    </row>
    <row r="257" spans="1:8" ht="15.75" x14ac:dyDescent="0.25">
      <c r="A257" s="60"/>
      <c r="B257" s="60"/>
      <c r="C257" s="60"/>
      <c r="D257" s="60"/>
      <c r="E257" s="60"/>
      <c r="F257" s="60"/>
      <c r="G257" s="60"/>
      <c r="H257" s="60"/>
    </row>
    <row r="258" spans="1:8" ht="15.75" x14ac:dyDescent="0.25">
      <c r="A258" s="60"/>
      <c r="B258" s="60"/>
      <c r="C258" s="60"/>
      <c r="D258" s="60"/>
      <c r="E258" s="60"/>
      <c r="F258" s="60"/>
      <c r="G258" s="60"/>
      <c r="H258" s="60"/>
    </row>
    <row r="259" spans="1:8" ht="15.75" x14ac:dyDescent="0.25">
      <c r="A259" s="60"/>
      <c r="B259" s="60"/>
      <c r="C259" s="60"/>
      <c r="D259" s="60"/>
      <c r="E259" s="60"/>
      <c r="F259" s="60"/>
      <c r="G259" s="60"/>
      <c r="H259" s="60"/>
    </row>
    <row r="260" spans="1:8" ht="15.75" x14ac:dyDescent="0.25">
      <c r="A260" s="60"/>
      <c r="B260" s="60"/>
      <c r="C260" s="60"/>
      <c r="D260" s="60"/>
      <c r="E260" s="60"/>
      <c r="F260" s="60"/>
      <c r="G260" s="60"/>
      <c r="H260" s="60"/>
    </row>
    <row r="261" spans="1:8" ht="15.75" x14ac:dyDescent="0.25">
      <c r="A261" s="60"/>
      <c r="B261" s="60"/>
      <c r="C261" s="60"/>
      <c r="D261" s="60"/>
      <c r="E261" s="60"/>
      <c r="F261" s="60"/>
      <c r="G261" s="60"/>
      <c r="H261" s="60"/>
    </row>
    <row r="262" spans="1:8" ht="15.75" x14ac:dyDescent="0.25">
      <c r="A262" s="60"/>
      <c r="B262" s="60"/>
      <c r="C262" s="60"/>
      <c r="D262" s="60"/>
      <c r="E262" s="60"/>
      <c r="F262" s="60"/>
      <c r="G262" s="60"/>
      <c r="H262" s="60"/>
    </row>
    <row r="263" spans="1:8" ht="15.75" x14ac:dyDescent="0.25">
      <c r="A263" s="60"/>
      <c r="B263" s="60"/>
      <c r="C263" s="60"/>
      <c r="D263" s="60"/>
      <c r="E263" s="60"/>
      <c r="F263" s="60"/>
      <c r="G263" s="60"/>
      <c r="H263" s="60"/>
    </row>
    <row r="264" spans="1:8" ht="15.75" x14ac:dyDescent="0.25">
      <c r="A264" s="60"/>
      <c r="B264" s="60"/>
      <c r="C264" s="60"/>
      <c r="D264" s="60"/>
      <c r="E264" s="60"/>
      <c r="F264" s="60"/>
      <c r="G264" s="60"/>
      <c r="H264" s="60"/>
    </row>
    <row r="265" spans="1:8" ht="15.75" x14ac:dyDescent="0.25">
      <c r="A265" s="60"/>
      <c r="B265" s="60"/>
      <c r="C265" s="60"/>
      <c r="D265" s="60"/>
      <c r="E265" s="60"/>
      <c r="F265" s="60"/>
      <c r="G265" s="60"/>
      <c r="H265" s="60"/>
    </row>
    <row r="266" spans="1:8" ht="15.75" x14ac:dyDescent="0.25">
      <c r="A266" s="60"/>
      <c r="B266" s="60"/>
      <c r="C266" s="60"/>
      <c r="D266" s="60"/>
      <c r="E266" s="60"/>
      <c r="F266" s="60"/>
      <c r="G266" s="60"/>
      <c r="H266" s="60"/>
    </row>
    <row r="267" spans="1:8" ht="15.75" x14ac:dyDescent="0.25">
      <c r="A267" s="60"/>
      <c r="B267" s="60"/>
      <c r="C267" s="60"/>
      <c r="D267" s="60"/>
      <c r="E267" s="60"/>
      <c r="F267" s="60"/>
      <c r="G267" s="60"/>
      <c r="H267" s="60"/>
    </row>
    <row r="268" spans="1:8" ht="15.75" x14ac:dyDescent="0.25">
      <c r="A268" s="60"/>
      <c r="B268" s="60"/>
      <c r="C268" s="60"/>
      <c r="D268" s="60"/>
      <c r="E268" s="60"/>
      <c r="F268" s="60"/>
      <c r="G268" s="60"/>
      <c r="H268" s="60"/>
    </row>
    <row r="269" spans="1:8" ht="15.75" x14ac:dyDescent="0.25">
      <c r="A269" s="60"/>
      <c r="B269" s="60"/>
      <c r="C269" s="60"/>
      <c r="D269" s="60"/>
      <c r="E269" s="60"/>
      <c r="F269" s="60"/>
      <c r="G269" s="60"/>
      <c r="H269" s="60"/>
    </row>
    <row r="270" spans="1:8" ht="15.75" x14ac:dyDescent="0.25">
      <c r="A270" s="60"/>
      <c r="B270" s="60"/>
      <c r="C270" s="60"/>
      <c r="D270" s="60"/>
      <c r="E270" s="60"/>
      <c r="F270" s="60"/>
      <c r="G270" s="60"/>
      <c r="H270" s="60"/>
    </row>
    <row r="271" spans="1:8" ht="15.75" x14ac:dyDescent="0.25">
      <c r="A271" s="60"/>
      <c r="B271" s="60"/>
      <c r="C271" s="60"/>
      <c r="D271" s="60"/>
      <c r="E271" s="60"/>
      <c r="F271" s="60"/>
      <c r="G271" s="60"/>
      <c r="H271" s="60"/>
    </row>
    <row r="272" spans="1:8" ht="15.75" x14ac:dyDescent="0.25">
      <c r="A272" s="60"/>
      <c r="B272" s="60"/>
      <c r="C272" s="60"/>
      <c r="D272" s="60"/>
      <c r="E272" s="60"/>
      <c r="F272" s="60"/>
      <c r="G272" s="60"/>
      <c r="H272" s="60"/>
    </row>
    <row r="273" spans="1:8" ht="15.75" x14ac:dyDescent="0.25">
      <c r="A273" s="60"/>
      <c r="B273" s="60"/>
      <c r="C273" s="60"/>
      <c r="D273" s="60"/>
      <c r="E273" s="60"/>
      <c r="F273" s="60"/>
      <c r="G273" s="60"/>
      <c r="H273" s="60"/>
    </row>
    <row r="274" spans="1:8" ht="15.75" x14ac:dyDescent="0.25">
      <c r="A274" s="60"/>
      <c r="B274" s="60"/>
      <c r="C274" s="60"/>
      <c r="D274" s="60"/>
      <c r="E274" s="60"/>
      <c r="F274" s="60"/>
      <c r="G274" s="60"/>
      <c r="H274" s="60"/>
    </row>
    <row r="275" spans="1:8" ht="15.75" x14ac:dyDescent="0.25">
      <c r="A275" s="60"/>
      <c r="B275" s="60"/>
      <c r="C275" s="60"/>
      <c r="D275" s="60"/>
      <c r="E275" s="60"/>
      <c r="F275" s="60"/>
      <c r="G275" s="60"/>
      <c r="H275" s="60"/>
    </row>
    <row r="276" spans="1:8" ht="15.75" x14ac:dyDescent="0.25">
      <c r="A276" s="60"/>
      <c r="B276" s="60"/>
      <c r="C276" s="60"/>
      <c r="D276" s="60"/>
      <c r="E276" s="60"/>
      <c r="F276" s="60"/>
      <c r="G276" s="60"/>
      <c r="H276" s="60"/>
    </row>
    <row r="277" spans="1:8" ht="15.75" x14ac:dyDescent="0.25">
      <c r="A277" s="60"/>
      <c r="B277" s="60"/>
      <c r="C277" s="60"/>
      <c r="D277" s="60"/>
      <c r="E277" s="60"/>
      <c r="F277" s="60"/>
      <c r="G277" s="60"/>
      <c r="H277" s="60"/>
    </row>
    <row r="278" spans="1:8" ht="15.75" x14ac:dyDescent="0.25">
      <c r="A278" s="60"/>
      <c r="B278" s="60"/>
      <c r="C278" s="60"/>
      <c r="D278" s="60"/>
      <c r="E278" s="60"/>
      <c r="F278" s="60"/>
      <c r="G278" s="60"/>
      <c r="H278" s="60"/>
    </row>
    <row r="279" spans="1:8" ht="15.75" x14ac:dyDescent="0.25">
      <c r="A279" s="60"/>
      <c r="B279" s="60"/>
      <c r="C279" s="60"/>
      <c r="D279" s="60"/>
      <c r="E279" s="60"/>
      <c r="F279" s="60"/>
      <c r="G279" s="60"/>
      <c r="H279" s="60"/>
    </row>
    <row r="280" spans="1:8" ht="15.75" x14ac:dyDescent="0.25">
      <c r="A280" s="60"/>
      <c r="B280" s="60"/>
      <c r="C280" s="60"/>
      <c r="D280" s="60"/>
      <c r="E280" s="60"/>
      <c r="F280" s="60"/>
      <c r="G280" s="60"/>
      <c r="H280" s="60"/>
    </row>
    <row r="281" spans="1:8" ht="15.75" x14ac:dyDescent="0.25">
      <c r="A281" s="60"/>
      <c r="B281" s="60"/>
      <c r="C281" s="60"/>
      <c r="D281" s="60"/>
      <c r="E281" s="60"/>
      <c r="F281" s="60"/>
      <c r="G281" s="60"/>
      <c r="H281" s="60"/>
    </row>
    <row r="282" spans="1:8" ht="15.75" x14ac:dyDescent="0.25">
      <c r="A282" s="60"/>
      <c r="B282" s="60"/>
      <c r="C282" s="60"/>
      <c r="D282" s="60"/>
      <c r="E282" s="60"/>
      <c r="F282" s="60"/>
      <c r="G282" s="60"/>
      <c r="H282" s="60"/>
    </row>
    <row r="283" spans="1:8" ht="15.75" x14ac:dyDescent="0.25">
      <c r="A283" s="60"/>
      <c r="B283" s="60"/>
      <c r="C283" s="60"/>
      <c r="D283" s="60"/>
      <c r="E283" s="60"/>
      <c r="F283" s="60"/>
      <c r="G283" s="60"/>
      <c r="H283" s="60"/>
    </row>
    <row r="284" spans="1:8" ht="15.75" x14ac:dyDescent="0.25">
      <c r="A284" s="60"/>
      <c r="B284" s="60"/>
      <c r="C284" s="60"/>
      <c r="D284" s="60"/>
      <c r="E284" s="60"/>
      <c r="F284" s="60"/>
      <c r="G284" s="60"/>
      <c r="H284" s="60"/>
    </row>
    <row r="285" spans="1:8" ht="15.75" x14ac:dyDescent="0.25">
      <c r="A285" s="60"/>
      <c r="B285" s="60"/>
      <c r="C285" s="60"/>
      <c r="D285" s="60"/>
      <c r="E285" s="60"/>
      <c r="F285" s="60"/>
      <c r="G285" s="60"/>
      <c r="H285" s="60"/>
    </row>
    <row r="286" spans="1:8" ht="15.75" x14ac:dyDescent="0.25">
      <c r="A286" s="60"/>
      <c r="B286" s="60"/>
      <c r="C286" s="60"/>
      <c r="D286" s="60"/>
      <c r="E286" s="60"/>
      <c r="F286" s="60"/>
      <c r="G286" s="60"/>
      <c r="H286" s="60"/>
    </row>
    <row r="287" spans="1:8" ht="15.75" x14ac:dyDescent="0.25">
      <c r="A287" s="60"/>
      <c r="B287" s="60"/>
      <c r="C287" s="60"/>
      <c r="D287" s="60"/>
      <c r="E287" s="60"/>
      <c r="F287" s="60"/>
      <c r="G287" s="60"/>
      <c r="H287" s="60"/>
    </row>
    <row r="288" spans="1:8" ht="15.75" x14ac:dyDescent="0.25">
      <c r="A288" s="60"/>
      <c r="B288" s="60"/>
      <c r="C288" s="60"/>
      <c r="D288" s="60"/>
      <c r="E288" s="60"/>
      <c r="F288" s="60"/>
      <c r="G288" s="60"/>
      <c r="H288" s="60"/>
    </row>
    <row r="289" spans="1:8" ht="15.75" x14ac:dyDescent="0.25">
      <c r="A289" s="60"/>
      <c r="B289" s="60"/>
      <c r="C289" s="60"/>
      <c r="D289" s="60"/>
      <c r="E289" s="60"/>
      <c r="F289" s="60"/>
      <c r="G289" s="60"/>
      <c r="H289" s="60"/>
    </row>
    <row r="290" spans="1:8" ht="15.75" x14ac:dyDescent="0.25">
      <c r="A290" s="60"/>
      <c r="B290" s="60"/>
      <c r="C290" s="60"/>
      <c r="D290" s="60"/>
      <c r="E290" s="60"/>
      <c r="F290" s="60"/>
      <c r="G290" s="60"/>
      <c r="H290" s="60"/>
    </row>
    <row r="291" spans="1:8" ht="15.75" x14ac:dyDescent="0.25">
      <c r="A291" s="60"/>
      <c r="B291" s="60"/>
      <c r="C291" s="60"/>
      <c r="D291" s="60"/>
      <c r="E291" s="60"/>
      <c r="F291" s="60"/>
      <c r="G291" s="60"/>
      <c r="H291" s="60"/>
    </row>
    <row r="292" spans="1:8" ht="15.75" x14ac:dyDescent="0.25">
      <c r="A292" s="60"/>
      <c r="B292" s="60"/>
      <c r="C292" s="60"/>
      <c r="D292" s="60"/>
      <c r="E292" s="60"/>
      <c r="F292" s="60"/>
      <c r="G292" s="60"/>
      <c r="H292" s="60"/>
    </row>
    <row r="293" spans="1:8" ht="15.75" x14ac:dyDescent="0.25">
      <c r="A293" s="60"/>
      <c r="B293" s="60"/>
      <c r="C293" s="60"/>
      <c r="D293" s="60"/>
      <c r="E293" s="60"/>
      <c r="F293" s="60"/>
      <c r="G293" s="60"/>
      <c r="H293" s="60"/>
    </row>
    <row r="294" spans="1:8" ht="15.75" x14ac:dyDescent="0.25">
      <c r="A294" s="60"/>
      <c r="B294" s="60"/>
      <c r="C294" s="60"/>
      <c r="D294" s="60"/>
      <c r="E294" s="60"/>
      <c r="F294" s="60"/>
      <c r="G294" s="60"/>
      <c r="H294" s="60"/>
    </row>
    <row r="295" spans="1:8" ht="15.75" x14ac:dyDescent="0.25">
      <c r="A295" s="60"/>
      <c r="B295" s="60"/>
      <c r="C295" s="60"/>
      <c r="D295" s="60"/>
      <c r="E295" s="60"/>
      <c r="F295" s="60"/>
      <c r="G295" s="60"/>
      <c r="H295" s="60"/>
    </row>
    <row r="296" spans="1:8" ht="15.75" x14ac:dyDescent="0.25">
      <c r="A296" s="60"/>
      <c r="B296" s="60"/>
      <c r="C296" s="60"/>
      <c r="D296" s="60"/>
      <c r="E296" s="60"/>
      <c r="F296" s="60"/>
      <c r="G296" s="60"/>
      <c r="H296" s="60"/>
    </row>
    <row r="297" spans="1:8" ht="15.75" x14ac:dyDescent="0.25">
      <c r="A297" s="60"/>
      <c r="B297" s="60"/>
      <c r="C297" s="60"/>
      <c r="D297" s="60"/>
      <c r="E297" s="60"/>
      <c r="F297" s="60"/>
      <c r="G297" s="60"/>
      <c r="H297" s="60"/>
    </row>
    <row r="298" spans="1:8" ht="15.75" x14ac:dyDescent="0.25">
      <c r="A298" s="60"/>
      <c r="B298" s="60"/>
      <c r="C298" s="60"/>
      <c r="D298" s="60"/>
      <c r="E298" s="60"/>
      <c r="F298" s="60"/>
      <c r="G298" s="60"/>
      <c r="H298" s="60"/>
    </row>
    <row r="299" spans="1:8" ht="15.75" x14ac:dyDescent="0.25">
      <c r="A299" s="60"/>
      <c r="B299" s="60"/>
      <c r="C299" s="60"/>
      <c r="D299" s="60"/>
      <c r="E299" s="60"/>
      <c r="F299" s="60"/>
      <c r="G299" s="60"/>
      <c r="H299" s="60"/>
    </row>
    <row r="300" spans="1:8" ht="15.75" x14ac:dyDescent="0.25">
      <c r="A300" s="60"/>
      <c r="B300" s="60"/>
      <c r="C300" s="60"/>
      <c r="D300" s="60"/>
      <c r="E300" s="60"/>
      <c r="F300" s="60"/>
      <c r="G300" s="60"/>
      <c r="H300" s="60"/>
    </row>
    <row r="301" spans="1:8" ht="15.75" x14ac:dyDescent="0.25">
      <c r="A301" s="60"/>
      <c r="B301" s="60"/>
      <c r="C301" s="60"/>
      <c r="D301" s="60"/>
      <c r="E301" s="60"/>
      <c r="F301" s="60"/>
      <c r="G301" s="60"/>
      <c r="H301" s="60"/>
    </row>
    <row r="302" spans="1:8" ht="15.75" x14ac:dyDescent="0.25">
      <c r="A302" s="60"/>
      <c r="B302" s="60"/>
      <c r="C302" s="60"/>
      <c r="D302" s="60"/>
      <c r="E302" s="60"/>
      <c r="F302" s="60"/>
      <c r="G302" s="60"/>
      <c r="H302" s="60"/>
    </row>
    <row r="303" spans="1:8" ht="15.75" x14ac:dyDescent="0.25">
      <c r="A303" s="60"/>
      <c r="B303" s="60"/>
      <c r="C303" s="60"/>
      <c r="D303" s="60"/>
      <c r="E303" s="60"/>
      <c r="F303" s="60"/>
      <c r="G303" s="60"/>
      <c r="H303" s="60"/>
    </row>
    <row r="304" spans="1:8" ht="15.75" x14ac:dyDescent="0.25">
      <c r="A304" s="60"/>
      <c r="B304" s="60"/>
      <c r="C304" s="60"/>
      <c r="D304" s="60"/>
      <c r="E304" s="60"/>
      <c r="F304" s="60"/>
      <c r="G304" s="60"/>
      <c r="H304" s="60"/>
    </row>
    <row r="305" spans="1:8" ht="15.75" x14ac:dyDescent="0.25">
      <c r="A305" s="60"/>
      <c r="B305" s="60"/>
      <c r="C305" s="60"/>
      <c r="D305" s="60"/>
      <c r="E305" s="60"/>
      <c r="F305" s="60"/>
      <c r="G305" s="60"/>
      <c r="H305" s="60"/>
    </row>
    <row r="306" spans="1:8" ht="15.75" x14ac:dyDescent="0.25">
      <c r="A306" s="60"/>
      <c r="B306" s="60"/>
      <c r="C306" s="60"/>
      <c r="D306" s="60"/>
      <c r="E306" s="60"/>
      <c r="F306" s="60"/>
      <c r="G306" s="60"/>
      <c r="H306" s="60"/>
    </row>
    <row r="307" spans="1:8" ht="15.75" x14ac:dyDescent="0.25">
      <c r="A307" s="60"/>
      <c r="B307" s="60"/>
      <c r="C307" s="60"/>
      <c r="D307" s="60"/>
      <c r="E307" s="60"/>
      <c r="F307" s="60"/>
      <c r="G307" s="60"/>
      <c r="H307" s="60"/>
    </row>
    <row r="308" spans="1:8" ht="15.75" x14ac:dyDescent="0.25">
      <c r="A308" s="60"/>
      <c r="B308" s="60"/>
      <c r="C308" s="60"/>
      <c r="D308" s="60"/>
      <c r="E308" s="60"/>
      <c r="F308" s="60"/>
      <c r="G308" s="60"/>
      <c r="H308" s="60"/>
    </row>
    <row r="309" spans="1:8" ht="15.75" x14ac:dyDescent="0.25">
      <c r="A309" s="60"/>
      <c r="B309" s="60"/>
      <c r="C309" s="60"/>
      <c r="D309" s="60"/>
      <c r="E309" s="60"/>
      <c r="F309" s="60"/>
      <c r="G309" s="60"/>
      <c r="H309" s="60"/>
    </row>
    <row r="310" spans="1:8" ht="15.75" x14ac:dyDescent="0.25">
      <c r="A310" s="60"/>
      <c r="B310" s="60"/>
      <c r="C310" s="60"/>
      <c r="D310" s="60"/>
      <c r="E310" s="60"/>
      <c r="F310" s="60"/>
      <c r="G310" s="60"/>
      <c r="H310" s="60"/>
    </row>
    <row r="311" spans="1:8" ht="15.75" x14ac:dyDescent="0.25">
      <c r="A311" s="60"/>
      <c r="B311" s="60"/>
      <c r="C311" s="60"/>
      <c r="D311" s="60"/>
      <c r="E311" s="60"/>
      <c r="F311" s="60"/>
      <c r="G311" s="60"/>
      <c r="H311" s="60"/>
    </row>
    <row r="312" spans="1:8" ht="15.75" x14ac:dyDescent="0.25">
      <c r="A312" s="60"/>
      <c r="B312" s="60"/>
      <c r="C312" s="60"/>
      <c r="D312" s="60"/>
      <c r="E312" s="60"/>
      <c r="F312" s="60"/>
      <c r="G312" s="60"/>
      <c r="H312" s="60"/>
    </row>
    <row r="313" spans="1:8" ht="15.75" x14ac:dyDescent="0.25">
      <c r="A313" s="60"/>
      <c r="B313" s="60"/>
      <c r="C313" s="60"/>
      <c r="D313" s="60"/>
      <c r="E313" s="60"/>
      <c r="F313" s="60"/>
      <c r="G313" s="60"/>
      <c r="H313" s="60"/>
    </row>
    <row r="314" spans="1:8" ht="15.75" x14ac:dyDescent="0.25">
      <c r="A314" s="60"/>
      <c r="B314" s="60"/>
      <c r="C314" s="60"/>
      <c r="D314" s="60"/>
      <c r="E314" s="60"/>
      <c r="F314" s="60"/>
      <c r="G314" s="60"/>
      <c r="H314" s="60"/>
    </row>
    <row r="315" spans="1:8" ht="15.75" x14ac:dyDescent="0.25">
      <c r="A315" s="60"/>
      <c r="B315" s="60"/>
      <c r="C315" s="60"/>
      <c r="D315" s="60"/>
      <c r="E315" s="60"/>
      <c r="F315" s="60"/>
      <c r="G315" s="60"/>
      <c r="H315" s="60"/>
    </row>
    <row r="316" spans="1:8" ht="15.75" x14ac:dyDescent="0.25">
      <c r="A316" s="60"/>
      <c r="B316" s="60"/>
      <c r="C316" s="60"/>
      <c r="D316" s="60"/>
      <c r="E316" s="60"/>
      <c r="F316" s="60"/>
      <c r="G316" s="60"/>
      <c r="H316" s="60"/>
    </row>
    <row r="317" spans="1:8" ht="15.75" x14ac:dyDescent="0.25">
      <c r="A317" s="60"/>
      <c r="B317" s="60"/>
      <c r="C317" s="60"/>
      <c r="D317" s="60"/>
      <c r="E317" s="60"/>
      <c r="F317" s="60"/>
      <c r="G317" s="60"/>
      <c r="H317" s="60"/>
    </row>
    <row r="318" spans="1:8" ht="15.75" x14ac:dyDescent="0.25">
      <c r="A318" s="60"/>
      <c r="B318" s="60"/>
      <c r="C318" s="60"/>
      <c r="D318" s="60"/>
      <c r="E318" s="60"/>
      <c r="F318" s="60"/>
      <c r="G318" s="60"/>
      <c r="H318" s="60"/>
    </row>
    <row r="319" spans="1:8" ht="15.75" x14ac:dyDescent="0.25">
      <c r="A319" s="60"/>
      <c r="B319" s="60"/>
      <c r="C319" s="60"/>
      <c r="D319" s="60"/>
      <c r="E319" s="60"/>
      <c r="F319" s="60"/>
      <c r="G319" s="60"/>
      <c r="H319" s="60"/>
    </row>
    <row r="320" spans="1:8" ht="15.75" x14ac:dyDescent="0.25">
      <c r="A320" s="60"/>
      <c r="B320" s="60"/>
      <c r="C320" s="60"/>
      <c r="D320" s="60"/>
      <c r="E320" s="60"/>
      <c r="F320" s="60"/>
      <c r="G320" s="60"/>
      <c r="H320" s="60"/>
    </row>
    <row r="321" spans="1:8" ht="15.75" x14ac:dyDescent="0.25">
      <c r="A321" s="60"/>
      <c r="B321" s="60"/>
      <c r="C321" s="60"/>
      <c r="D321" s="60"/>
      <c r="E321" s="60"/>
      <c r="F321" s="60"/>
      <c r="G321" s="60"/>
      <c r="H321" s="60"/>
    </row>
    <row r="322" spans="1:8" ht="15.75" x14ac:dyDescent="0.25">
      <c r="A322" s="60"/>
      <c r="B322" s="60"/>
      <c r="C322" s="60"/>
      <c r="D322" s="60"/>
      <c r="E322" s="60"/>
      <c r="F322" s="60"/>
      <c r="G322" s="60"/>
      <c r="H322" s="60"/>
    </row>
    <row r="323" spans="1:8" ht="15.75" x14ac:dyDescent="0.25">
      <c r="A323" s="60"/>
      <c r="B323" s="60"/>
      <c r="C323" s="60"/>
      <c r="D323" s="60"/>
      <c r="E323" s="60"/>
      <c r="F323" s="60"/>
      <c r="G323" s="60"/>
      <c r="H323" s="60"/>
    </row>
    <row r="324" spans="1:8" ht="15.75" x14ac:dyDescent="0.25">
      <c r="A324" s="60"/>
      <c r="B324" s="60"/>
      <c r="C324" s="60"/>
      <c r="D324" s="60"/>
      <c r="E324" s="60"/>
      <c r="F324" s="60"/>
      <c r="G324" s="60"/>
      <c r="H324" s="60"/>
    </row>
    <row r="325" spans="1:8" ht="15.75" x14ac:dyDescent="0.25">
      <c r="A325" s="60"/>
      <c r="B325" s="60"/>
      <c r="C325" s="60"/>
      <c r="D325" s="60"/>
      <c r="E325" s="60"/>
      <c r="F325" s="60"/>
      <c r="G325" s="60"/>
      <c r="H325" s="60"/>
    </row>
    <row r="326" spans="1:8" ht="15.75" x14ac:dyDescent="0.25">
      <c r="A326" s="60"/>
      <c r="B326" s="60"/>
      <c r="C326" s="60"/>
      <c r="D326" s="60"/>
      <c r="E326" s="60"/>
      <c r="F326" s="60"/>
      <c r="G326" s="60"/>
      <c r="H326" s="60"/>
    </row>
    <row r="327" spans="1:8" ht="15.75" x14ac:dyDescent="0.25">
      <c r="A327" s="60"/>
      <c r="B327" s="60"/>
      <c r="C327" s="60"/>
      <c r="D327" s="60"/>
      <c r="E327" s="60"/>
      <c r="F327" s="60"/>
      <c r="G327" s="60"/>
      <c r="H327" s="60"/>
    </row>
    <row r="328" spans="1:8" ht="15.75" x14ac:dyDescent="0.25">
      <c r="A328" s="60"/>
      <c r="B328" s="60"/>
      <c r="C328" s="60"/>
      <c r="D328" s="60"/>
      <c r="E328" s="60"/>
      <c r="F328" s="60"/>
      <c r="G328" s="60"/>
      <c r="H328" s="60"/>
    </row>
    <row r="329" spans="1:8" ht="15.75" x14ac:dyDescent="0.25">
      <c r="A329" s="60"/>
      <c r="B329" s="60"/>
      <c r="C329" s="60"/>
      <c r="D329" s="60"/>
      <c r="E329" s="60"/>
      <c r="F329" s="60"/>
      <c r="G329" s="60"/>
      <c r="H329" s="60"/>
    </row>
    <row r="330" spans="1:8" ht="15.75" x14ac:dyDescent="0.25">
      <c r="A330" s="60"/>
      <c r="B330" s="60"/>
      <c r="C330" s="60"/>
      <c r="D330" s="60"/>
      <c r="E330" s="60"/>
      <c r="F330" s="60"/>
      <c r="G330" s="60"/>
      <c r="H330" s="60"/>
    </row>
    <row r="331" spans="1:8" ht="15.75" x14ac:dyDescent="0.25">
      <c r="A331" s="60"/>
      <c r="B331" s="60"/>
      <c r="C331" s="60"/>
      <c r="D331" s="60"/>
      <c r="E331" s="60"/>
      <c r="F331" s="60"/>
      <c r="G331" s="60"/>
      <c r="H331" s="60"/>
    </row>
    <row r="332" spans="1:8" ht="15.75" x14ac:dyDescent="0.25">
      <c r="A332" s="60"/>
      <c r="B332" s="60"/>
      <c r="C332" s="60"/>
      <c r="D332" s="60"/>
      <c r="E332" s="60"/>
      <c r="F332" s="60"/>
      <c r="G332" s="60"/>
      <c r="H332" s="60"/>
    </row>
    <row r="333" spans="1:8" ht="15.75" x14ac:dyDescent="0.25">
      <c r="A333" s="60"/>
      <c r="B333" s="60"/>
      <c r="C333" s="60"/>
      <c r="D333" s="60"/>
      <c r="E333" s="60"/>
      <c r="F333" s="60"/>
      <c r="G333" s="60"/>
      <c r="H333" s="60"/>
    </row>
    <row r="334" spans="1:8" ht="15.75" x14ac:dyDescent="0.25">
      <c r="A334" s="60"/>
      <c r="B334" s="60"/>
      <c r="C334" s="60"/>
      <c r="D334" s="60"/>
      <c r="E334" s="60"/>
      <c r="F334" s="60"/>
      <c r="G334" s="60"/>
      <c r="H334" s="60"/>
    </row>
    <row r="335" spans="1:8" ht="15.75" x14ac:dyDescent="0.25">
      <c r="A335" s="60"/>
      <c r="B335" s="60"/>
      <c r="C335" s="60"/>
      <c r="D335" s="60"/>
      <c r="E335" s="60"/>
      <c r="F335" s="60"/>
      <c r="G335" s="60"/>
      <c r="H335" s="60"/>
    </row>
    <row r="336" spans="1:8" ht="15.75" x14ac:dyDescent="0.25">
      <c r="A336" s="60"/>
      <c r="B336" s="60"/>
      <c r="C336" s="60"/>
      <c r="D336" s="60"/>
      <c r="E336" s="60"/>
      <c r="F336" s="60"/>
      <c r="G336" s="60"/>
      <c r="H336" s="60"/>
    </row>
    <row r="337" spans="1:8" ht="15.75" x14ac:dyDescent="0.25">
      <c r="A337" s="60"/>
      <c r="B337" s="60"/>
      <c r="C337" s="60"/>
      <c r="D337" s="60"/>
      <c r="E337" s="60"/>
      <c r="F337" s="60"/>
      <c r="G337" s="60"/>
      <c r="H337" s="60"/>
    </row>
    <row r="338" spans="1:8" ht="15.75" x14ac:dyDescent="0.25">
      <c r="A338" s="60"/>
      <c r="B338" s="60"/>
      <c r="C338" s="60"/>
      <c r="D338" s="60"/>
      <c r="E338" s="60"/>
      <c r="F338" s="60"/>
      <c r="G338" s="60"/>
      <c r="H338" s="60"/>
    </row>
    <row r="339" spans="1:8" ht="15.75" x14ac:dyDescent="0.25">
      <c r="A339" s="60"/>
      <c r="B339" s="60"/>
      <c r="C339" s="60"/>
      <c r="D339" s="60"/>
      <c r="E339" s="60"/>
      <c r="F339" s="60"/>
      <c r="G339" s="60"/>
      <c r="H339" s="60"/>
    </row>
    <row r="340" spans="1:8" ht="15.75" x14ac:dyDescent="0.25">
      <c r="A340" s="60"/>
      <c r="B340" s="60"/>
      <c r="C340" s="60"/>
      <c r="D340" s="60"/>
      <c r="E340" s="60"/>
      <c r="F340" s="60"/>
      <c r="G340" s="60"/>
      <c r="H340" s="60"/>
    </row>
    <row r="341" spans="1:8" ht="15.75" x14ac:dyDescent="0.25">
      <c r="A341" s="60"/>
      <c r="B341" s="60"/>
      <c r="C341" s="60"/>
      <c r="D341" s="60"/>
      <c r="E341" s="60"/>
      <c r="F341" s="60"/>
      <c r="G341" s="60"/>
      <c r="H341" s="60"/>
    </row>
    <row r="342" spans="1:8" ht="15.75" x14ac:dyDescent="0.25">
      <c r="A342" s="60"/>
      <c r="B342" s="60"/>
      <c r="C342" s="60"/>
      <c r="D342" s="60"/>
      <c r="E342" s="60"/>
      <c r="F342" s="60"/>
      <c r="G342" s="60"/>
      <c r="H342" s="60"/>
    </row>
    <row r="343" spans="1:8" ht="15.75" x14ac:dyDescent="0.25">
      <c r="A343" s="60"/>
      <c r="B343" s="60"/>
      <c r="C343" s="60"/>
      <c r="D343" s="60"/>
      <c r="E343" s="60"/>
      <c r="F343" s="60"/>
      <c r="G343" s="60"/>
      <c r="H343" s="60"/>
    </row>
    <row r="344" spans="1:8" ht="15.75" x14ac:dyDescent="0.25">
      <c r="A344" s="60"/>
      <c r="B344" s="60"/>
      <c r="C344" s="60"/>
      <c r="D344" s="60"/>
      <c r="E344" s="60"/>
      <c r="F344" s="60"/>
      <c r="G344" s="60"/>
      <c r="H344" s="60"/>
    </row>
    <row r="345" spans="1:8" ht="15.75" x14ac:dyDescent="0.25">
      <c r="A345" s="60"/>
      <c r="B345" s="60"/>
      <c r="C345" s="60"/>
      <c r="D345" s="60"/>
      <c r="E345" s="60"/>
      <c r="F345" s="60"/>
      <c r="G345" s="60"/>
      <c r="H345" s="60"/>
    </row>
    <row r="346" spans="1:8" ht="15.75" x14ac:dyDescent="0.25">
      <c r="A346" s="60"/>
      <c r="B346" s="60"/>
      <c r="C346" s="60"/>
      <c r="D346" s="60"/>
      <c r="E346" s="60"/>
      <c r="F346" s="60"/>
      <c r="G346" s="60"/>
      <c r="H346" s="60"/>
    </row>
    <row r="347" spans="1:8" ht="15.75" x14ac:dyDescent="0.25">
      <c r="A347" s="60"/>
      <c r="B347" s="60"/>
      <c r="C347" s="60"/>
      <c r="D347" s="60"/>
      <c r="E347" s="60"/>
      <c r="F347" s="60"/>
      <c r="G347" s="60"/>
      <c r="H347" s="60"/>
    </row>
    <row r="348" spans="1:8" ht="15.75" x14ac:dyDescent="0.25">
      <c r="A348" s="60"/>
      <c r="B348" s="60"/>
      <c r="C348" s="60"/>
      <c r="D348" s="60"/>
      <c r="E348" s="60"/>
      <c r="F348" s="60"/>
      <c r="G348" s="60"/>
      <c r="H348" s="60"/>
    </row>
    <row r="349" spans="1:8" ht="15.75" x14ac:dyDescent="0.25">
      <c r="A349" s="60"/>
      <c r="B349" s="60"/>
      <c r="C349" s="60"/>
      <c r="D349" s="60"/>
      <c r="E349" s="60"/>
      <c r="F349" s="60"/>
      <c r="G349" s="60"/>
      <c r="H349" s="60"/>
    </row>
    <row r="350" spans="1:8" ht="15.75" x14ac:dyDescent="0.25">
      <c r="A350" s="60"/>
      <c r="B350" s="60"/>
      <c r="C350" s="60"/>
      <c r="D350" s="60"/>
      <c r="E350" s="60"/>
      <c r="F350" s="60"/>
      <c r="G350" s="60"/>
      <c r="H350" s="60"/>
    </row>
    <row r="351" spans="1:8" ht="15.75" x14ac:dyDescent="0.25">
      <c r="A351" s="60"/>
      <c r="B351" s="60"/>
      <c r="C351" s="60"/>
      <c r="D351" s="60"/>
      <c r="E351" s="60"/>
      <c r="F351" s="60"/>
      <c r="G351" s="60"/>
      <c r="H351" s="60"/>
    </row>
    <row r="352" spans="1:8" ht="15.75" x14ac:dyDescent="0.25">
      <c r="A352" s="60"/>
      <c r="B352" s="60"/>
      <c r="C352" s="60"/>
      <c r="D352" s="60"/>
      <c r="E352" s="60"/>
      <c r="F352" s="60"/>
      <c r="G352" s="60"/>
      <c r="H352" s="60"/>
    </row>
    <row r="353" spans="1:8" ht="15.75" x14ac:dyDescent="0.25">
      <c r="A353" s="60"/>
      <c r="B353" s="60"/>
      <c r="C353" s="60"/>
      <c r="D353" s="60"/>
      <c r="E353" s="60"/>
      <c r="F353" s="60"/>
      <c r="G353" s="60"/>
      <c r="H353" s="60"/>
    </row>
    <row r="354" spans="1:8" ht="15.75" x14ac:dyDescent="0.25">
      <c r="A354" s="60"/>
      <c r="B354" s="60"/>
      <c r="C354" s="60"/>
      <c r="D354" s="60"/>
      <c r="E354" s="60"/>
      <c r="F354" s="60"/>
      <c r="G354" s="60"/>
      <c r="H354" s="60"/>
    </row>
    <row r="355" spans="1:8" ht="15.75" x14ac:dyDescent="0.25">
      <c r="A355" s="60"/>
      <c r="B355" s="60"/>
      <c r="C355" s="60"/>
      <c r="D355" s="60"/>
      <c r="E355" s="60"/>
      <c r="F355" s="60"/>
      <c r="G355" s="60"/>
      <c r="H355" s="60"/>
    </row>
    <row r="356" spans="1:8" ht="15.75" x14ac:dyDescent="0.25">
      <c r="A356" s="60"/>
      <c r="B356" s="60"/>
      <c r="C356" s="60"/>
      <c r="D356" s="60"/>
      <c r="E356" s="60"/>
      <c r="F356" s="60"/>
      <c r="G356" s="60"/>
      <c r="H356" s="60"/>
    </row>
    <row r="357" spans="1:8" ht="15.75" x14ac:dyDescent="0.25">
      <c r="A357" s="60"/>
      <c r="B357" s="60"/>
      <c r="C357" s="60"/>
      <c r="D357" s="60"/>
      <c r="E357" s="60"/>
      <c r="F357" s="60"/>
      <c r="G357" s="60"/>
      <c r="H357" s="60"/>
    </row>
    <row r="358" spans="1:8" ht="15.75" x14ac:dyDescent="0.25">
      <c r="A358" s="60"/>
      <c r="B358" s="60"/>
      <c r="C358" s="60"/>
      <c r="D358" s="60"/>
      <c r="E358" s="60"/>
      <c r="F358" s="60"/>
      <c r="G358" s="60"/>
      <c r="H358" s="60"/>
    </row>
    <row r="359" spans="1:8" ht="15.75" x14ac:dyDescent="0.25">
      <c r="A359" s="60"/>
      <c r="B359" s="60"/>
      <c r="C359" s="60"/>
      <c r="D359" s="60"/>
      <c r="E359" s="60"/>
      <c r="F359" s="60"/>
      <c r="G359" s="60"/>
      <c r="H359" s="60"/>
    </row>
    <row r="360" spans="1:8" ht="15.75" x14ac:dyDescent="0.25">
      <c r="A360" s="60"/>
      <c r="B360" s="60"/>
      <c r="C360" s="60"/>
      <c r="D360" s="60"/>
      <c r="E360" s="60"/>
      <c r="F360" s="60"/>
      <c r="G360" s="60"/>
      <c r="H360" s="60"/>
    </row>
    <row r="361" spans="1:8" ht="15.75" x14ac:dyDescent="0.25">
      <c r="A361" s="60"/>
      <c r="B361" s="60"/>
      <c r="C361" s="60"/>
      <c r="D361" s="60"/>
      <c r="E361" s="60"/>
      <c r="F361" s="60"/>
      <c r="G361" s="60"/>
      <c r="H361" s="60"/>
    </row>
    <row r="362" spans="1:8" ht="15.75" x14ac:dyDescent="0.25">
      <c r="A362" s="60"/>
      <c r="B362" s="60"/>
      <c r="C362" s="60"/>
      <c r="D362" s="60"/>
      <c r="E362" s="60"/>
      <c r="F362" s="60"/>
      <c r="G362" s="60"/>
      <c r="H362" s="60"/>
    </row>
    <row r="363" spans="1:8" ht="15.75" x14ac:dyDescent="0.25">
      <c r="A363" s="60"/>
      <c r="B363" s="60"/>
      <c r="C363" s="60"/>
      <c r="D363" s="60"/>
      <c r="E363" s="60"/>
      <c r="F363" s="60"/>
      <c r="G363" s="60"/>
      <c r="H363" s="60"/>
    </row>
    <row r="364" spans="1:8" ht="15.75" x14ac:dyDescent="0.25">
      <c r="A364" s="60"/>
      <c r="B364" s="60"/>
      <c r="C364" s="60"/>
      <c r="D364" s="60"/>
      <c r="E364" s="60"/>
      <c r="F364" s="60"/>
      <c r="G364" s="60"/>
      <c r="H364" s="60"/>
    </row>
    <row r="365" spans="1:8" ht="15.75" x14ac:dyDescent="0.25">
      <c r="A365" s="60"/>
      <c r="B365" s="60"/>
      <c r="C365" s="60"/>
      <c r="D365" s="60"/>
      <c r="E365" s="60"/>
      <c r="F365" s="60"/>
      <c r="G365" s="60"/>
      <c r="H365" s="60"/>
    </row>
    <row r="366" spans="1:8" ht="15.75" x14ac:dyDescent="0.25">
      <c r="A366" s="60"/>
      <c r="B366" s="60"/>
      <c r="C366" s="60"/>
      <c r="D366" s="60"/>
      <c r="E366" s="60"/>
      <c r="F366" s="60"/>
      <c r="G366" s="60"/>
      <c r="H366" s="60"/>
    </row>
    <row r="367" spans="1:8" ht="15.75" x14ac:dyDescent="0.25">
      <c r="A367" s="60"/>
      <c r="B367" s="60"/>
      <c r="C367" s="60"/>
      <c r="D367" s="60"/>
      <c r="E367" s="60"/>
      <c r="F367" s="60"/>
      <c r="G367" s="60"/>
      <c r="H367" s="60"/>
    </row>
    <row r="368" spans="1:8" ht="15.75" x14ac:dyDescent="0.25">
      <c r="A368" s="60"/>
      <c r="B368" s="60"/>
      <c r="C368" s="60"/>
      <c r="D368" s="60"/>
      <c r="E368" s="60"/>
      <c r="F368" s="60"/>
      <c r="G368" s="60"/>
      <c r="H368" s="60"/>
    </row>
    <row r="369" spans="1:8" ht="15.75" x14ac:dyDescent="0.25">
      <c r="A369" s="60"/>
      <c r="B369" s="60"/>
      <c r="C369" s="60"/>
      <c r="D369" s="60"/>
      <c r="E369" s="60"/>
      <c r="F369" s="60"/>
      <c r="G369" s="60"/>
      <c r="H369" s="60"/>
    </row>
    <row r="370" spans="1:8" ht="15.75" x14ac:dyDescent="0.25">
      <c r="A370" s="60"/>
      <c r="B370" s="60"/>
      <c r="C370" s="60"/>
      <c r="D370" s="60"/>
      <c r="E370" s="60"/>
      <c r="F370" s="60"/>
      <c r="G370" s="60"/>
      <c r="H370" s="60"/>
    </row>
    <row r="371" spans="1:8" ht="15.75" x14ac:dyDescent="0.25">
      <c r="A371" s="60"/>
      <c r="B371" s="60"/>
      <c r="C371" s="60"/>
      <c r="D371" s="60"/>
      <c r="E371" s="60"/>
      <c r="F371" s="60"/>
      <c r="G371" s="60"/>
      <c r="H371" s="60"/>
    </row>
    <row r="372" spans="1:8" ht="15.75" x14ac:dyDescent="0.25">
      <c r="A372" s="60"/>
      <c r="B372" s="60"/>
      <c r="C372" s="60"/>
      <c r="D372" s="60"/>
      <c r="E372" s="60"/>
      <c r="F372" s="60"/>
      <c r="G372" s="60"/>
      <c r="H372" s="60"/>
    </row>
    <row r="373" spans="1:8" ht="15.75" x14ac:dyDescent="0.25">
      <c r="A373" s="60"/>
      <c r="B373" s="60"/>
      <c r="C373" s="60"/>
      <c r="D373" s="60"/>
      <c r="E373" s="60"/>
      <c r="F373" s="60"/>
      <c r="G373" s="60"/>
      <c r="H373" s="60"/>
    </row>
    <row r="374" spans="1:8" ht="15.75" x14ac:dyDescent="0.25">
      <c r="A374" s="60"/>
      <c r="B374" s="60"/>
      <c r="C374" s="60"/>
      <c r="D374" s="60"/>
      <c r="E374" s="60"/>
      <c r="F374" s="60"/>
      <c r="G374" s="60"/>
      <c r="H374" s="60"/>
    </row>
    <row r="375" spans="1:8" ht="15.75" x14ac:dyDescent="0.25">
      <c r="A375" s="60"/>
      <c r="B375" s="60"/>
      <c r="C375" s="60"/>
      <c r="D375" s="60"/>
      <c r="E375" s="60"/>
      <c r="F375" s="60"/>
      <c r="G375" s="60"/>
      <c r="H375" s="60"/>
    </row>
    <row r="376" spans="1:8" ht="15.75" x14ac:dyDescent="0.25">
      <c r="A376" s="60"/>
      <c r="B376" s="60"/>
      <c r="C376" s="60"/>
      <c r="D376" s="60"/>
      <c r="E376" s="60"/>
      <c r="F376" s="60"/>
      <c r="G376" s="60"/>
      <c r="H376" s="60"/>
    </row>
    <row r="377" spans="1:8" ht="15.75" x14ac:dyDescent="0.25">
      <c r="A377" s="60"/>
      <c r="B377" s="60"/>
      <c r="C377" s="60"/>
      <c r="D377" s="60"/>
      <c r="E377" s="60"/>
      <c r="F377" s="60"/>
      <c r="G377" s="60"/>
      <c r="H377" s="60"/>
    </row>
    <row r="378" spans="1:8" ht="15.75" x14ac:dyDescent="0.25">
      <c r="A378" s="60"/>
      <c r="B378" s="60"/>
      <c r="C378" s="60"/>
      <c r="D378" s="60"/>
      <c r="E378" s="60"/>
      <c r="F378" s="60"/>
      <c r="G378" s="60"/>
      <c r="H378" s="60"/>
    </row>
    <row r="379" spans="1:8" ht="15.75" x14ac:dyDescent="0.25">
      <c r="A379" s="60"/>
      <c r="B379" s="60"/>
      <c r="C379" s="60"/>
      <c r="D379" s="60"/>
      <c r="E379" s="60"/>
      <c r="F379" s="60"/>
      <c r="G379" s="60"/>
      <c r="H379" s="60"/>
    </row>
    <row r="380" spans="1:8" ht="15.75" x14ac:dyDescent="0.25">
      <c r="A380" s="60"/>
      <c r="B380" s="60"/>
      <c r="C380" s="60"/>
      <c r="D380" s="60"/>
      <c r="E380" s="60"/>
      <c r="F380" s="60"/>
      <c r="G380" s="60"/>
      <c r="H380" s="60"/>
    </row>
    <row r="381" spans="1:8" ht="15.75" x14ac:dyDescent="0.25">
      <c r="A381" s="60"/>
      <c r="B381" s="60"/>
      <c r="C381" s="60"/>
      <c r="D381" s="60"/>
      <c r="E381" s="60"/>
      <c r="F381" s="60"/>
      <c r="G381" s="60"/>
      <c r="H381" s="60"/>
    </row>
    <row r="382" spans="1:8" ht="15.75" x14ac:dyDescent="0.25">
      <c r="A382" s="60"/>
      <c r="B382" s="60"/>
      <c r="C382" s="60"/>
      <c r="D382" s="60"/>
      <c r="E382" s="60"/>
      <c r="F382" s="60"/>
      <c r="G382" s="60"/>
      <c r="H382" s="60"/>
    </row>
    <row r="383" spans="1:8" ht="15.75" x14ac:dyDescent="0.25">
      <c r="A383" s="60"/>
      <c r="B383" s="60"/>
      <c r="C383" s="60"/>
      <c r="D383" s="60"/>
      <c r="E383" s="60"/>
      <c r="F383" s="60"/>
      <c r="G383" s="60"/>
      <c r="H383" s="60"/>
    </row>
    <row r="384" spans="1:8" ht="15.75" x14ac:dyDescent="0.25">
      <c r="A384" s="60"/>
      <c r="B384" s="60"/>
      <c r="C384" s="60"/>
      <c r="D384" s="60"/>
      <c r="E384" s="60"/>
      <c r="F384" s="60"/>
      <c r="G384" s="60"/>
      <c r="H384" s="60"/>
    </row>
    <row r="385" spans="1:8" ht="15.75" x14ac:dyDescent="0.25">
      <c r="A385" s="60"/>
      <c r="B385" s="60"/>
      <c r="C385" s="60"/>
      <c r="D385" s="60"/>
      <c r="E385" s="60"/>
      <c r="F385" s="60"/>
      <c r="G385" s="60"/>
      <c r="H385" s="60"/>
    </row>
    <row r="386" spans="1:8" ht="15.75" x14ac:dyDescent="0.25">
      <c r="A386" s="60"/>
      <c r="B386" s="60"/>
      <c r="C386" s="60"/>
      <c r="D386" s="60"/>
      <c r="E386" s="60"/>
      <c r="F386" s="60"/>
      <c r="G386" s="60"/>
      <c r="H386" s="60"/>
    </row>
    <row r="387" spans="1:8" ht="15.75" x14ac:dyDescent="0.25">
      <c r="A387" s="60"/>
      <c r="B387" s="60"/>
      <c r="C387" s="60"/>
      <c r="D387" s="60"/>
      <c r="E387" s="60"/>
      <c r="F387" s="60"/>
      <c r="G387" s="60"/>
      <c r="H387" s="60"/>
    </row>
  </sheetData>
  <customSheetViews>
    <customSheetView guid="{B2DDA8C4-3089-41F7-BA6E-A0E09596A2CA}" scale="70" showPageBreaks="1" fitToPage="1" printArea="1">
      <selection activeCell="M45" sqref="M45"/>
      <pageMargins left="0.75" right="0.87" top="0.85" bottom="0.8" header="0.5" footer="0.35"/>
      <printOptions horizontalCentered="1"/>
      <pageSetup scale="91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N21" sqref="N21"/>
      <pageMargins left="0.75" right="0.87" top="0.85" bottom="0.8" header="0.5" footer="0.35"/>
      <printOptions horizontalCentered="1"/>
      <pageSetup scale="92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0.75" right="0.87" top="0.85" bottom="0.8" header="0.5" footer="0.35"/>
      <printOptions horizontalCentered="1"/>
      <pageSetup scale="92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selection activeCell="M45" sqref="M45"/>
      <pageMargins left="0.75" right="0.87" top="0.85" bottom="0.8" header="0.5" footer="0.35"/>
      <printOptions horizontalCentered="1"/>
      <pageSetup scale="92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selection activeCell="M45" sqref="M45"/>
      <pageMargins left="0.75" right="0.87" top="0.85" bottom="0.8" header="0.5" footer="0.35"/>
      <printOptions horizontalCentered="1"/>
      <pageSetup scale="91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">
    <mergeCell ref="B2:J2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6"/>
  <sheetViews>
    <sheetView topLeftCell="A13"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6" width="4.7109375" style="2" customWidth="1"/>
    <col min="7" max="7" width="11.5703125" style="2" customWidth="1"/>
    <col min="8" max="8" width="1.28515625" style="2" customWidth="1"/>
    <col min="9" max="9" width="5" style="2" customWidth="1"/>
    <col min="10" max="10" width="11.5703125" style="2" customWidth="1"/>
    <col min="11" max="11" width="2.28515625" style="2" customWidth="1"/>
    <col min="12" max="12" width="9.5703125" style="2" customWidth="1"/>
    <col min="13" max="13" width="26.85546875" style="2" customWidth="1"/>
    <col min="14" max="14" width="10.7109375" style="2" customWidth="1"/>
    <col min="15" max="15" width="10.7109375" style="408" hidden="1" customWidth="1"/>
    <col min="16" max="16" width="2.7109375" style="408" hidden="1" customWidth="1"/>
    <col min="17" max="17" width="10.7109375" style="408" hidden="1" customWidth="1"/>
    <col min="18" max="18" width="2.7109375" style="408" hidden="1" customWidth="1"/>
    <col min="19" max="20" width="8.7109375" style="408" hidden="1" customWidth="1"/>
    <col min="21" max="16384" width="9.140625" style="2"/>
  </cols>
  <sheetData>
    <row r="1" spans="2:3" ht="28.5" customHeight="1" x14ac:dyDescent="0.2"/>
    <row r="2" spans="2:3" ht="15.95" customHeight="1" x14ac:dyDescent="0.25">
      <c r="B2" s="10" t="s">
        <v>393</v>
      </c>
    </row>
    <row r="3" spans="2:3" ht="15.95" customHeight="1" x14ac:dyDescent="0.25">
      <c r="B3" s="11" t="s">
        <v>55</v>
      </c>
      <c r="C3" s="10" t="s">
        <v>861</v>
      </c>
    </row>
    <row r="4" spans="2:3" ht="15.95" customHeight="1" x14ac:dyDescent="0.25">
      <c r="B4" s="11" t="s">
        <v>58</v>
      </c>
      <c r="C4" s="10" t="s">
        <v>862</v>
      </c>
    </row>
    <row r="5" spans="2:3" ht="15.95" customHeight="1" x14ac:dyDescent="0.25">
      <c r="B5" s="11" t="s">
        <v>60</v>
      </c>
      <c r="C5" s="10" t="s">
        <v>863</v>
      </c>
    </row>
    <row r="6" spans="2:3" ht="15.95" customHeight="1" x14ac:dyDescent="0.25">
      <c r="B6" s="11" t="s">
        <v>67</v>
      </c>
      <c r="C6" s="10" t="s">
        <v>861</v>
      </c>
    </row>
    <row r="7" spans="2:3" ht="15.95" customHeight="1" x14ac:dyDescent="0.25">
      <c r="B7" s="11" t="s">
        <v>70</v>
      </c>
      <c r="C7" s="10" t="s">
        <v>863</v>
      </c>
    </row>
    <row r="8" spans="2:3" ht="15.95" customHeight="1" x14ac:dyDescent="0.25">
      <c r="B8" s="11" t="s">
        <v>754</v>
      </c>
      <c r="C8" s="10" t="s">
        <v>862</v>
      </c>
    </row>
    <row r="9" spans="2:3" ht="15.95" customHeight="1" x14ac:dyDescent="0.25">
      <c r="B9" s="11" t="s">
        <v>755</v>
      </c>
      <c r="C9" s="10" t="s">
        <v>862</v>
      </c>
    </row>
    <row r="10" spans="2:3" ht="15.95" customHeight="1" x14ac:dyDescent="0.2"/>
    <row r="11" spans="2:3" ht="15.95" customHeight="1" x14ac:dyDescent="0.25">
      <c r="B11" s="12" t="s">
        <v>1173</v>
      </c>
      <c r="C11" s="10"/>
    </row>
    <row r="12" spans="2:3" ht="15.95" customHeight="1" x14ac:dyDescent="0.25">
      <c r="B12" s="11" t="s">
        <v>55</v>
      </c>
      <c r="C12" s="10" t="s">
        <v>862</v>
      </c>
    </row>
    <row r="13" spans="2:3" ht="15.95" customHeight="1" x14ac:dyDescent="0.25">
      <c r="B13" s="11" t="s">
        <v>58</v>
      </c>
      <c r="C13" s="10" t="s">
        <v>861</v>
      </c>
    </row>
    <row r="14" spans="2:3" ht="15.95" customHeight="1" x14ac:dyDescent="0.25">
      <c r="B14" s="11" t="s">
        <v>60</v>
      </c>
      <c r="C14" s="10" t="s">
        <v>861</v>
      </c>
    </row>
    <row r="15" spans="2:3" ht="15.95" customHeight="1" x14ac:dyDescent="0.25">
      <c r="B15" s="11" t="s">
        <v>67</v>
      </c>
      <c r="C15" s="10" t="s">
        <v>863</v>
      </c>
    </row>
    <row r="16" spans="2:3" ht="15.95" customHeight="1" x14ac:dyDescent="0.25">
      <c r="B16" s="11" t="s">
        <v>70</v>
      </c>
      <c r="C16" s="10" t="s">
        <v>863</v>
      </c>
    </row>
    <row r="17" spans="2:21" ht="15.95" customHeight="1" x14ac:dyDescent="0.25">
      <c r="B17" s="11" t="s">
        <v>754</v>
      </c>
      <c r="C17" s="10" t="s">
        <v>862</v>
      </c>
    </row>
    <row r="18" spans="2:21" ht="15.95" customHeight="1" x14ac:dyDescent="0.25">
      <c r="B18" s="11" t="s">
        <v>755</v>
      </c>
      <c r="C18" s="10" t="s">
        <v>863</v>
      </c>
    </row>
    <row r="19" spans="2:21" ht="15.95" customHeight="1" x14ac:dyDescent="0.25">
      <c r="B19" s="11" t="s">
        <v>756</v>
      </c>
      <c r="C19" s="10" t="s">
        <v>863</v>
      </c>
    </row>
    <row r="20" spans="2:21" ht="15.95" customHeight="1" x14ac:dyDescent="0.25">
      <c r="B20" s="11" t="s">
        <v>864</v>
      </c>
      <c r="C20" s="10" t="s">
        <v>861</v>
      </c>
    </row>
    <row r="21" spans="2:21" ht="15.95" customHeight="1" x14ac:dyDescent="0.25">
      <c r="B21" s="11" t="s">
        <v>865</v>
      </c>
      <c r="C21" s="10" t="s">
        <v>862</v>
      </c>
    </row>
    <row r="22" spans="2:21" ht="15.95" customHeight="1" x14ac:dyDescent="0.2"/>
    <row r="23" spans="2:21" ht="15.95" customHeight="1" x14ac:dyDescent="0.25">
      <c r="B23" s="10" t="s">
        <v>465</v>
      </c>
      <c r="R23" s="406"/>
    </row>
    <row r="24" spans="2:21" ht="15.95" customHeight="1" x14ac:dyDescent="0.25">
      <c r="B24" s="11" t="s">
        <v>758</v>
      </c>
      <c r="C24" s="13" t="s">
        <v>1495</v>
      </c>
      <c r="R24" s="406"/>
    </row>
    <row r="25" spans="2:21" ht="15.95" customHeight="1" x14ac:dyDescent="0.25">
      <c r="B25" s="11" t="s">
        <v>759</v>
      </c>
      <c r="C25" s="13" t="s">
        <v>866</v>
      </c>
      <c r="R25" s="406"/>
    </row>
    <row r="26" spans="2:21" ht="15.95" customHeight="1" x14ac:dyDescent="0.25">
      <c r="B26" s="11" t="s">
        <v>760</v>
      </c>
      <c r="C26" s="13" t="s">
        <v>1489</v>
      </c>
      <c r="R26" s="406"/>
    </row>
    <row r="27" spans="2:21" ht="15.95" customHeight="1" x14ac:dyDescent="0.25">
      <c r="B27" s="11" t="s">
        <v>270</v>
      </c>
      <c r="C27" s="13" t="s">
        <v>867</v>
      </c>
      <c r="R27" s="406"/>
    </row>
    <row r="28" spans="2:21" ht="15.95" customHeight="1" x14ac:dyDescent="0.25">
      <c r="B28" s="11" t="s">
        <v>1012</v>
      </c>
      <c r="C28" s="13" t="s">
        <v>1492</v>
      </c>
      <c r="R28" s="406"/>
    </row>
    <row r="29" spans="2:21" ht="15.95" customHeight="1" x14ac:dyDescent="0.25">
      <c r="B29" s="11" t="s">
        <v>1014</v>
      </c>
      <c r="C29" s="13" t="s">
        <v>761</v>
      </c>
      <c r="R29" s="406"/>
    </row>
    <row r="30" spans="2:21" ht="15.95" customHeight="1" x14ac:dyDescent="0.25">
      <c r="B30" s="11" t="s">
        <v>1403</v>
      </c>
      <c r="C30" s="13" t="s">
        <v>1488</v>
      </c>
      <c r="R30" s="406"/>
    </row>
    <row r="31" spans="2:21" ht="15.95" customHeight="1" x14ac:dyDescent="0.2">
      <c r="O31" s="419" t="s">
        <v>782</v>
      </c>
      <c r="P31" s="419"/>
      <c r="Q31" s="419"/>
      <c r="R31" s="419"/>
      <c r="S31" s="419"/>
      <c r="U31" s="48"/>
    </row>
    <row r="32" spans="2:21" ht="15.95" customHeight="1" x14ac:dyDescent="0.25">
      <c r="B32" s="12" t="s">
        <v>1272</v>
      </c>
      <c r="C32" s="246"/>
      <c r="O32" s="411" t="s">
        <v>1490</v>
      </c>
      <c r="Q32" s="411" t="s">
        <v>1491</v>
      </c>
      <c r="S32" s="411" t="s">
        <v>1505</v>
      </c>
      <c r="U32" s="48"/>
    </row>
    <row r="33" spans="2:21" s="10" customFormat="1" ht="15.95" customHeight="1" x14ac:dyDescent="0.25">
      <c r="C33" s="357" t="s">
        <v>1490</v>
      </c>
      <c r="D33" s="357"/>
      <c r="E33" s="357"/>
      <c r="F33" s="16" t="s">
        <v>111</v>
      </c>
      <c r="G33" s="13" t="s">
        <v>1491</v>
      </c>
      <c r="H33" s="13"/>
      <c r="I33" s="13" t="s">
        <v>1504</v>
      </c>
      <c r="J33" s="13" t="s">
        <v>1505</v>
      </c>
      <c r="K33" s="13"/>
      <c r="O33" s="420">
        <v>116200</v>
      </c>
      <c r="P33" s="406"/>
      <c r="Q33" s="420" t="s">
        <v>748</v>
      </c>
      <c r="R33" s="406"/>
      <c r="S33" s="420">
        <v>55400</v>
      </c>
      <c r="T33" s="406"/>
      <c r="U33" s="26"/>
    </row>
    <row r="34" spans="2:21" s="10" customFormat="1" ht="15.95" customHeight="1" x14ac:dyDescent="0.25">
      <c r="B34" s="11" t="s">
        <v>758</v>
      </c>
      <c r="C34" s="371">
        <f>O33</f>
        <v>116200</v>
      </c>
      <c r="D34" s="371"/>
      <c r="E34" s="371"/>
      <c r="F34" s="14"/>
      <c r="G34" s="64">
        <f>S38</f>
        <v>60800</v>
      </c>
      <c r="H34" s="34"/>
      <c r="I34" s="13"/>
      <c r="J34" s="281">
        <f>S33</f>
        <v>55400</v>
      </c>
      <c r="K34" s="17"/>
      <c r="O34" s="420">
        <v>212600</v>
      </c>
      <c r="P34" s="406"/>
      <c r="Q34" s="420">
        <v>145900</v>
      </c>
      <c r="R34" s="406"/>
      <c r="S34" s="420" t="s">
        <v>749</v>
      </c>
      <c r="T34" s="406"/>
      <c r="U34" s="26"/>
    </row>
    <row r="35" spans="2:21" s="10" customFormat="1" ht="15.95" customHeight="1" x14ac:dyDescent="0.25">
      <c r="B35" s="11" t="s">
        <v>759</v>
      </c>
      <c r="C35" s="370">
        <f>O34</f>
        <v>212600</v>
      </c>
      <c r="D35" s="370"/>
      <c r="E35" s="370"/>
      <c r="F35" s="14"/>
      <c r="G35" s="46">
        <f>Q34</f>
        <v>145900</v>
      </c>
      <c r="H35" s="65"/>
      <c r="I35" s="13"/>
      <c r="J35" s="46">
        <f>S39</f>
        <v>66700</v>
      </c>
      <c r="K35" s="66"/>
      <c r="O35" s="420" t="s">
        <v>869</v>
      </c>
      <c r="P35" s="406"/>
      <c r="Q35" s="420">
        <v>22500</v>
      </c>
      <c r="R35" s="406"/>
      <c r="S35" s="420">
        <v>48300</v>
      </c>
      <c r="T35" s="406"/>
      <c r="U35" s="26"/>
    </row>
    <row r="36" spans="2:21" s="10" customFormat="1" ht="15.95" customHeight="1" x14ac:dyDescent="0.25">
      <c r="B36" s="11" t="s">
        <v>760</v>
      </c>
      <c r="C36" s="370">
        <f>S40</f>
        <v>70800</v>
      </c>
      <c r="D36" s="370"/>
      <c r="E36" s="370"/>
      <c r="F36" s="66"/>
      <c r="G36" s="46">
        <f>Q35</f>
        <v>22500</v>
      </c>
      <c r="H36" s="65"/>
      <c r="I36" s="13"/>
      <c r="J36" s="46">
        <f>S35</f>
        <v>48300</v>
      </c>
      <c r="K36" s="65"/>
      <c r="O36" s="406"/>
      <c r="P36" s="406"/>
      <c r="Q36" s="406"/>
      <c r="R36" s="406"/>
      <c r="S36" s="406"/>
      <c r="T36" s="406"/>
      <c r="U36" s="26"/>
    </row>
    <row r="37" spans="2:21" s="10" customFormat="1" ht="5.0999999999999996" customHeight="1" x14ac:dyDescent="0.25">
      <c r="C37" s="50"/>
      <c r="G37" s="25"/>
      <c r="H37" s="25"/>
      <c r="O37" s="406"/>
      <c r="P37" s="406"/>
      <c r="Q37" s="406"/>
      <c r="R37" s="406"/>
      <c r="S37" s="406"/>
      <c r="T37" s="406"/>
      <c r="U37" s="26"/>
    </row>
    <row r="38" spans="2:21" ht="15.95" customHeight="1" x14ac:dyDescent="0.2">
      <c r="B38" s="212" t="s">
        <v>748</v>
      </c>
      <c r="C38" s="29" t="str">
        <f>CONCATENATE(TEXT(O38,"$#,##0"),P38,TEXT(Q38,"$#,##0"),R38,TEXT(S38,"$#,##0"),)</f>
        <v>$116,200 – $55,400 = $60,800</v>
      </c>
      <c r="D38" s="29"/>
      <c r="E38" s="29"/>
      <c r="F38" s="29"/>
      <c r="O38" s="411">
        <f>O33</f>
        <v>116200</v>
      </c>
      <c r="P38" s="411" t="s">
        <v>1589</v>
      </c>
      <c r="Q38" s="411">
        <f>S33</f>
        <v>55400</v>
      </c>
      <c r="R38" s="411" t="s">
        <v>1587</v>
      </c>
      <c r="S38" s="411">
        <f>SUM(O38-Q38)</f>
        <v>60800</v>
      </c>
      <c r="T38" s="421" t="s">
        <v>748</v>
      </c>
      <c r="U38" s="48"/>
    </row>
    <row r="39" spans="2:21" ht="15.95" customHeight="1" x14ac:dyDescent="0.2">
      <c r="B39" s="212" t="s">
        <v>749</v>
      </c>
      <c r="C39" s="29" t="str">
        <f>CONCATENATE(TEXT(O39,"$#,##0"),P39,TEXT(Q39,"$#,##0"),R39,TEXT(S39,"$#,##0"),)</f>
        <v>$212,600 – $145,900 = $66,700</v>
      </c>
      <c r="O39" s="411">
        <f>O34</f>
        <v>212600</v>
      </c>
      <c r="P39" s="411" t="s">
        <v>1589</v>
      </c>
      <c r="Q39" s="411">
        <f>Q34</f>
        <v>145900</v>
      </c>
      <c r="R39" s="411" t="s">
        <v>1587</v>
      </c>
      <c r="S39" s="411">
        <f>SUM(O39-Q39)</f>
        <v>66700</v>
      </c>
      <c r="T39" s="421" t="s">
        <v>749</v>
      </c>
    </row>
    <row r="40" spans="2:21" ht="15.95" customHeight="1" x14ac:dyDescent="0.2">
      <c r="B40" s="212" t="s">
        <v>869</v>
      </c>
      <c r="C40" s="29" t="str">
        <f>CONCATENATE(TEXT(O40,"$#,##0"),P40,TEXT(Q40,"$#,##0"),R40,TEXT(S40,"$#,##0"),)</f>
        <v>$22,500 + $48,300 = $70,800</v>
      </c>
      <c r="O40" s="411">
        <f>Q35</f>
        <v>22500</v>
      </c>
      <c r="P40" s="411" t="s">
        <v>1588</v>
      </c>
      <c r="Q40" s="411">
        <f>S35</f>
        <v>48300</v>
      </c>
      <c r="R40" s="411" t="s">
        <v>1587</v>
      </c>
      <c r="S40" s="411">
        <f>SUM(O40+Q40)</f>
        <v>70800</v>
      </c>
      <c r="T40" s="421" t="s">
        <v>869</v>
      </c>
    </row>
    <row r="41" spans="2:21" ht="5.0999999999999996" customHeight="1" x14ac:dyDescent="0.2"/>
    <row r="42" spans="2:21" ht="15.95" customHeight="1" x14ac:dyDescent="0.2"/>
    <row r="43" spans="2:21" ht="15.95" customHeight="1" x14ac:dyDescent="0.2"/>
    <row r="44" spans="2:21" ht="15.95" customHeight="1" x14ac:dyDescent="0.2">
      <c r="G44" s="247"/>
    </row>
    <row r="45" spans="2:21" ht="15.95" customHeight="1" x14ac:dyDescent="0.2"/>
    <row r="46" spans="2:21" ht="15.95" customHeight="1" x14ac:dyDescent="0.2"/>
  </sheetData>
  <customSheetViews>
    <customSheetView guid="{B2DDA8C4-3089-41F7-BA6E-A0E09596A2CA}" scale="80" showPageBreaks="1" fitToPage="1" printArea="1">
      <selection activeCell="E15" sqref="E15"/>
      <pageMargins left="1" right="0.75" top="0.85" bottom="0.8" header="0.5" footer="0.35"/>
      <printOptions horizontalCentered="1"/>
      <pageSetup scale="93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31">
      <selection activeCell="G44" sqref="G44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G44" sqref="G44"/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E15" sqref="E15"/>
      <pageMargins left="1" right="0.75" top="0.85" bottom="0.8" header="0.5" footer="0.35"/>
      <printOptions horizontalCentered="1"/>
      <pageSetup scale="93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5">
    <mergeCell ref="O31:S31"/>
    <mergeCell ref="C36:E36"/>
    <mergeCell ref="C33:E33"/>
    <mergeCell ref="C34:E34"/>
    <mergeCell ref="C35:E35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drawing r:id="rId7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="70" zoomScaleNormal="70" workbookViewId="0"/>
  </sheetViews>
  <sheetFormatPr defaultRowHeight="12.75" x14ac:dyDescent="0.2"/>
  <cols>
    <col min="1" max="1" width="1.7109375" style="2" customWidth="1"/>
    <col min="2" max="2" width="3.42578125" style="2" customWidth="1"/>
    <col min="3" max="3" width="4.140625" style="2" customWidth="1"/>
    <col min="4" max="6" width="4.7109375" style="2" customWidth="1"/>
    <col min="7" max="7" width="11.5703125" style="2" customWidth="1"/>
    <col min="8" max="8" width="1.28515625" style="2" customWidth="1"/>
    <col min="9" max="9" width="5" style="2" customWidth="1"/>
    <col min="10" max="10" width="12.5703125" style="2" customWidth="1"/>
    <col min="11" max="11" width="2.28515625" style="2" customWidth="1"/>
    <col min="12" max="12" width="9" style="2" customWidth="1"/>
    <col min="13" max="13" width="28.140625" style="2" customWidth="1"/>
    <col min="14" max="14" width="10.7109375" style="2" customWidth="1"/>
    <col min="15" max="15" width="13.42578125" style="2" bestFit="1" customWidth="1"/>
    <col min="16" max="16" width="11.7109375" style="2" bestFit="1" customWidth="1"/>
    <col min="17" max="17" width="10.28515625" style="2" customWidth="1"/>
    <col min="18" max="16384" width="9.140625" style="2"/>
  </cols>
  <sheetData>
    <row r="1" spans="1:15" ht="18.75" customHeight="1" x14ac:dyDescent="0.25">
      <c r="O1" s="10"/>
    </row>
    <row r="2" spans="1:15" ht="15.95" customHeight="1" x14ac:dyDescent="0.25">
      <c r="B2" s="10" t="s">
        <v>707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O2" s="10"/>
    </row>
    <row r="3" spans="1:15" ht="5.0999999999999996" customHeight="1" x14ac:dyDescent="0.25">
      <c r="B3" s="1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O3" s="10"/>
    </row>
    <row r="4" spans="1:15" s="10" customFormat="1" ht="15.95" customHeight="1" x14ac:dyDescent="0.25">
      <c r="B4" s="11" t="s">
        <v>758</v>
      </c>
      <c r="C4" s="363" t="s">
        <v>870</v>
      </c>
      <c r="D4" s="363"/>
      <c r="E4" s="363"/>
      <c r="F4" s="363"/>
      <c r="G4" s="363"/>
      <c r="H4" s="363"/>
      <c r="I4" s="363"/>
      <c r="J4" s="363"/>
      <c r="K4" s="363"/>
      <c r="L4" s="363"/>
      <c r="M4" s="363"/>
    </row>
    <row r="5" spans="1:15" s="10" customFormat="1" ht="15.95" customHeight="1" x14ac:dyDescent="0.25">
      <c r="C5" s="363" t="s">
        <v>763</v>
      </c>
      <c r="D5" s="363"/>
      <c r="E5" s="363"/>
      <c r="F5" s="363"/>
      <c r="G5" s="363"/>
      <c r="H5" s="363"/>
      <c r="I5" s="363"/>
      <c r="J5" s="363"/>
      <c r="K5" s="363"/>
      <c r="L5" s="363"/>
      <c r="M5" s="363"/>
    </row>
    <row r="6" spans="1:15" s="10" customFormat="1" ht="15.95" customHeight="1" x14ac:dyDescent="0.25">
      <c r="C6" s="372" t="s">
        <v>871</v>
      </c>
      <c r="D6" s="372"/>
      <c r="E6" s="372"/>
      <c r="F6" s="372"/>
      <c r="G6" s="372"/>
      <c r="H6" s="372"/>
      <c r="I6" s="372"/>
      <c r="J6" s="372"/>
      <c r="K6" s="372"/>
      <c r="L6" s="372"/>
      <c r="M6" s="372"/>
    </row>
    <row r="7" spans="1:15" s="10" customFormat="1" ht="5.0999999999999996" customHeight="1" x14ac:dyDescent="0.25"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</row>
    <row r="8" spans="1:15" s="10" customFormat="1" ht="15.95" customHeight="1" x14ac:dyDescent="0.25">
      <c r="C8" s="357" t="s">
        <v>1490</v>
      </c>
      <c r="D8" s="357"/>
      <c r="E8" s="357"/>
      <c r="F8" s="357"/>
      <c r="G8" s="357"/>
      <c r="H8" s="357"/>
      <c r="I8" s="357"/>
      <c r="J8" s="357"/>
      <c r="K8" s="357"/>
      <c r="L8" s="357"/>
      <c r="M8" s="357"/>
    </row>
    <row r="9" spans="1:15" s="10" customFormat="1" ht="15.95" customHeight="1" x14ac:dyDescent="0.25">
      <c r="C9" s="10" t="s">
        <v>872</v>
      </c>
    </row>
    <row r="10" spans="1:15" s="10" customFormat="1" ht="15.95" customHeight="1" x14ac:dyDescent="0.25">
      <c r="A10" s="10" t="s">
        <v>337</v>
      </c>
      <c r="C10" s="70" t="s">
        <v>1493</v>
      </c>
    </row>
    <row r="11" spans="1:15" s="10" customFormat="1" ht="15.95" customHeight="1" x14ac:dyDescent="0.25">
      <c r="A11" s="10" t="s">
        <v>337</v>
      </c>
      <c r="C11" s="70" t="s">
        <v>873</v>
      </c>
    </row>
    <row r="12" spans="1:15" s="10" customFormat="1" ht="15.95" customHeight="1" x14ac:dyDescent="0.25">
      <c r="A12" s="10" t="s">
        <v>337</v>
      </c>
      <c r="C12" s="70" t="s">
        <v>1494</v>
      </c>
    </row>
    <row r="13" spans="1:15" s="10" customFormat="1" ht="15.95" customHeight="1" x14ac:dyDescent="0.25">
      <c r="A13" s="10" t="s">
        <v>337</v>
      </c>
      <c r="C13" s="70" t="s">
        <v>874</v>
      </c>
    </row>
    <row r="14" spans="1:15" s="10" customFormat="1" ht="15.95" customHeight="1" x14ac:dyDescent="0.25">
      <c r="C14" s="165" t="s">
        <v>875</v>
      </c>
    </row>
    <row r="15" spans="1:15" s="10" customFormat="1" ht="20.100000000000001" customHeight="1" x14ac:dyDescent="0.25">
      <c r="C15" s="10" t="s">
        <v>403</v>
      </c>
    </row>
    <row r="16" spans="1:15" s="10" customFormat="1" ht="15.95" customHeight="1" x14ac:dyDescent="0.25">
      <c r="A16" s="10" t="s">
        <v>337</v>
      </c>
      <c r="C16" s="70" t="s">
        <v>876</v>
      </c>
      <c r="J16" s="68"/>
    </row>
    <row r="17" spans="1:14" s="10" customFormat="1" ht="15.95" customHeight="1" x14ac:dyDescent="0.25">
      <c r="C17" s="70" t="s">
        <v>877</v>
      </c>
      <c r="J17" s="68"/>
    </row>
    <row r="18" spans="1:14" s="10" customFormat="1" ht="15.95" customHeight="1" x14ac:dyDescent="0.25">
      <c r="A18" s="10" t="s">
        <v>337</v>
      </c>
      <c r="C18" s="70" t="s">
        <v>878</v>
      </c>
    </row>
    <row r="19" spans="1:14" s="10" customFormat="1" ht="15.95" customHeight="1" x14ac:dyDescent="0.25">
      <c r="C19" s="165" t="s">
        <v>605</v>
      </c>
    </row>
    <row r="20" spans="1:14" s="10" customFormat="1" ht="20.100000000000001" customHeight="1" x14ac:dyDescent="0.25">
      <c r="C20" s="16" t="s">
        <v>488</v>
      </c>
      <c r="D20" s="16"/>
      <c r="G20" s="68"/>
    </row>
    <row r="21" spans="1:14" s="10" customFormat="1" ht="15.95" customHeight="1" x14ac:dyDescent="0.25">
      <c r="C21" s="70" t="s">
        <v>879</v>
      </c>
      <c r="G21" s="68"/>
    </row>
    <row r="22" spans="1:14" s="10" customFormat="1" ht="15.95" customHeight="1" x14ac:dyDescent="0.25">
      <c r="C22" s="16" t="s">
        <v>745</v>
      </c>
      <c r="D22" s="16"/>
      <c r="E22" s="16"/>
      <c r="F22" s="16"/>
      <c r="G22" s="16"/>
      <c r="H22" s="16"/>
      <c r="I22" s="16"/>
      <c r="J22" s="16"/>
      <c r="K22" s="16"/>
    </row>
    <row r="23" spans="1:14" s="10" customFormat="1" ht="5.0999999999999996" customHeight="1" x14ac:dyDescent="0.25">
      <c r="C23" s="16"/>
      <c r="D23" s="16"/>
      <c r="E23" s="16"/>
      <c r="F23" s="16"/>
      <c r="G23" s="16"/>
      <c r="H23" s="16"/>
      <c r="I23" s="16"/>
      <c r="J23" s="16"/>
      <c r="K23" s="16"/>
    </row>
    <row r="24" spans="1:14" s="10" customFormat="1" ht="15.95" customHeight="1" x14ac:dyDescent="0.25">
      <c r="C24" s="357" t="s">
        <v>771</v>
      </c>
      <c r="D24" s="357"/>
      <c r="E24" s="357"/>
      <c r="F24" s="357"/>
      <c r="G24" s="357"/>
      <c r="H24" s="357"/>
      <c r="I24" s="357"/>
      <c r="J24" s="357"/>
      <c r="K24" s="357"/>
      <c r="L24" s="357"/>
      <c r="M24" s="357"/>
      <c r="N24" s="68"/>
    </row>
    <row r="25" spans="1:14" s="10" customFormat="1" ht="15.95" customHeight="1" x14ac:dyDescent="0.25">
      <c r="C25" s="10" t="s">
        <v>880</v>
      </c>
    </row>
    <row r="26" spans="1:14" s="10" customFormat="1" ht="15.95" customHeight="1" x14ac:dyDescent="0.25">
      <c r="A26" s="10" t="s">
        <v>337</v>
      </c>
      <c r="C26" s="70" t="s">
        <v>881</v>
      </c>
    </row>
    <row r="27" spans="1:14" s="10" customFormat="1" ht="15.95" customHeight="1" x14ac:dyDescent="0.25">
      <c r="A27" s="10" t="s">
        <v>337</v>
      </c>
      <c r="C27" s="165" t="s">
        <v>882</v>
      </c>
    </row>
    <row r="28" spans="1:14" s="10" customFormat="1" ht="15.95" customHeight="1" x14ac:dyDescent="0.25">
      <c r="A28" s="10" t="s">
        <v>337</v>
      </c>
      <c r="C28" s="165" t="s">
        <v>883</v>
      </c>
    </row>
    <row r="29" spans="1:14" s="10" customFormat="1" ht="15.95" customHeight="1" x14ac:dyDescent="0.25">
      <c r="A29" s="10" t="s">
        <v>337</v>
      </c>
      <c r="C29" s="165" t="s">
        <v>884</v>
      </c>
    </row>
    <row r="30" spans="1:14" s="10" customFormat="1" ht="15.95" customHeight="1" x14ac:dyDescent="0.25">
      <c r="C30" s="166" t="s">
        <v>885</v>
      </c>
    </row>
    <row r="31" spans="1:14" s="10" customFormat="1" ht="20.100000000000001" customHeight="1" x14ac:dyDescent="0.25">
      <c r="A31" s="10" t="s">
        <v>337</v>
      </c>
      <c r="C31" s="70" t="s">
        <v>886</v>
      </c>
    </row>
    <row r="32" spans="1:14" s="10" customFormat="1" ht="15.95" customHeight="1" x14ac:dyDescent="0.25">
      <c r="A32" s="10" t="s">
        <v>337</v>
      </c>
      <c r="C32" s="165" t="s">
        <v>887</v>
      </c>
    </row>
    <row r="33" spans="1:7" s="10" customFormat="1" ht="15.95" customHeight="1" x14ac:dyDescent="0.25">
      <c r="A33" s="10" t="s">
        <v>337</v>
      </c>
      <c r="C33" s="165" t="s">
        <v>888</v>
      </c>
    </row>
    <row r="34" spans="1:7" s="10" customFormat="1" ht="15.95" customHeight="1" x14ac:dyDescent="0.25">
      <c r="C34" s="166" t="s">
        <v>889</v>
      </c>
      <c r="E34" s="69"/>
    </row>
    <row r="35" spans="1:7" s="10" customFormat="1" ht="15.95" customHeight="1" x14ac:dyDescent="0.25">
      <c r="C35" s="179" t="s">
        <v>747</v>
      </c>
      <c r="E35" s="69"/>
    </row>
    <row r="36" spans="1:7" s="10" customFormat="1" ht="20.100000000000001" customHeight="1" x14ac:dyDescent="0.25">
      <c r="C36" s="10" t="s">
        <v>1590</v>
      </c>
    </row>
    <row r="37" spans="1:7" s="10" customFormat="1" ht="15.95" customHeight="1" x14ac:dyDescent="0.25">
      <c r="A37" s="10" t="s">
        <v>337</v>
      </c>
      <c r="C37" s="70" t="s">
        <v>1496</v>
      </c>
    </row>
    <row r="38" spans="1:7" s="10" customFormat="1" ht="15.95" customHeight="1" x14ac:dyDescent="0.25">
      <c r="C38" s="70" t="s">
        <v>1497</v>
      </c>
      <c r="G38" s="68"/>
    </row>
    <row r="39" spans="1:7" s="10" customFormat="1" ht="15.95" customHeight="1" x14ac:dyDescent="0.25">
      <c r="C39" s="165" t="s">
        <v>741</v>
      </c>
    </row>
    <row r="40" spans="1:7" s="10" customFormat="1" ht="15.95" customHeight="1" x14ac:dyDescent="0.25">
      <c r="C40" s="10" t="s">
        <v>739</v>
      </c>
    </row>
    <row r="41" spans="1:7" ht="4.5" customHeight="1" x14ac:dyDescent="0.2"/>
    <row r="42" spans="1:7" ht="15.95" customHeight="1" x14ac:dyDescent="0.25">
      <c r="B42" s="11" t="s">
        <v>759</v>
      </c>
      <c r="C42" s="10" t="s">
        <v>740</v>
      </c>
    </row>
    <row r="43" spans="1:7" ht="15.95" customHeight="1" x14ac:dyDescent="0.25">
      <c r="B43" s="11"/>
      <c r="C43" s="10" t="s">
        <v>890</v>
      </c>
    </row>
    <row r="44" spans="1:7" ht="15.95" customHeight="1" x14ac:dyDescent="0.25">
      <c r="C44" s="10" t="s">
        <v>891</v>
      </c>
    </row>
    <row r="45" spans="1:7" ht="15.95" customHeight="1" x14ac:dyDescent="0.25">
      <c r="C45" s="10" t="s">
        <v>892</v>
      </c>
    </row>
    <row r="46" spans="1:7" ht="15.95" customHeight="1" x14ac:dyDescent="0.25">
      <c r="C46" s="10" t="s">
        <v>1247</v>
      </c>
    </row>
    <row r="47" spans="1:7" ht="15.95" customHeight="1" x14ac:dyDescent="0.25">
      <c r="C47" s="10" t="s">
        <v>893</v>
      </c>
    </row>
    <row r="48" spans="1:7" ht="15.95" customHeight="1" x14ac:dyDescent="0.25">
      <c r="C48" s="10" t="s">
        <v>894</v>
      </c>
    </row>
    <row r="49" ht="5.0999999999999996" customHeight="1" x14ac:dyDescent="0.2"/>
    <row r="50" ht="15.95" customHeight="1" x14ac:dyDescent="0.2"/>
    <row r="51" ht="15.95" customHeight="1" x14ac:dyDescent="0.2"/>
    <row r="52" ht="15.95" customHeight="1" x14ac:dyDescent="0.2"/>
    <row r="53" ht="15.95" customHeight="1" x14ac:dyDescent="0.2"/>
    <row r="54" ht="15.95" customHeight="1" x14ac:dyDescent="0.2"/>
    <row r="55" ht="15.95" customHeight="1" x14ac:dyDescent="0.2"/>
    <row r="56" ht="15.95" customHeight="1" x14ac:dyDescent="0.2"/>
    <row r="57" ht="15.95" customHeight="1" x14ac:dyDescent="0.2"/>
  </sheetData>
  <customSheetViews>
    <customSheetView guid="{B2DDA8C4-3089-41F7-BA6E-A0E09596A2CA}" scale="85" showPageBreaks="1" fitToPage="1" printArea="1">
      <pageMargins left="0.75" right="1" top="0.85" bottom="0.8" header="0.5" footer="0.35"/>
      <printOptions horizontalCentered="1"/>
      <pageSetup scale="93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90" showPageBreaks="1" fitToPage="1" printArea="1"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90" fitToPage="1"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5" showPageBreaks="1" fitToPage="1" printArea="1">
      <pageMargins left="0.75" right="1" top="0.85" bottom="0.8" header="0.5" footer="0.35"/>
      <printOptions horizontalCentered="1"/>
      <pageSetup scale="92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5" fitToPage="1" showRuler="0">
      <pageMargins left="0.75" right="1" top="0.85" bottom="0.8" header="0.5" footer="0.35"/>
      <printOptions horizontalCentered="1"/>
      <pageSetup scale="93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6">
    <mergeCell ref="C7:M7"/>
    <mergeCell ref="C24:M24"/>
    <mergeCell ref="C4:M4"/>
    <mergeCell ref="C5:M5"/>
    <mergeCell ref="C6:M6"/>
    <mergeCell ref="C8:M8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drawing r:id="rId7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61"/>
  <sheetViews>
    <sheetView zoomScale="55" zoomScaleNormal="55" workbookViewId="0">
      <selection activeCell="B1" sqref="B1"/>
    </sheetView>
  </sheetViews>
  <sheetFormatPr defaultRowHeight="15.75" x14ac:dyDescent="0.25"/>
  <cols>
    <col min="1" max="1" width="1.7109375" style="10" customWidth="1"/>
    <col min="2" max="3" width="4.7109375" style="10" customWidth="1"/>
    <col min="4" max="5" width="4.28515625" style="10" customWidth="1"/>
    <col min="6" max="6" width="4.7109375" style="10" customWidth="1"/>
    <col min="7" max="7" width="5.42578125" style="10" customWidth="1"/>
    <col min="8" max="8" width="10.140625" style="10" customWidth="1"/>
    <col min="9" max="9" width="30" style="10" customWidth="1"/>
    <col min="10" max="10" width="2.42578125" style="10" customWidth="1"/>
    <col min="11" max="11" width="10" style="10" customWidth="1"/>
    <col min="12" max="12" width="10.28515625" style="10" customWidth="1"/>
    <col min="13" max="13" width="2.7109375" style="10" customWidth="1"/>
    <col min="14" max="14" width="10.7109375" style="10" customWidth="1"/>
    <col min="15" max="15" width="2.7109375" style="313" customWidth="1"/>
    <col min="16" max="16" width="10.7109375" style="402" hidden="1" customWidth="1"/>
    <col min="17" max="17" width="2.7109375" style="402" hidden="1" customWidth="1"/>
    <col min="18" max="18" width="10.7109375" style="402" hidden="1" customWidth="1"/>
    <col min="19" max="19" width="2.7109375" style="402" hidden="1" customWidth="1"/>
    <col min="20" max="20" width="0" style="402" hidden="1" customWidth="1"/>
    <col min="21" max="21" width="10.42578125" style="402" hidden="1" customWidth="1"/>
    <col min="22" max="22" width="9.85546875" style="402" hidden="1" customWidth="1"/>
    <col min="23" max="25" width="9.140625" style="313"/>
    <col min="26" max="16384" width="9.140625" style="10"/>
  </cols>
  <sheetData>
    <row r="1" spans="2:21" ht="28.5" customHeight="1" x14ac:dyDescent="0.25"/>
    <row r="2" spans="2:21" ht="15.95" customHeight="1" x14ac:dyDescent="0.25">
      <c r="B2" s="10" t="s">
        <v>715</v>
      </c>
    </row>
    <row r="3" spans="2:21" ht="15.95" customHeight="1" x14ac:dyDescent="0.25">
      <c r="B3" s="11" t="s">
        <v>758</v>
      </c>
      <c r="C3" s="10" t="s">
        <v>1328</v>
      </c>
      <c r="S3" s="407"/>
      <c r="U3" s="405" t="s">
        <v>1671</v>
      </c>
    </row>
    <row r="4" spans="2:21" ht="15.95" customHeight="1" x14ac:dyDescent="0.25">
      <c r="B4" s="11"/>
      <c r="C4" s="10" t="s">
        <v>1327</v>
      </c>
      <c r="P4" s="407"/>
      <c r="Q4" s="407"/>
      <c r="R4" s="412" t="s">
        <v>793</v>
      </c>
      <c r="S4" s="407"/>
      <c r="T4" s="407"/>
    </row>
    <row r="5" spans="2:21" ht="5.0999999999999996" customHeight="1" x14ac:dyDescent="0.25">
      <c r="B5" s="11"/>
    </row>
    <row r="6" spans="2:21" ht="15.95" customHeight="1" x14ac:dyDescent="0.25">
      <c r="C6" s="16" t="s">
        <v>55</v>
      </c>
      <c r="D6" s="10" t="str">
        <f>CONCATENATE("There are 17 months of prepaid rent ","(",TEXT(P6,"$#,##0"),Q6,TEXT(R6,"$#,##0"),"). Dunn should include ")</f>
        <v xml:space="preserve">There are 17 months of prepaid rent ($8,500 / $500). Dunn should include </v>
      </c>
      <c r="P6" s="410">
        <f>R39</f>
        <v>8500</v>
      </c>
      <c r="Q6" s="410" t="s">
        <v>1314</v>
      </c>
      <c r="R6" s="410">
        <f>$V$30</f>
        <v>500</v>
      </c>
      <c r="S6" s="410" t="s">
        <v>1587</v>
      </c>
      <c r="T6" s="410">
        <f>SUM(P6/R6)</f>
        <v>17</v>
      </c>
    </row>
    <row r="7" spans="2:21" ht="15.95" customHeight="1" x14ac:dyDescent="0.25">
      <c r="C7" s="16"/>
      <c r="D7" s="10" t="str">
        <f>CONCATENATE(TEXT(T7,"$#,##0")," (",P7," months",Q7,TEXT(R7,"$#,##0")," per month) as a current asset and ",TEXT(T8,"$#,##0")," (the",)</f>
        <v>$6,000 (12 months × $500 per month) as a current asset and $2,500 (the</v>
      </c>
      <c r="P7" s="410">
        <f>V39</f>
        <v>12</v>
      </c>
      <c r="Q7" s="410" t="s">
        <v>785</v>
      </c>
      <c r="R7" s="410">
        <f>$V$30</f>
        <v>500</v>
      </c>
      <c r="S7" s="410" t="s">
        <v>1587</v>
      </c>
      <c r="T7" s="410">
        <f>SUM(P7*R7)</f>
        <v>6000</v>
      </c>
    </row>
    <row r="8" spans="2:21" ht="15.95" customHeight="1" x14ac:dyDescent="0.25">
      <c r="C8" s="16"/>
      <c r="D8" s="10" t="str">
        <f>CONCATENATE("(remaining ",P8," months",Q8,TEXT(R8,"$#,##0")," per month) as a long-term asset.")</f>
        <v>(remaining 5 months × $500 per month) as a long-term asset.</v>
      </c>
      <c r="P8" s="410">
        <f>SUM(T6-P7)</f>
        <v>5</v>
      </c>
      <c r="Q8" s="410" t="s">
        <v>785</v>
      </c>
      <c r="R8" s="410">
        <f>$V$30</f>
        <v>500</v>
      </c>
      <c r="S8" s="410" t="s">
        <v>1587</v>
      </c>
      <c r="T8" s="410">
        <f>SUM(P8*R8)</f>
        <v>2500</v>
      </c>
    </row>
    <row r="9" spans="2:21" ht="5.0999999999999996" customHeight="1" x14ac:dyDescent="0.25">
      <c r="C9" s="16"/>
    </row>
    <row r="10" spans="2:21" ht="15.95" customHeight="1" x14ac:dyDescent="0.25">
      <c r="C10" s="16" t="s">
        <v>58</v>
      </c>
      <c r="D10" s="10" t="str">
        <f>CONCATENATE("The ",TEXT(P10,"$#,##0")," is a current liability.")</f>
        <v>The $9,700 is a current liability.</v>
      </c>
      <c r="P10" s="410">
        <f>R43</f>
        <v>9700</v>
      </c>
    </row>
    <row r="11" spans="2:21" ht="5.0999999999999996" customHeight="1" x14ac:dyDescent="0.25">
      <c r="C11" s="16"/>
    </row>
    <row r="12" spans="2:21" ht="15.95" customHeight="1" x14ac:dyDescent="0.25">
      <c r="C12" s="16" t="s">
        <v>60</v>
      </c>
      <c r="D12" s="10" t="s">
        <v>895</v>
      </c>
      <c r="Q12" s="412" t="s">
        <v>809</v>
      </c>
    </row>
    <row r="13" spans="2:21" ht="15.95" customHeight="1" x14ac:dyDescent="0.25">
      <c r="C13" s="16"/>
      <c r="D13" s="10" t="str">
        <f>CONCATENATE(TEXT(P13,"$#,##0")," is a current asset.")</f>
        <v>$46,230 is a current asset.</v>
      </c>
      <c r="P13" s="410">
        <f>R38</f>
        <v>46230</v>
      </c>
      <c r="T13" s="422"/>
    </row>
    <row r="14" spans="2:21" ht="5.0999999999999996" customHeight="1" x14ac:dyDescent="0.25">
      <c r="C14" s="16"/>
      <c r="T14" s="422"/>
    </row>
    <row r="15" spans="2:21" ht="15.95" customHeight="1" x14ac:dyDescent="0.25">
      <c r="C15" s="16" t="s">
        <v>67</v>
      </c>
      <c r="D15" s="10" t="str">
        <f>CONCATENATE("The ",TEXT(P15,"$#,##0")," portion of marketable securities is a current asset. The remaining")</f>
        <v>The $700 portion of marketable securities is a current asset. The remaining</v>
      </c>
      <c r="P15" s="410">
        <f>R36</f>
        <v>700</v>
      </c>
      <c r="T15" s="422"/>
    </row>
    <row r="16" spans="2:21" ht="15.95" customHeight="1" x14ac:dyDescent="0.25">
      <c r="C16" s="16"/>
      <c r="D16" s="10" t="str">
        <f>CONCATENATE(TEXT(T16,"$#,##0")," is a long-term investment.")</f>
        <v>$1,200 is a long-term investment.</v>
      </c>
      <c r="P16" s="410">
        <f>V35</f>
        <v>1900</v>
      </c>
      <c r="Q16" s="410" t="s">
        <v>1589</v>
      </c>
      <c r="R16" s="410">
        <f>P15</f>
        <v>700</v>
      </c>
      <c r="S16" s="410" t="s">
        <v>1587</v>
      </c>
      <c r="T16" s="410">
        <f>SUM(P16-R16)</f>
        <v>1200</v>
      </c>
    </row>
    <row r="17" spans="2:23" ht="5.0999999999999996" customHeight="1" x14ac:dyDescent="0.25">
      <c r="C17" s="16"/>
      <c r="T17" s="422"/>
    </row>
    <row r="18" spans="2:23" ht="15.95" customHeight="1" x14ac:dyDescent="0.25">
      <c r="C18" s="16" t="s">
        <v>70</v>
      </c>
      <c r="D18" s="10" t="str">
        <f>CONCATENATE("The ",TEXT(P18,"$#,##0")," of cash is a current asset.")</f>
        <v>The $1,050 of cash is a current asset.</v>
      </c>
      <c r="P18" s="410">
        <f>R35</f>
        <v>1050</v>
      </c>
      <c r="T18" s="422"/>
    </row>
    <row r="19" spans="2:23" ht="5.0999999999999996" customHeight="1" x14ac:dyDescent="0.25">
      <c r="C19" s="16"/>
      <c r="T19" s="422"/>
    </row>
    <row r="20" spans="2:23" ht="15.95" customHeight="1" x14ac:dyDescent="0.25">
      <c r="C20" s="16" t="s">
        <v>754</v>
      </c>
      <c r="D20" s="71" t="str">
        <f>CONCATENATE("The ",TEXT(P20,"$#,##0")," note due in March 2018 is a long-term liability. The ",TEXT(R20,"$#,##0"),)</f>
        <v>The $60,000 note due in March 2018 is a long-term liability. The $3,750</v>
      </c>
      <c r="P20" s="410">
        <f>V31</f>
        <v>60000</v>
      </c>
      <c r="R20" s="410">
        <f>R44</f>
        <v>3750</v>
      </c>
      <c r="T20" s="422"/>
    </row>
    <row r="21" spans="2:23" ht="15.95" customHeight="1" x14ac:dyDescent="0.25">
      <c r="C21" s="16"/>
      <c r="D21" s="71" t="str">
        <f>CONCATENATE("interest related to 2013 is a current liability. The remaining interest of ",TEXT(R21,"$#,##0"),)</f>
        <v>interest related to 2013 is a current liability. The remaining interest of $750</v>
      </c>
      <c r="R21" s="410">
        <f>V28</f>
        <v>750</v>
      </c>
    </row>
    <row r="22" spans="2:23" ht="15.95" customHeight="1" x14ac:dyDescent="0.25">
      <c r="C22" s="16"/>
      <c r="D22" s="10" t="s">
        <v>1157</v>
      </c>
    </row>
    <row r="23" spans="2:23" ht="15.95" customHeight="1" x14ac:dyDescent="0.25">
      <c r="C23" s="16"/>
      <c r="D23" s="71" t="s">
        <v>702</v>
      </c>
    </row>
    <row r="24" spans="2:23" ht="5.0999999999999996" customHeight="1" x14ac:dyDescent="0.25">
      <c r="C24" s="16"/>
      <c r="D24" s="71"/>
    </row>
    <row r="25" spans="2:23" ht="15.95" customHeight="1" x14ac:dyDescent="0.25">
      <c r="B25" s="16"/>
      <c r="C25" s="16" t="s">
        <v>755</v>
      </c>
      <c r="D25" s="10" t="str">
        <f>CONCATENATE("The entire ",TEXT(P25,"$#,##0")," is a current asset.")</f>
        <v>The entire $2,850 is a current asset.</v>
      </c>
      <c r="P25" s="410">
        <f>R37</f>
        <v>2850</v>
      </c>
    </row>
    <row r="26" spans="2:23" ht="5.0999999999999996" customHeight="1" x14ac:dyDescent="0.25">
      <c r="B26" s="16"/>
      <c r="C26" s="16"/>
    </row>
    <row r="27" spans="2:23" ht="15.95" customHeight="1" x14ac:dyDescent="0.25">
      <c r="B27" s="16"/>
      <c r="C27" s="16" t="s">
        <v>756</v>
      </c>
      <c r="D27" s="10" t="s">
        <v>896</v>
      </c>
      <c r="R27" s="407"/>
      <c r="U27" s="423" t="s">
        <v>808</v>
      </c>
      <c r="W27" s="218"/>
    </row>
    <row r="28" spans="2:23" ht="15.95" customHeight="1" x14ac:dyDescent="0.25">
      <c r="B28" s="16"/>
      <c r="D28" s="10" t="s">
        <v>489</v>
      </c>
      <c r="U28" s="405" t="s">
        <v>791</v>
      </c>
      <c r="V28" s="409">
        <v>750</v>
      </c>
      <c r="W28" s="218"/>
    </row>
    <row r="29" spans="2:23" ht="5.0999999999999996" customHeight="1" x14ac:dyDescent="0.25">
      <c r="B29" s="16"/>
      <c r="D29" s="39"/>
      <c r="E29" s="39"/>
      <c r="F29" s="39"/>
      <c r="G29" s="39"/>
      <c r="H29" s="39"/>
      <c r="I29" s="39"/>
      <c r="J29" s="39"/>
      <c r="K29" s="39"/>
      <c r="L29" s="39"/>
      <c r="W29" s="218"/>
    </row>
    <row r="30" spans="2:23" ht="15.95" customHeight="1" x14ac:dyDescent="0.25">
      <c r="C30" s="13"/>
      <c r="D30" s="359" t="s">
        <v>897</v>
      </c>
      <c r="E30" s="360"/>
      <c r="F30" s="360"/>
      <c r="G30" s="360"/>
      <c r="H30" s="360"/>
      <c r="I30" s="360"/>
      <c r="J30" s="360"/>
      <c r="K30" s="360"/>
      <c r="L30" s="361"/>
      <c r="U30" s="405" t="s">
        <v>784</v>
      </c>
      <c r="V30" s="409">
        <v>500</v>
      </c>
      <c r="W30" s="218"/>
    </row>
    <row r="31" spans="2:23" ht="15.95" customHeight="1" x14ac:dyDescent="0.25">
      <c r="C31" s="13"/>
      <c r="D31" s="362" t="s">
        <v>898</v>
      </c>
      <c r="E31" s="363"/>
      <c r="F31" s="363"/>
      <c r="G31" s="363"/>
      <c r="H31" s="363"/>
      <c r="I31" s="363"/>
      <c r="J31" s="363"/>
      <c r="K31" s="363"/>
      <c r="L31" s="364"/>
      <c r="U31" s="405" t="s">
        <v>786</v>
      </c>
      <c r="V31" s="409">
        <v>60000</v>
      </c>
      <c r="W31" s="218"/>
    </row>
    <row r="32" spans="2:23" ht="15.95" customHeight="1" x14ac:dyDescent="0.25">
      <c r="C32" s="72"/>
      <c r="D32" s="374">
        <v>41639</v>
      </c>
      <c r="E32" s="375"/>
      <c r="F32" s="375"/>
      <c r="G32" s="375"/>
      <c r="H32" s="375"/>
      <c r="I32" s="375"/>
      <c r="J32" s="375"/>
      <c r="K32" s="375"/>
      <c r="L32" s="376"/>
      <c r="U32" s="405" t="s">
        <v>361</v>
      </c>
      <c r="V32" s="409">
        <v>4500</v>
      </c>
      <c r="W32" s="218"/>
    </row>
    <row r="33" spans="2:23" ht="5.0999999999999996" customHeight="1" x14ac:dyDescent="0.25">
      <c r="W33" s="218"/>
    </row>
    <row r="34" spans="2:23" ht="15.95" customHeight="1" x14ac:dyDescent="0.25">
      <c r="D34" s="12" t="s">
        <v>872</v>
      </c>
      <c r="U34" s="405" t="s">
        <v>788</v>
      </c>
      <c r="V34" s="409">
        <v>38000</v>
      </c>
      <c r="W34" s="218"/>
    </row>
    <row r="35" spans="2:23" ht="15.95" customHeight="1" x14ac:dyDescent="0.25">
      <c r="D35" s="69" t="s">
        <v>901</v>
      </c>
      <c r="J35" s="10" t="s">
        <v>337</v>
      </c>
      <c r="K35" s="64">
        <f>R35</f>
        <v>1050</v>
      </c>
      <c r="Q35" s="405" t="s">
        <v>363</v>
      </c>
      <c r="R35" s="409">
        <v>1050</v>
      </c>
      <c r="U35" s="405" t="s">
        <v>806</v>
      </c>
      <c r="V35" s="409">
        <v>1900</v>
      </c>
      <c r="W35" s="218"/>
    </row>
    <row r="36" spans="2:23" ht="15.95" customHeight="1" x14ac:dyDescent="0.25">
      <c r="D36" s="69" t="s">
        <v>902</v>
      </c>
      <c r="J36" s="10" t="s">
        <v>337</v>
      </c>
      <c r="K36" s="42">
        <f>R36</f>
        <v>700</v>
      </c>
      <c r="Q36" s="405" t="s">
        <v>807</v>
      </c>
      <c r="R36" s="409">
        <v>700</v>
      </c>
      <c r="U36" s="405" t="s">
        <v>790</v>
      </c>
      <c r="V36" s="409">
        <v>9200</v>
      </c>
      <c r="W36" s="218"/>
    </row>
    <row r="37" spans="2:23" ht="15.95" customHeight="1" x14ac:dyDescent="0.25">
      <c r="D37" s="69" t="s">
        <v>903</v>
      </c>
      <c r="J37" s="10" t="s">
        <v>337</v>
      </c>
      <c r="K37" s="42">
        <f>R37</f>
        <v>2850</v>
      </c>
      <c r="Q37" s="405" t="s">
        <v>792</v>
      </c>
      <c r="R37" s="409">
        <v>2850</v>
      </c>
      <c r="U37" s="405" t="s">
        <v>905</v>
      </c>
      <c r="V37" s="409">
        <v>1250</v>
      </c>
      <c r="W37" s="218"/>
    </row>
    <row r="38" spans="2:23" ht="15.95" customHeight="1" x14ac:dyDescent="0.25">
      <c r="D38" s="69" t="s">
        <v>360</v>
      </c>
      <c r="J38" s="10" t="s">
        <v>337</v>
      </c>
      <c r="K38" s="42">
        <f>R38</f>
        <v>46230</v>
      </c>
      <c r="Q38" s="405" t="s">
        <v>900</v>
      </c>
      <c r="R38" s="409">
        <v>46230</v>
      </c>
      <c r="U38" s="405" t="s">
        <v>575</v>
      </c>
      <c r="V38" s="409">
        <v>17</v>
      </c>
      <c r="W38" s="218"/>
    </row>
    <row r="39" spans="2:23" ht="15.95" customHeight="1" x14ac:dyDescent="0.25">
      <c r="D39" s="69" t="s">
        <v>362</v>
      </c>
      <c r="J39" s="10" t="s">
        <v>337</v>
      </c>
      <c r="K39" s="43">
        <f>12*V30</f>
        <v>6000</v>
      </c>
      <c r="Q39" s="405" t="s">
        <v>783</v>
      </c>
      <c r="R39" s="409">
        <v>8500</v>
      </c>
      <c r="U39" s="405"/>
      <c r="V39" s="409">
        <v>12</v>
      </c>
      <c r="W39" s="218"/>
    </row>
    <row r="40" spans="2:23" ht="15.95" customHeight="1" x14ac:dyDescent="0.25">
      <c r="D40" s="158" t="s">
        <v>1549</v>
      </c>
      <c r="J40" s="10" t="s">
        <v>337</v>
      </c>
      <c r="K40" s="26" t="s">
        <v>337</v>
      </c>
      <c r="L40" s="125">
        <f>SUM(K35:K39)</f>
        <v>56830</v>
      </c>
      <c r="W40" s="218"/>
    </row>
    <row r="41" spans="2:23" ht="5.0999999999999996" customHeight="1" x14ac:dyDescent="0.25">
      <c r="D41" s="158"/>
      <c r="K41" s="26"/>
      <c r="L41" s="125"/>
      <c r="W41" s="218"/>
    </row>
    <row r="42" spans="2:23" ht="15.95" customHeight="1" x14ac:dyDescent="0.25">
      <c r="D42" s="10" t="s">
        <v>881</v>
      </c>
      <c r="K42" s="26"/>
      <c r="L42" s="26"/>
      <c r="W42" s="218"/>
    </row>
    <row r="43" spans="2:23" ht="15.95" customHeight="1" x14ac:dyDescent="0.25">
      <c r="D43" s="69" t="s">
        <v>364</v>
      </c>
      <c r="J43" s="10" t="s">
        <v>337</v>
      </c>
      <c r="K43" s="64">
        <f>R43</f>
        <v>9700</v>
      </c>
      <c r="L43" s="26"/>
      <c r="Q43" s="405" t="s">
        <v>787</v>
      </c>
      <c r="R43" s="409">
        <v>9700</v>
      </c>
      <c r="W43" s="218"/>
    </row>
    <row r="44" spans="2:23" ht="15.95" customHeight="1" x14ac:dyDescent="0.25">
      <c r="D44" s="69" t="s">
        <v>573</v>
      </c>
      <c r="J44" s="10" t="s">
        <v>337</v>
      </c>
      <c r="K44" s="43">
        <f>10/12*V32</f>
        <v>3750</v>
      </c>
      <c r="L44" s="26"/>
      <c r="Q44" s="405" t="s">
        <v>789</v>
      </c>
      <c r="R44" s="409">
        <v>3750</v>
      </c>
      <c r="U44" s="405"/>
      <c r="W44" s="218"/>
    </row>
    <row r="45" spans="2:23" ht="15.95" customHeight="1" x14ac:dyDescent="0.25">
      <c r="D45" s="158" t="s">
        <v>574</v>
      </c>
      <c r="F45" s="69"/>
      <c r="J45" s="10" t="s">
        <v>337</v>
      </c>
      <c r="K45" s="26" t="s">
        <v>337</v>
      </c>
      <c r="L45" s="125">
        <f>SUM(K43:K44)</f>
        <v>13450</v>
      </c>
      <c r="W45" s="218"/>
    </row>
    <row r="46" spans="2:23" ht="9.9499999999999993" customHeight="1" x14ac:dyDescent="0.25">
      <c r="L46" s="26"/>
      <c r="W46" s="218"/>
    </row>
    <row r="47" spans="2:23" ht="15.95" customHeight="1" x14ac:dyDescent="0.25">
      <c r="B47" s="11" t="s">
        <v>759</v>
      </c>
      <c r="C47" s="377" t="s">
        <v>365</v>
      </c>
      <c r="D47" s="377"/>
      <c r="E47" s="377"/>
      <c r="F47" s="377"/>
      <c r="G47" s="14" t="s">
        <v>111</v>
      </c>
      <c r="H47" s="10" t="s">
        <v>366</v>
      </c>
      <c r="Q47" s="412" t="s">
        <v>794</v>
      </c>
      <c r="W47" s="218"/>
    </row>
    <row r="48" spans="2:23" ht="15.95" customHeight="1" x14ac:dyDescent="0.25">
      <c r="G48" s="14" t="s">
        <v>111</v>
      </c>
      <c r="H48" s="16" t="str">
        <f>CONCATENATE(TEXT(P48,"$#,##0"),Q48,TEXT(R48,"$#,##0"),)</f>
        <v>$56,830 – $13,450</v>
      </c>
      <c r="P48" s="410">
        <f>L40</f>
        <v>56830</v>
      </c>
      <c r="Q48" s="410" t="s">
        <v>1589</v>
      </c>
      <c r="R48" s="410">
        <f>L45</f>
        <v>13450</v>
      </c>
      <c r="S48" s="410" t="s">
        <v>1587</v>
      </c>
      <c r="T48" s="410">
        <f>SUM(P48-R48)</f>
        <v>43380</v>
      </c>
      <c r="W48" s="218"/>
    </row>
    <row r="49" spans="3:23" ht="15.95" customHeight="1" thickBot="1" x14ac:dyDescent="0.3">
      <c r="G49" s="14" t="s">
        <v>111</v>
      </c>
      <c r="H49" s="282">
        <f>T48</f>
        <v>43380</v>
      </c>
      <c r="R49" s="402" t="s">
        <v>337</v>
      </c>
      <c r="W49" s="218"/>
    </row>
    <row r="50" spans="3:23" ht="5.0999999999999996" customHeight="1" thickTop="1" x14ac:dyDescent="0.25"/>
    <row r="51" spans="3:23" ht="15.95" customHeight="1" x14ac:dyDescent="0.25">
      <c r="C51" s="373" t="s">
        <v>367</v>
      </c>
      <c r="D51" s="373"/>
      <c r="E51" s="373"/>
      <c r="F51" s="373"/>
      <c r="G51" s="14" t="s">
        <v>111</v>
      </c>
      <c r="H51" s="10" t="s">
        <v>1315</v>
      </c>
      <c r="Q51" s="412" t="s">
        <v>794</v>
      </c>
    </row>
    <row r="52" spans="3:23" ht="15.95" customHeight="1" x14ac:dyDescent="0.25">
      <c r="G52" s="14" t="s">
        <v>111</v>
      </c>
      <c r="H52" s="16" t="str">
        <f>CONCATENATE(TEXT(P52,"$#,##0"),Q52,TEXT(R52,"$#,##0"),)</f>
        <v>$56,830 / $13,450</v>
      </c>
      <c r="P52" s="410">
        <f>L40</f>
        <v>56830</v>
      </c>
      <c r="Q52" s="410" t="s">
        <v>1314</v>
      </c>
      <c r="R52" s="410">
        <f>L45</f>
        <v>13450</v>
      </c>
      <c r="S52" s="410" t="s">
        <v>1587</v>
      </c>
      <c r="T52" s="424">
        <f>SUM(P52/R52)</f>
        <v>4.2252788104089216</v>
      </c>
    </row>
    <row r="53" spans="3:23" ht="15.95" customHeight="1" thickBot="1" x14ac:dyDescent="0.3">
      <c r="G53" s="14" t="s">
        <v>111</v>
      </c>
      <c r="H53" s="284">
        <f>T52</f>
        <v>4.2252788104089216</v>
      </c>
    </row>
    <row r="54" spans="3:23" ht="5.0999999999999996" customHeight="1" thickTop="1" x14ac:dyDescent="0.25"/>
    <row r="55" spans="3:23" ht="15.95" customHeight="1" x14ac:dyDescent="0.25"/>
    <row r="56" spans="3:23" ht="15.95" customHeight="1" x14ac:dyDescent="0.25"/>
    <row r="57" spans="3:23" ht="15.95" customHeight="1" x14ac:dyDescent="0.25"/>
    <row r="58" spans="3:23" ht="15.95" customHeight="1" x14ac:dyDescent="0.25"/>
    <row r="59" spans="3:23" ht="15.95" customHeight="1" x14ac:dyDescent="0.25"/>
    <row r="60" spans="3:23" ht="15.95" customHeight="1" x14ac:dyDescent="0.25"/>
    <row r="61" spans="3:23" ht="15.95" customHeight="1" x14ac:dyDescent="0.25"/>
  </sheetData>
  <customSheetViews>
    <customSheetView guid="{B2DDA8C4-3089-41F7-BA6E-A0E09596A2CA}" scale="70" showPageBreaks="1" fitToPage="1" printArea="1">
      <selection activeCell="C47" sqref="C47:F47"/>
      <pageMargins left="1" right="0.75" top="0.85" bottom="0.8" header="0.5" footer="0.35"/>
      <printOptions horizontalCentered="1"/>
      <pageSetup scale="87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37">
      <selection activeCell="I52" sqref="I52"/>
      <pageMargins left="1" right="0.75" top="0.85" bottom="0.8" header="0.5" footer="0.35"/>
      <printOptions horizontalCentered="1"/>
      <pageSetup scale="86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1" right="0.75" top="0.85" bottom="0.8" header="0.5" footer="0.35"/>
      <printOptions horizontalCentered="1"/>
      <pageSetup scale="86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selection activeCell="C47" sqref="C47:F47"/>
      <pageMargins left="1" right="0.75" top="0.85" bottom="0.8" header="0.5" footer="0.35"/>
      <printOptions horizontalCentered="1"/>
      <pageSetup scale="86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selection activeCell="C47" sqref="C47:F47"/>
      <pageMargins left="1" right="0.75" top="0.85" bottom="0.8" header="0.5" footer="0.35"/>
      <printOptions horizontalCentered="1"/>
      <pageSetup scale="87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5">
    <mergeCell ref="C51:F51"/>
    <mergeCell ref="D30:L30"/>
    <mergeCell ref="D31:L31"/>
    <mergeCell ref="D32:L32"/>
    <mergeCell ref="C47:F47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drawing r:id="rId7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8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2" width="3.85546875" style="2" customWidth="1"/>
    <col min="3" max="4" width="4.7109375" style="2" customWidth="1"/>
    <col min="5" max="5" width="3.7109375" style="2" customWidth="1"/>
    <col min="6" max="7" width="4.7109375" style="2" customWidth="1"/>
    <col min="8" max="8" width="12.7109375" style="2" customWidth="1"/>
    <col min="9" max="9" width="15" style="2" customWidth="1"/>
    <col min="10" max="10" width="8.5703125" style="2" customWidth="1"/>
    <col min="11" max="11" width="1.7109375" style="2" customWidth="1"/>
    <col min="12" max="12" width="11.140625" style="2" customWidth="1"/>
    <col min="13" max="13" width="2.7109375" style="2" customWidth="1"/>
    <col min="14" max="14" width="12.140625" style="2" customWidth="1"/>
    <col min="15" max="15" width="2.7109375" style="2" customWidth="1"/>
    <col min="16" max="16" width="8.7109375" style="312" customWidth="1"/>
    <col min="17" max="17" width="2.7109375" style="407" hidden="1" customWidth="1"/>
    <col min="18" max="18" width="8.7109375" style="407" hidden="1" customWidth="1"/>
    <col min="19" max="19" width="2.7109375" style="407" hidden="1" customWidth="1"/>
    <col min="20" max="20" width="8.7109375" style="407" hidden="1" customWidth="1"/>
    <col min="21" max="21" width="2.7109375" style="407" hidden="1" customWidth="1"/>
    <col min="22" max="22" width="10.7109375" style="407" hidden="1" customWidth="1"/>
    <col min="23" max="23" width="2.7109375" style="312" customWidth="1"/>
    <col min="24" max="24" width="8.7109375" style="2" customWidth="1"/>
    <col min="25" max="25" width="2.7109375" style="2" customWidth="1"/>
    <col min="26" max="26" width="9.140625" style="2"/>
    <col min="27" max="27" width="2.7109375" style="2" customWidth="1"/>
    <col min="28" max="28" width="9.140625" style="2"/>
    <col min="29" max="29" width="2.7109375" style="2" customWidth="1"/>
    <col min="30" max="16384" width="9.140625" style="2"/>
  </cols>
  <sheetData>
    <row r="1" spans="1:27" ht="28.5" customHeight="1" x14ac:dyDescent="0.2"/>
    <row r="2" spans="1:27" ht="15.75" customHeight="1" x14ac:dyDescent="0.25">
      <c r="B2" s="10" t="s">
        <v>1248</v>
      </c>
    </row>
    <row r="3" spans="1:27" s="10" customFormat="1" ht="15.95" customHeight="1" x14ac:dyDescent="0.25">
      <c r="B3" s="11" t="s">
        <v>760</v>
      </c>
      <c r="C3" s="71" t="s">
        <v>742</v>
      </c>
      <c r="P3" s="313"/>
      <c r="Q3" s="402"/>
      <c r="R3" s="402"/>
      <c r="S3" s="402"/>
      <c r="T3" s="402"/>
      <c r="U3" s="402"/>
      <c r="V3" s="402"/>
      <c r="W3" s="313"/>
    </row>
    <row r="4" spans="1:27" s="10" customFormat="1" ht="15.95" customHeight="1" x14ac:dyDescent="0.25">
      <c r="C4" s="71" t="s">
        <v>368</v>
      </c>
      <c r="P4" s="313"/>
      <c r="Q4" s="402"/>
      <c r="R4" s="402"/>
      <c r="S4" s="402"/>
      <c r="T4" s="402"/>
      <c r="U4" s="402"/>
      <c r="V4" s="402"/>
      <c r="W4" s="313"/>
    </row>
    <row r="5" spans="1:27" s="10" customFormat="1" ht="15.95" customHeight="1" x14ac:dyDescent="0.25">
      <c r="C5" s="71" t="s">
        <v>369</v>
      </c>
      <c r="P5" s="313"/>
      <c r="Q5" s="402"/>
      <c r="R5" s="402"/>
      <c r="S5" s="402"/>
      <c r="T5" s="402"/>
      <c r="U5" s="402"/>
      <c r="V5" s="402"/>
      <c r="W5" s="313"/>
    </row>
    <row r="6" spans="1:27" s="10" customFormat="1" ht="15.95" customHeight="1" x14ac:dyDescent="0.25">
      <c r="C6" s="10" t="s">
        <v>370</v>
      </c>
      <c r="P6" s="313"/>
      <c r="Q6" s="402"/>
      <c r="R6" s="402"/>
      <c r="S6" s="402"/>
      <c r="T6" s="402"/>
      <c r="U6" s="402"/>
      <c r="V6" s="402"/>
      <c r="W6" s="313"/>
    </row>
    <row r="7" spans="1:27" s="10" customFormat="1" ht="15.95" customHeight="1" x14ac:dyDescent="0.25">
      <c r="C7" s="10" t="s">
        <v>371</v>
      </c>
      <c r="P7" s="313"/>
      <c r="Q7" s="402"/>
      <c r="R7" s="402"/>
      <c r="S7" s="402"/>
      <c r="T7" s="402"/>
      <c r="U7" s="402"/>
      <c r="V7" s="402"/>
      <c r="W7" s="313"/>
    </row>
    <row r="8" spans="1:27" s="10" customFormat="1" ht="15.95" customHeight="1" x14ac:dyDescent="0.25">
      <c r="C8" s="10" t="s">
        <v>372</v>
      </c>
      <c r="P8" s="313"/>
      <c r="Q8" s="402"/>
      <c r="R8" s="402"/>
      <c r="S8" s="402"/>
      <c r="T8" s="402"/>
      <c r="U8" s="402"/>
      <c r="V8" s="402"/>
      <c r="W8" s="313"/>
    </row>
    <row r="9" spans="1:27" s="10" customFormat="1" ht="15.95" customHeight="1" x14ac:dyDescent="0.25">
      <c r="P9" s="313"/>
      <c r="Q9" s="402"/>
      <c r="R9" s="402"/>
      <c r="S9" s="402"/>
      <c r="T9" s="402"/>
      <c r="U9" s="402"/>
      <c r="V9" s="402"/>
      <c r="W9" s="218"/>
      <c r="X9" s="26"/>
      <c r="Y9" s="26"/>
      <c r="Z9" s="26"/>
      <c r="AA9" s="26"/>
    </row>
    <row r="10" spans="1:27" ht="15.95" customHeight="1" x14ac:dyDescent="0.25">
      <c r="B10" s="10" t="s">
        <v>684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W10" s="218"/>
      <c r="X10" s="26"/>
      <c r="Y10" s="26"/>
      <c r="Z10" s="26"/>
      <c r="AA10" s="48"/>
    </row>
    <row r="11" spans="1:27" ht="5.0999999999999996" customHeight="1" x14ac:dyDescent="0.25">
      <c r="B11" s="1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W11" s="218"/>
      <c r="X11" s="26"/>
      <c r="Y11" s="26"/>
      <c r="Z11" s="26"/>
      <c r="AA11" s="48"/>
    </row>
    <row r="12" spans="1:27" s="73" customFormat="1" ht="15.95" customHeight="1" x14ac:dyDescent="0.25">
      <c r="B12" s="11" t="s">
        <v>758</v>
      </c>
      <c r="C12" s="378" t="s">
        <v>373</v>
      </c>
      <c r="D12" s="378"/>
      <c r="E12" s="378"/>
      <c r="F12" s="378"/>
      <c r="G12" s="378"/>
      <c r="H12" s="378"/>
      <c r="I12" s="378"/>
      <c r="J12" s="378"/>
      <c r="K12" s="378"/>
      <c r="L12" s="378"/>
      <c r="M12" s="378"/>
      <c r="N12" s="378"/>
      <c r="P12" s="312"/>
      <c r="Q12" s="407"/>
      <c r="R12" s="407"/>
      <c r="S12" s="407"/>
      <c r="T12" s="407"/>
      <c r="U12" s="407"/>
      <c r="V12" s="407"/>
      <c r="W12" s="314"/>
      <c r="X12" s="20"/>
      <c r="Y12" s="20"/>
      <c r="AA12" s="74"/>
    </row>
    <row r="13" spans="1:27" s="73" customFormat="1" ht="15.95" customHeight="1" x14ac:dyDescent="0.25">
      <c r="A13" s="10"/>
      <c r="C13" s="378" t="s">
        <v>898</v>
      </c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378"/>
      <c r="P13" s="312"/>
      <c r="Q13" s="407"/>
      <c r="R13" s="407"/>
      <c r="S13" s="407"/>
      <c r="T13" s="407"/>
      <c r="U13" s="407"/>
      <c r="V13" s="407"/>
      <c r="W13" s="312"/>
      <c r="AA13" s="74"/>
    </row>
    <row r="14" spans="1:27" s="73" customFormat="1" ht="15.95" customHeight="1" x14ac:dyDescent="0.25">
      <c r="A14" s="10"/>
      <c r="C14" s="375">
        <v>41639</v>
      </c>
      <c r="D14" s="375"/>
      <c r="E14" s="375"/>
      <c r="F14" s="375"/>
      <c r="G14" s="375"/>
      <c r="H14" s="375"/>
      <c r="I14" s="375"/>
      <c r="J14" s="375"/>
      <c r="K14" s="375"/>
      <c r="L14" s="375"/>
      <c r="M14" s="375"/>
      <c r="N14" s="375"/>
      <c r="P14" s="312"/>
      <c r="Q14" s="407"/>
      <c r="R14" s="407"/>
      <c r="S14" s="407"/>
      <c r="T14" s="407"/>
      <c r="U14" s="407"/>
      <c r="V14" s="407"/>
      <c r="W14" s="312"/>
      <c r="AA14" s="74"/>
    </row>
    <row r="15" spans="1:27" s="73" customFormat="1" ht="5.0999999999999996" customHeight="1" x14ac:dyDescent="0.25">
      <c r="A15" s="10"/>
      <c r="C15" s="10"/>
      <c r="D15" s="10"/>
      <c r="E15" s="10"/>
      <c r="F15" s="10"/>
      <c r="G15" s="10"/>
      <c r="H15" s="10"/>
      <c r="P15" s="312"/>
      <c r="Q15" s="407"/>
      <c r="R15" s="407"/>
      <c r="S15" s="407"/>
      <c r="T15" s="425"/>
      <c r="U15" s="407"/>
      <c r="V15" s="407"/>
      <c r="W15" s="312"/>
      <c r="AA15" s="74"/>
    </row>
    <row r="16" spans="1:27" s="73" customFormat="1" ht="15.95" customHeight="1" x14ac:dyDescent="0.25">
      <c r="A16" s="10"/>
      <c r="C16" s="10" t="s">
        <v>872</v>
      </c>
      <c r="D16" s="10"/>
      <c r="E16" s="10"/>
      <c r="F16" s="10"/>
      <c r="G16" s="10"/>
      <c r="H16" s="10"/>
      <c r="P16" s="312"/>
      <c r="Q16" s="407"/>
      <c r="R16" s="407"/>
      <c r="S16" s="407"/>
      <c r="T16" s="425" t="s">
        <v>1682</v>
      </c>
      <c r="U16" s="407"/>
      <c r="V16" s="407"/>
      <c r="W16" s="312"/>
      <c r="AA16" s="74"/>
    </row>
    <row r="17" spans="1:27" s="73" customFormat="1" ht="15.95" customHeight="1" x14ac:dyDescent="0.25">
      <c r="A17" s="10"/>
      <c r="C17" s="69" t="s">
        <v>579</v>
      </c>
      <c r="D17" s="126"/>
      <c r="G17" s="10"/>
      <c r="H17" s="10"/>
      <c r="K17" s="73" t="s">
        <v>337</v>
      </c>
      <c r="L17" s="293">
        <f>T17</f>
        <v>1380</v>
      </c>
      <c r="M17" s="74"/>
      <c r="P17" s="312"/>
      <c r="Q17" s="407"/>
      <c r="R17" s="407"/>
      <c r="S17" s="405" t="s">
        <v>363</v>
      </c>
      <c r="T17" s="409">
        <v>1380</v>
      </c>
      <c r="U17" s="407"/>
      <c r="V17" s="407"/>
      <c r="W17" s="312"/>
      <c r="AA17" s="74"/>
    </row>
    <row r="18" spans="1:27" s="73" customFormat="1" ht="15.95" customHeight="1" x14ac:dyDescent="0.25">
      <c r="A18" s="10"/>
      <c r="C18" s="69" t="s">
        <v>580</v>
      </c>
      <c r="D18" s="126"/>
      <c r="G18" s="10"/>
      <c r="H18" s="10"/>
      <c r="K18" s="73" t="s">
        <v>337</v>
      </c>
      <c r="L18" s="42">
        <f>T18</f>
        <v>7000</v>
      </c>
      <c r="M18" s="74"/>
      <c r="P18" s="312"/>
      <c r="Q18" s="407"/>
      <c r="R18" s="407"/>
      <c r="S18" s="405" t="s">
        <v>377</v>
      </c>
      <c r="T18" s="409">
        <v>7000</v>
      </c>
      <c r="U18" s="407"/>
      <c r="V18" s="407"/>
      <c r="W18" s="312"/>
      <c r="AA18" s="74"/>
    </row>
    <row r="19" spans="1:27" s="73" customFormat="1" ht="15.95" customHeight="1" x14ac:dyDescent="0.25">
      <c r="A19" s="10"/>
      <c r="C19" s="69" t="s">
        <v>581</v>
      </c>
      <c r="D19" s="126"/>
      <c r="G19" s="10"/>
      <c r="H19" s="10"/>
      <c r="K19" s="73" t="s">
        <v>337</v>
      </c>
      <c r="L19" s="42">
        <f>T19</f>
        <v>1500</v>
      </c>
      <c r="M19" s="74"/>
      <c r="P19" s="312"/>
      <c r="Q19" s="407"/>
      <c r="R19" s="407"/>
      <c r="S19" s="405" t="s">
        <v>374</v>
      </c>
      <c r="T19" s="409">
        <v>1500</v>
      </c>
      <c r="U19" s="407"/>
      <c r="V19" s="407"/>
      <c r="W19" s="312"/>
      <c r="AA19" s="74"/>
    </row>
    <row r="20" spans="1:27" s="73" customFormat="1" ht="15.95" customHeight="1" x14ac:dyDescent="0.25">
      <c r="A20" s="10"/>
      <c r="C20" s="127" t="s">
        <v>582</v>
      </c>
      <c r="D20" s="126"/>
      <c r="G20" s="10"/>
      <c r="H20" s="10"/>
      <c r="K20" s="73" t="s">
        <v>337</v>
      </c>
      <c r="L20" s="43">
        <f>T20</f>
        <v>6200</v>
      </c>
      <c r="M20" s="74"/>
      <c r="P20" s="312"/>
      <c r="Q20" s="407"/>
      <c r="R20" s="407"/>
      <c r="S20" s="405" t="s">
        <v>375</v>
      </c>
      <c r="T20" s="409">
        <v>6200</v>
      </c>
      <c r="U20" s="407"/>
      <c r="V20" s="407"/>
      <c r="W20" s="316"/>
      <c r="X20" s="48"/>
      <c r="AA20" s="74"/>
    </row>
    <row r="21" spans="1:27" s="73" customFormat="1" ht="15.95" customHeight="1" x14ac:dyDescent="0.25">
      <c r="A21" s="10"/>
      <c r="C21" s="158" t="s">
        <v>1550</v>
      </c>
      <c r="D21" s="126"/>
      <c r="G21" s="10"/>
      <c r="H21" s="10"/>
      <c r="K21" s="73" t="s">
        <v>337</v>
      </c>
      <c r="M21" s="74"/>
      <c r="N21" s="45">
        <f>SUM(L17:L20)</f>
        <v>16080</v>
      </c>
      <c r="P21" s="312"/>
      <c r="Q21" s="407"/>
      <c r="R21" s="407"/>
      <c r="S21" s="407"/>
      <c r="T21" s="407"/>
      <c r="U21" s="407"/>
      <c r="V21" s="407"/>
      <c r="W21" s="316"/>
      <c r="X21" s="48"/>
      <c r="Y21" s="48"/>
      <c r="Z21" s="48"/>
      <c r="AA21" s="74"/>
    </row>
    <row r="22" spans="1:27" s="73" customFormat="1" ht="5.0999999999999996" customHeight="1" x14ac:dyDescent="0.25">
      <c r="A22" s="10"/>
      <c r="B22" s="10"/>
      <c r="C22" s="10"/>
      <c r="D22" s="10"/>
      <c r="E22" s="10"/>
      <c r="F22" s="10"/>
      <c r="G22" s="10"/>
      <c r="H22" s="10"/>
      <c r="M22" s="74"/>
      <c r="N22" s="26"/>
      <c r="P22" s="312"/>
      <c r="Q22" s="407"/>
      <c r="R22" s="407"/>
      <c r="S22" s="407"/>
      <c r="T22" s="407"/>
      <c r="U22" s="407"/>
      <c r="V22" s="407"/>
      <c r="W22" s="218"/>
      <c r="X22" s="26"/>
      <c r="Y22" s="26"/>
      <c r="Z22" s="26"/>
      <c r="AA22" s="74"/>
    </row>
    <row r="23" spans="1:27" s="73" customFormat="1" ht="15.95" customHeight="1" x14ac:dyDescent="0.25">
      <c r="A23" s="10"/>
      <c r="C23" s="10" t="s">
        <v>881</v>
      </c>
      <c r="D23" s="10"/>
      <c r="E23" s="10"/>
      <c r="F23" s="10"/>
      <c r="G23" s="10"/>
      <c r="H23" s="10"/>
      <c r="M23" s="74"/>
      <c r="N23" s="26"/>
      <c r="P23" s="312"/>
      <c r="Q23" s="407"/>
      <c r="R23" s="407"/>
      <c r="S23" s="407"/>
      <c r="T23" s="407"/>
      <c r="U23" s="407"/>
      <c r="V23" s="407"/>
      <c r="W23" s="218"/>
      <c r="X23" s="26"/>
      <c r="Y23" s="26"/>
      <c r="Z23" s="26"/>
      <c r="AA23" s="74"/>
    </row>
    <row r="24" spans="1:27" s="73" customFormat="1" ht="15.95" customHeight="1" x14ac:dyDescent="0.25">
      <c r="C24" s="69" t="s">
        <v>364</v>
      </c>
      <c r="D24" s="126"/>
      <c r="G24" s="10"/>
      <c r="H24" s="10"/>
      <c r="K24" s="73" t="s">
        <v>337</v>
      </c>
      <c r="L24" s="294">
        <f>T24</f>
        <v>2100</v>
      </c>
      <c r="M24" s="74"/>
      <c r="P24" s="312"/>
      <c r="Q24" s="407"/>
      <c r="R24" s="407"/>
      <c r="S24" s="405" t="s">
        <v>899</v>
      </c>
      <c r="T24" s="409">
        <v>2100</v>
      </c>
      <c r="U24" s="407"/>
      <c r="V24" s="407"/>
      <c r="W24" s="312"/>
      <c r="X24" s="2"/>
      <c r="Y24" s="2"/>
      <c r="Z24" s="2"/>
    </row>
    <row r="25" spans="1:27" ht="15.95" customHeight="1" x14ac:dyDescent="0.25">
      <c r="C25" s="69" t="s">
        <v>583</v>
      </c>
      <c r="D25" s="126"/>
      <c r="E25" s="73"/>
      <c r="F25" s="73"/>
      <c r="G25" s="10"/>
      <c r="H25" s="10"/>
      <c r="I25" s="73"/>
      <c r="J25" s="73"/>
      <c r="K25" s="73" t="s">
        <v>337</v>
      </c>
      <c r="L25" s="43">
        <f>T25</f>
        <v>6800</v>
      </c>
      <c r="M25" s="74"/>
      <c r="S25" s="405" t="s">
        <v>376</v>
      </c>
      <c r="T25" s="409">
        <v>6800</v>
      </c>
    </row>
    <row r="26" spans="1:27" ht="15.95" customHeight="1" x14ac:dyDescent="0.25">
      <c r="C26" s="158" t="s">
        <v>1551</v>
      </c>
      <c r="D26" s="126"/>
      <c r="E26" s="73"/>
      <c r="F26" s="73"/>
      <c r="G26" s="10"/>
      <c r="H26" s="10"/>
      <c r="I26" s="73"/>
      <c r="J26" s="73"/>
      <c r="K26" s="73" t="s">
        <v>337</v>
      </c>
      <c r="L26" s="73"/>
      <c r="M26" s="74"/>
      <c r="N26" s="64">
        <f>SUM(L24:L25)</f>
        <v>8900</v>
      </c>
    </row>
    <row r="27" spans="1:27" s="10" customFormat="1" ht="5.0999999999999996" customHeight="1" x14ac:dyDescent="0.25">
      <c r="I27" s="73"/>
      <c r="J27" s="73"/>
      <c r="K27" s="73"/>
      <c r="L27" s="73"/>
      <c r="M27" s="74"/>
      <c r="N27" s="74"/>
      <c r="P27" s="313"/>
      <c r="Q27" s="402"/>
      <c r="R27" s="402"/>
      <c r="S27" s="402"/>
      <c r="T27" s="402"/>
      <c r="U27" s="402"/>
      <c r="V27" s="402"/>
      <c r="W27" s="312"/>
      <c r="X27" s="2"/>
      <c r="Y27" s="2"/>
      <c r="Z27" s="2"/>
    </row>
    <row r="28" spans="1:27" s="10" customFormat="1" ht="15.95" customHeight="1" x14ac:dyDescent="0.25">
      <c r="C28" s="71" t="str">
        <f>CONCATENATE("The accounts receivable of ",TEXT(T28,"$#,##0")," due in 18 months will be classified as a long-")</f>
        <v>The accounts receivable of $5,000 due in 18 months will be classified as a long-</v>
      </c>
      <c r="I28" s="73"/>
      <c r="J28" s="73"/>
      <c r="K28" s="73"/>
      <c r="L28" s="73"/>
      <c r="M28" s="74"/>
      <c r="N28" s="74"/>
      <c r="P28" s="313"/>
      <c r="Q28" s="402"/>
      <c r="R28" s="402"/>
      <c r="S28" s="405" t="s">
        <v>795</v>
      </c>
      <c r="T28" s="409">
        <v>5000</v>
      </c>
      <c r="U28" s="402"/>
      <c r="V28" s="402"/>
      <c r="W28" s="312"/>
      <c r="X28" s="2"/>
      <c r="Y28" s="2"/>
      <c r="Z28" s="2"/>
    </row>
    <row r="29" spans="1:27" s="10" customFormat="1" ht="15.95" customHeight="1" x14ac:dyDescent="0.25">
      <c r="C29" s="71" t="s">
        <v>378</v>
      </c>
      <c r="I29" s="73"/>
      <c r="J29" s="73"/>
      <c r="K29" s="73"/>
      <c r="L29" s="73"/>
      <c r="M29" s="74"/>
      <c r="N29" s="74"/>
      <c r="P29" s="313"/>
      <c r="Q29" s="402"/>
      <c r="R29" s="402"/>
      <c r="S29" s="402"/>
      <c r="T29" s="402"/>
      <c r="U29" s="402"/>
      <c r="V29" s="402"/>
      <c r="W29" s="312"/>
      <c r="X29" s="2"/>
      <c r="Y29" s="2"/>
      <c r="Z29" s="2"/>
    </row>
    <row r="30" spans="1:27" s="10" customFormat="1" ht="15.95" customHeight="1" x14ac:dyDescent="0.25">
      <c r="C30" s="71" t="s">
        <v>379</v>
      </c>
      <c r="I30" s="73"/>
      <c r="J30" s="73"/>
      <c r="K30" s="73"/>
      <c r="L30" s="73"/>
      <c r="M30" s="74"/>
      <c r="N30" s="74"/>
      <c r="P30" s="313"/>
      <c r="Q30" s="402"/>
      <c r="R30" s="402"/>
      <c r="S30" s="402"/>
      <c r="T30" s="402"/>
      <c r="U30" s="402"/>
      <c r="V30" s="402"/>
      <c r="W30" s="312"/>
      <c r="X30" s="2"/>
      <c r="Y30" s="2"/>
      <c r="Z30" s="2"/>
    </row>
    <row r="31" spans="1:27" s="10" customFormat="1" ht="9.9499999999999993" customHeight="1" x14ac:dyDescent="0.25">
      <c r="C31" s="71"/>
      <c r="I31" s="73"/>
      <c r="J31" s="73"/>
      <c r="K31" s="73"/>
      <c r="L31" s="73"/>
      <c r="M31" s="74"/>
      <c r="N31" s="74"/>
      <c r="P31" s="313"/>
      <c r="Q31" s="402"/>
      <c r="R31" s="402"/>
      <c r="S31" s="402"/>
      <c r="T31" s="402"/>
      <c r="U31" s="402"/>
      <c r="V31" s="402"/>
      <c r="W31" s="312"/>
      <c r="X31" s="2"/>
      <c r="Y31" s="2"/>
      <c r="Z31" s="2"/>
    </row>
    <row r="32" spans="1:27" s="10" customFormat="1" ht="15.95" customHeight="1" x14ac:dyDescent="0.25">
      <c r="B32" s="11" t="s">
        <v>759</v>
      </c>
      <c r="C32" s="121" t="s">
        <v>576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P32" s="313"/>
      <c r="Q32" s="402"/>
      <c r="R32" s="402"/>
      <c r="S32" s="412" t="s">
        <v>794</v>
      </c>
      <c r="T32" s="412"/>
      <c r="U32" s="407"/>
      <c r="V32" s="407"/>
      <c r="W32" s="313"/>
      <c r="Z32" s="2"/>
    </row>
    <row r="33" spans="3:22" ht="15.95" customHeight="1" x14ac:dyDescent="0.25">
      <c r="C33" s="71" t="str">
        <f>CONCATENATE("and working capital. Its current ratio is ",TEXT(V33,"#,##0.00")," (",TEXT(R33,"$#,##0"),S33,TEXT(T33,"$#,##0"),")"," and its working",)</f>
        <v>and working capital. Its current ratio is 1.81 ($16,080 / $8,900) and its working</v>
      </c>
      <c r="R33" s="410">
        <f>N21</f>
        <v>16080</v>
      </c>
      <c r="S33" s="410" t="s">
        <v>1314</v>
      </c>
      <c r="T33" s="410">
        <f>N26</f>
        <v>8900</v>
      </c>
      <c r="U33" s="410" t="s">
        <v>1587</v>
      </c>
      <c r="V33" s="424">
        <f>SUM(R33/T33)</f>
        <v>1.806741573033708</v>
      </c>
    </row>
    <row r="34" spans="3:22" ht="15.95" customHeight="1" x14ac:dyDescent="0.25">
      <c r="C34" s="10" t="str">
        <f>CONCATENATE("capital is ",TEXT(V34,"$#,##0")," (",TEXT(R34,"$#,##0"),S34,TEXT(T34,"$#,##0"),"). Because current assets well exceed the")</f>
        <v>capital is $7,180 ($16,080 – $8,900). Because current assets well exceed the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R34" s="410">
        <f>N21</f>
        <v>16080</v>
      </c>
      <c r="S34" s="410" t="s">
        <v>1589</v>
      </c>
      <c r="T34" s="410">
        <f>N26</f>
        <v>8900</v>
      </c>
      <c r="U34" s="410" t="s">
        <v>1587</v>
      </c>
      <c r="V34" s="410">
        <f>SUM(R34-T34)</f>
        <v>7180</v>
      </c>
    </row>
    <row r="35" spans="3:22" ht="15.95" customHeight="1" x14ac:dyDescent="0.25">
      <c r="C35" s="10" t="s">
        <v>577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3:22" ht="15.95" customHeight="1" x14ac:dyDescent="0.25">
      <c r="C36" s="10" t="s">
        <v>578</v>
      </c>
    </row>
    <row r="37" spans="3:22" ht="5.0999999999999996" customHeight="1" x14ac:dyDescent="0.2"/>
    <row r="38" spans="3:22" ht="15.95" customHeight="1" x14ac:dyDescent="0.2"/>
    <row r="39" spans="3:22" ht="15.95" customHeight="1" x14ac:dyDescent="0.2"/>
    <row r="40" spans="3:22" ht="15.95" customHeight="1" x14ac:dyDescent="0.2"/>
    <row r="41" spans="3:22" ht="15.95" customHeight="1" x14ac:dyDescent="0.2"/>
    <row r="42" spans="3:22" ht="15.95" customHeight="1" x14ac:dyDescent="0.2"/>
    <row r="43" spans="3:22" ht="15.95" customHeight="1" x14ac:dyDescent="0.2"/>
    <row r="44" spans="3:22" ht="15.95" customHeight="1" x14ac:dyDescent="0.2"/>
    <row r="45" spans="3:22" ht="15.95" customHeight="1" x14ac:dyDescent="0.2"/>
    <row r="46" spans="3:22" ht="15.95" customHeight="1" x14ac:dyDescent="0.2"/>
    <row r="47" spans="3:22" ht="15" customHeight="1" x14ac:dyDescent="0.2"/>
    <row r="48" spans="3:22" ht="15" customHeight="1" x14ac:dyDescent="0.2"/>
  </sheetData>
  <customSheetViews>
    <customSheetView guid="{B2DDA8C4-3089-41F7-BA6E-A0E09596A2CA}" scale="70" showPageBreaks="1" fitToPage="1" printArea="1">
      <pageMargins left="0.75" right="1" top="0.85" bottom="0.8" header="0.5" footer="0.35"/>
      <printOptions horizontalCentered="1"/>
      <pageSetup scale="91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pageMargins left="0.75" right="1" top="0.85" bottom="0.8" header="0.5" footer="0.35"/>
      <printOptions horizontalCentered="1"/>
      <pageSetup scale="90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pageMargins left="0.75" right="1" top="0.85" bottom="0.8" header="0.5" footer="0.35"/>
      <printOptions horizontalCentered="1"/>
      <pageSetup scale="90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pageMargins left="0.75" right="1" top="0.85" bottom="0.8" header="0.5" footer="0.35"/>
      <printOptions horizontalCentered="1"/>
      <pageSetup scale="91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">
    <mergeCell ref="C12:N12"/>
    <mergeCell ref="C13:N13"/>
    <mergeCell ref="C14:N14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2"/>
  <sheetViews>
    <sheetView showGridLines="0" zoomScale="70" zoomScaleNormal="70" workbookViewId="0">
      <selection activeCell="C2" sqref="C2"/>
    </sheetView>
  </sheetViews>
  <sheetFormatPr defaultRowHeight="12.75" x14ac:dyDescent="0.2"/>
  <cols>
    <col min="1" max="1" width="1.7109375" style="2" customWidth="1"/>
    <col min="2" max="4" width="4.7109375" style="2" customWidth="1"/>
    <col min="5" max="5" width="9.28515625" style="2" customWidth="1"/>
    <col min="6" max="6" width="10.28515625" style="2" customWidth="1"/>
    <col min="7" max="7" width="31.5703125" style="2" customWidth="1"/>
    <col min="8" max="8" width="1.42578125" style="2" customWidth="1"/>
    <col min="9" max="9" width="11.28515625" style="2" customWidth="1"/>
    <col min="10" max="10" width="2.85546875" style="2" customWidth="1"/>
    <col min="11" max="11" width="11.28515625" style="2" customWidth="1"/>
    <col min="12" max="12" width="2.7109375" style="2" customWidth="1"/>
    <col min="13" max="13" width="8.7109375" style="312" customWidth="1"/>
    <col min="14" max="14" width="2.7109375" style="312" customWidth="1"/>
    <col min="15" max="15" width="8.7109375" style="407" hidden="1" customWidth="1"/>
    <col min="16" max="16" width="2.7109375" style="407" hidden="1" customWidth="1"/>
    <col min="17" max="17" width="8.7109375" style="407" hidden="1" customWidth="1"/>
    <col min="18" max="18" width="2.7109375" style="407" hidden="1" customWidth="1"/>
    <col min="19" max="19" width="0" style="407" hidden="1" customWidth="1"/>
    <col min="20" max="20" width="9.140625" style="312"/>
    <col min="21" max="21" width="2.7109375" style="312" customWidth="1"/>
    <col min="22" max="22" width="9.140625" style="312"/>
    <col min="23" max="23" width="13.42578125" style="312" bestFit="1" customWidth="1"/>
    <col min="24" max="16384" width="9.140625" style="2"/>
  </cols>
  <sheetData>
    <row r="1" spans="2:24" ht="28.5" customHeight="1" x14ac:dyDescent="0.2"/>
    <row r="2" spans="2:24" ht="15.95" customHeight="1" x14ac:dyDescent="0.25">
      <c r="B2" s="10" t="s">
        <v>1081</v>
      </c>
      <c r="S2" s="402"/>
      <c r="T2" s="316"/>
      <c r="U2" s="316"/>
      <c r="V2" s="316"/>
      <c r="W2" s="316"/>
      <c r="X2" s="48"/>
    </row>
    <row r="3" spans="2:24" ht="15.95" customHeight="1" x14ac:dyDescent="0.25">
      <c r="B3" s="75" t="s">
        <v>1158</v>
      </c>
      <c r="S3" s="417" t="s">
        <v>1681</v>
      </c>
      <c r="T3" s="314"/>
      <c r="U3" s="218"/>
      <c r="V3" s="316"/>
      <c r="W3" s="316"/>
      <c r="X3" s="48"/>
    </row>
    <row r="4" spans="2:24" ht="15.95" customHeight="1" x14ac:dyDescent="0.25">
      <c r="B4" s="213" t="str">
        <f>CONCATENATE("cost of ",TEXT(S4,"$#,##0")," reduced by accumulated depreciation (a contra-asset) of")</f>
        <v>cost of $425,000 reduced by accumulated depreciation (a contra-asset) of</v>
      </c>
      <c r="R4" s="405" t="s">
        <v>381</v>
      </c>
      <c r="S4" s="409">
        <v>425000</v>
      </c>
      <c r="T4" s="314"/>
      <c r="U4" s="218"/>
      <c r="V4" s="316"/>
      <c r="W4" s="316"/>
      <c r="X4" s="48"/>
    </row>
    <row r="5" spans="2:24" ht="15.95" customHeight="1" x14ac:dyDescent="0.25">
      <c r="B5" s="214" t="str">
        <f>CONCATENATE(TEXT(S5,"$#,##0"),". Therefore, the net book value (or carrying value) of the equipment is")</f>
        <v>$40,000. Therefore, the net book value (or carrying value) of the equipment is</v>
      </c>
      <c r="R5" s="405" t="s">
        <v>382</v>
      </c>
      <c r="S5" s="409">
        <v>40000</v>
      </c>
      <c r="T5" s="314"/>
      <c r="U5" s="218"/>
      <c r="V5" s="316"/>
      <c r="W5" s="316"/>
      <c r="X5" s="48"/>
    </row>
    <row r="6" spans="2:24" ht="15.95" customHeight="1" x14ac:dyDescent="0.25">
      <c r="B6" s="291" t="str">
        <f>CONCATENATE(TEXT(S7,"$#,##0"),". (Note: The concepts of book value and carrying value will be covered")</f>
        <v>$385,000. (Note: The concepts of book value and carrying value will be covered</v>
      </c>
      <c r="C6" s="247"/>
      <c r="D6" s="247"/>
      <c r="E6" s="247"/>
      <c r="P6" s="412" t="s">
        <v>794</v>
      </c>
      <c r="T6" s="218"/>
      <c r="W6" s="316"/>
      <c r="X6" s="48"/>
    </row>
    <row r="7" spans="2:24" ht="15.95" customHeight="1" x14ac:dyDescent="0.25">
      <c r="B7" s="292" t="s">
        <v>810</v>
      </c>
      <c r="C7" s="247"/>
      <c r="D7" s="247"/>
      <c r="E7" s="247"/>
      <c r="O7" s="410">
        <f>S4</f>
        <v>425000</v>
      </c>
      <c r="P7" s="410" t="s">
        <v>1589</v>
      </c>
      <c r="Q7" s="410">
        <f>S5</f>
        <v>40000</v>
      </c>
      <c r="R7" s="410" t="s">
        <v>1587</v>
      </c>
      <c r="S7" s="410">
        <f>SUM(O7-Q7)</f>
        <v>385000</v>
      </c>
      <c r="T7" s="218"/>
      <c r="W7" s="316"/>
      <c r="X7" s="48"/>
    </row>
    <row r="8" spans="2:24" ht="15.95" customHeight="1" x14ac:dyDescent="0.25">
      <c r="B8" s="213" t="s">
        <v>811</v>
      </c>
      <c r="S8" s="402"/>
      <c r="T8" s="218"/>
      <c r="U8" s="218"/>
      <c r="V8" s="316"/>
      <c r="W8" s="316"/>
      <c r="X8" s="48"/>
    </row>
    <row r="9" spans="2:24" ht="15.95" customHeight="1" x14ac:dyDescent="0.25">
      <c r="B9" s="213" t="s">
        <v>383</v>
      </c>
      <c r="T9" s="316"/>
      <c r="U9" s="316"/>
      <c r="V9" s="316"/>
      <c r="W9" s="316"/>
      <c r="X9" s="48"/>
    </row>
    <row r="10" spans="2:24" ht="9.9499999999999993" customHeight="1" x14ac:dyDescent="0.25">
      <c r="B10" s="213"/>
      <c r="T10" s="316"/>
      <c r="U10" s="316"/>
      <c r="V10" s="316"/>
      <c r="W10" s="316"/>
      <c r="X10" s="48"/>
    </row>
    <row r="11" spans="2:24" ht="15.95" customHeight="1" x14ac:dyDescent="0.25">
      <c r="B11" s="213" t="str">
        <f>CONCATENATE("The 2013 income statement will show depreciation expense of ",TEXT(S5,"$#,##0"),". In a")</f>
        <v>The 2013 income statement will show depreciation expense of $40,000. In a</v>
      </c>
      <c r="S11" s="433"/>
      <c r="T11" s="316"/>
      <c r="U11" s="316"/>
      <c r="V11" s="316"/>
      <c r="W11" s="316"/>
      <c r="X11" s="48"/>
    </row>
    <row r="12" spans="2:24" ht="15.95" customHeight="1" x14ac:dyDescent="0.25">
      <c r="B12" s="213" t="s">
        <v>384</v>
      </c>
      <c r="T12" s="316"/>
      <c r="U12" s="316"/>
      <c r="V12" s="316"/>
      <c r="W12" s="316"/>
      <c r="X12" s="48"/>
    </row>
    <row r="13" spans="2:24" s="10" customFormat="1" ht="15.95" customHeight="1" x14ac:dyDescent="0.25">
      <c r="B13" s="213" t="s">
        <v>385</v>
      </c>
      <c r="M13" s="313"/>
      <c r="N13" s="313"/>
      <c r="O13" s="402"/>
      <c r="P13" s="402"/>
      <c r="Q13" s="402"/>
      <c r="R13" s="402"/>
      <c r="S13" s="402"/>
      <c r="T13" s="218"/>
      <c r="U13" s="218"/>
      <c r="V13" s="218"/>
      <c r="W13" s="218"/>
      <c r="X13" s="26"/>
    </row>
    <row r="14" spans="2:24" ht="15.95" customHeight="1" x14ac:dyDescent="0.2">
      <c r="T14" s="316"/>
      <c r="U14" s="316"/>
      <c r="V14" s="316"/>
      <c r="W14" s="316"/>
      <c r="X14" s="48"/>
    </row>
    <row r="15" spans="2:24" ht="15.95" customHeight="1" x14ac:dyDescent="0.25">
      <c r="B15" s="26" t="s">
        <v>1102</v>
      </c>
      <c r="C15" s="48"/>
      <c r="D15" s="48"/>
      <c r="E15" s="48"/>
      <c r="F15" s="48"/>
      <c r="G15" s="48"/>
      <c r="H15" s="48"/>
      <c r="I15" s="48"/>
      <c r="J15" s="48"/>
      <c r="K15" s="48"/>
      <c r="S15" s="402"/>
      <c r="T15" s="316"/>
      <c r="U15" s="316"/>
      <c r="V15" s="316"/>
      <c r="W15" s="316"/>
      <c r="X15" s="48"/>
    </row>
    <row r="16" spans="2:24" ht="5.0999999999999996" customHeight="1" x14ac:dyDescent="0.25">
      <c r="B16" s="26"/>
      <c r="C16" s="40"/>
      <c r="D16" s="40"/>
      <c r="E16" s="40"/>
      <c r="F16" s="40"/>
      <c r="G16" s="40"/>
      <c r="H16" s="40"/>
      <c r="I16" s="40"/>
      <c r="J16" s="40"/>
      <c r="K16" s="40"/>
      <c r="S16" s="402"/>
      <c r="T16" s="316"/>
      <c r="U16" s="316"/>
      <c r="V16" s="316"/>
      <c r="W16" s="316"/>
      <c r="X16" s="48"/>
    </row>
    <row r="17" spans="2:24" ht="15.95" customHeight="1" x14ac:dyDescent="0.25">
      <c r="C17" s="379" t="s">
        <v>387</v>
      </c>
      <c r="D17" s="379"/>
      <c r="E17" s="379"/>
      <c r="F17" s="379"/>
      <c r="G17" s="379"/>
      <c r="H17" s="379"/>
      <c r="I17" s="379"/>
      <c r="J17" s="379"/>
      <c r="K17" s="379"/>
      <c r="S17" s="402"/>
      <c r="T17" s="316"/>
      <c r="U17" s="316"/>
      <c r="V17" s="316"/>
      <c r="W17" s="316"/>
      <c r="X17" s="48"/>
    </row>
    <row r="18" spans="2:24" ht="15.95" customHeight="1" x14ac:dyDescent="0.25">
      <c r="C18" s="380" t="s">
        <v>898</v>
      </c>
      <c r="D18" s="380"/>
      <c r="E18" s="380"/>
      <c r="F18" s="380"/>
      <c r="G18" s="380"/>
      <c r="H18" s="380"/>
      <c r="I18" s="380"/>
      <c r="J18" s="380"/>
      <c r="K18" s="380"/>
      <c r="S18" s="402"/>
      <c r="T18" s="316"/>
      <c r="U18" s="316"/>
      <c r="V18" s="316"/>
      <c r="W18" s="316"/>
      <c r="X18" s="48"/>
    </row>
    <row r="19" spans="2:24" ht="15.95" customHeight="1" x14ac:dyDescent="0.25">
      <c r="C19" s="381" t="s">
        <v>1119</v>
      </c>
      <c r="D19" s="381"/>
      <c r="E19" s="381"/>
      <c r="F19" s="381"/>
      <c r="G19" s="381"/>
      <c r="H19" s="381"/>
      <c r="I19" s="381"/>
      <c r="J19" s="381"/>
      <c r="K19" s="381"/>
      <c r="S19" s="402"/>
      <c r="T19" s="316"/>
      <c r="U19" s="316"/>
      <c r="V19" s="316"/>
      <c r="W19" s="316"/>
      <c r="X19" s="48"/>
    </row>
    <row r="20" spans="2:24" ht="5.0999999999999996" customHeight="1" x14ac:dyDescent="0.25">
      <c r="C20" s="60"/>
      <c r="Q20" s="417"/>
      <c r="S20" s="403"/>
      <c r="T20" s="314"/>
      <c r="U20" s="314"/>
      <c r="V20" s="218"/>
      <c r="W20" s="316"/>
      <c r="X20" s="48"/>
    </row>
    <row r="21" spans="2:24" ht="15.95" customHeight="1" x14ac:dyDescent="0.25">
      <c r="C21" s="60" t="s">
        <v>1590</v>
      </c>
      <c r="Q21" s="417" t="s">
        <v>1681</v>
      </c>
      <c r="S21" s="403"/>
      <c r="T21" s="314"/>
      <c r="U21" s="314"/>
      <c r="V21" s="218"/>
      <c r="W21" s="316"/>
      <c r="X21" s="48"/>
    </row>
    <row r="22" spans="2:24" ht="15.95" customHeight="1" x14ac:dyDescent="0.25">
      <c r="C22" s="69" t="s">
        <v>388</v>
      </c>
      <c r="H22" s="2" t="s">
        <v>337</v>
      </c>
      <c r="I22" s="45">
        <f>Q22</f>
        <v>150000</v>
      </c>
      <c r="J22" s="21"/>
      <c r="K22" s="21"/>
      <c r="P22" s="405" t="s">
        <v>1496</v>
      </c>
      <c r="Q22" s="409">
        <v>150000</v>
      </c>
      <c r="T22" s="316"/>
      <c r="W22" s="316"/>
      <c r="X22" s="48"/>
    </row>
    <row r="23" spans="2:24" ht="15.95" customHeight="1" x14ac:dyDescent="0.25">
      <c r="C23" s="69" t="s">
        <v>389</v>
      </c>
      <c r="H23" s="2" t="s">
        <v>337</v>
      </c>
      <c r="I23" s="43">
        <f>Q23</f>
        <v>37500</v>
      </c>
      <c r="J23" s="21"/>
      <c r="K23" s="21"/>
      <c r="P23" s="405" t="s">
        <v>390</v>
      </c>
      <c r="Q23" s="409">
        <v>37500</v>
      </c>
      <c r="T23" s="316"/>
      <c r="W23" s="316"/>
      <c r="X23" s="48"/>
    </row>
    <row r="24" spans="2:24" ht="15.95" customHeight="1" x14ac:dyDescent="0.25">
      <c r="C24" s="158" t="s">
        <v>391</v>
      </c>
      <c r="H24" s="2" t="s">
        <v>337</v>
      </c>
      <c r="I24" s="45" t="s">
        <v>337</v>
      </c>
      <c r="J24" s="21"/>
      <c r="K24" s="45">
        <f>SUM(I22:I23)</f>
        <v>187500</v>
      </c>
      <c r="T24" s="316"/>
      <c r="U24" s="316"/>
      <c r="W24" s="316"/>
      <c r="X24" s="48"/>
    </row>
    <row r="25" spans="2:24" ht="5.0999999999999996" customHeight="1" x14ac:dyDescent="0.2">
      <c r="T25" s="316"/>
      <c r="U25" s="316"/>
      <c r="V25" s="316"/>
      <c r="W25" s="316"/>
      <c r="X25" s="48"/>
    </row>
    <row r="26" spans="2:24" ht="15.95" customHeight="1" x14ac:dyDescent="0.25">
      <c r="C26" s="49" t="s">
        <v>699</v>
      </c>
      <c r="T26" s="316"/>
      <c r="U26" s="316"/>
      <c r="V26" s="316"/>
      <c r="W26" s="316"/>
      <c r="X26" s="48"/>
    </row>
    <row r="27" spans="2:24" ht="15.95" customHeight="1" x14ac:dyDescent="0.25">
      <c r="C27" s="10" t="s">
        <v>392</v>
      </c>
      <c r="T27" s="316"/>
      <c r="U27" s="316"/>
      <c r="V27" s="316"/>
      <c r="W27" s="316"/>
      <c r="X27" s="48"/>
    </row>
    <row r="28" spans="2:24" ht="15.95" customHeight="1" x14ac:dyDescent="0.2">
      <c r="T28" s="316"/>
      <c r="U28" s="316"/>
      <c r="V28" s="316"/>
      <c r="W28" s="316"/>
      <c r="X28" s="48"/>
    </row>
    <row r="29" spans="2:24" ht="15.95" customHeight="1" x14ac:dyDescent="0.25">
      <c r="B29" s="10" t="s">
        <v>1052</v>
      </c>
      <c r="C29" s="48"/>
      <c r="D29" s="48"/>
      <c r="E29" s="48"/>
      <c r="F29" s="48"/>
      <c r="G29" s="48"/>
      <c r="H29" s="48"/>
      <c r="I29" s="48"/>
      <c r="J29" s="48"/>
      <c r="K29" s="48"/>
      <c r="T29" s="316"/>
      <c r="U29" s="316"/>
      <c r="V29" s="316"/>
      <c r="W29" s="316"/>
      <c r="X29" s="48"/>
    </row>
    <row r="30" spans="2:24" ht="5.0999999999999996" customHeight="1" x14ac:dyDescent="0.25">
      <c r="B30" s="10"/>
      <c r="C30" s="40"/>
      <c r="D30" s="40"/>
      <c r="E30" s="40"/>
      <c r="F30" s="40"/>
      <c r="G30" s="40"/>
      <c r="H30" s="40"/>
      <c r="I30" s="40"/>
      <c r="J30" s="40"/>
      <c r="K30" s="40"/>
      <c r="T30" s="316"/>
      <c r="U30" s="316"/>
      <c r="V30" s="316"/>
      <c r="W30" s="316"/>
      <c r="X30" s="48"/>
    </row>
    <row r="31" spans="2:24" s="10" customFormat="1" ht="15.95" customHeight="1" x14ac:dyDescent="0.25">
      <c r="B31" s="11" t="s">
        <v>758</v>
      </c>
      <c r="C31" s="363" t="s">
        <v>394</v>
      </c>
      <c r="D31" s="363"/>
      <c r="E31" s="363"/>
      <c r="F31" s="363"/>
      <c r="G31" s="363"/>
      <c r="H31" s="363"/>
      <c r="I31" s="363"/>
      <c r="J31" s="363"/>
      <c r="K31" s="363"/>
      <c r="M31" s="313"/>
      <c r="N31" s="313"/>
      <c r="O31" s="402"/>
      <c r="P31" s="402"/>
      <c r="Q31" s="402"/>
      <c r="R31" s="402"/>
      <c r="S31" s="402"/>
      <c r="T31" s="218"/>
      <c r="U31" s="218"/>
      <c r="V31" s="218"/>
      <c r="W31" s="218"/>
      <c r="X31" s="26"/>
    </row>
    <row r="32" spans="2:24" s="10" customFormat="1" ht="15.95" customHeight="1" x14ac:dyDescent="0.25">
      <c r="C32" s="363" t="s">
        <v>763</v>
      </c>
      <c r="D32" s="363"/>
      <c r="E32" s="363"/>
      <c r="F32" s="363"/>
      <c r="G32" s="363"/>
      <c r="H32" s="363"/>
      <c r="I32" s="363"/>
      <c r="J32" s="363"/>
      <c r="K32" s="363"/>
      <c r="M32" s="313"/>
      <c r="N32" s="313"/>
      <c r="O32" s="402"/>
      <c r="P32" s="402"/>
      <c r="Q32" s="402"/>
      <c r="R32" s="402"/>
      <c r="S32" s="402"/>
      <c r="T32" s="218"/>
      <c r="U32" s="218"/>
      <c r="V32" s="218"/>
      <c r="W32" s="218"/>
      <c r="X32" s="26"/>
    </row>
    <row r="33" spans="2:24" s="10" customFormat="1" ht="15.95" customHeight="1" x14ac:dyDescent="0.25">
      <c r="C33" s="375">
        <v>41639</v>
      </c>
      <c r="D33" s="375"/>
      <c r="E33" s="375"/>
      <c r="F33" s="375"/>
      <c r="G33" s="375"/>
      <c r="H33" s="375"/>
      <c r="I33" s="375"/>
      <c r="J33" s="375"/>
      <c r="K33" s="375"/>
      <c r="M33" s="313"/>
      <c r="N33" s="313"/>
      <c r="O33" s="402"/>
      <c r="P33" s="402"/>
      <c r="Q33" s="402"/>
      <c r="R33" s="403"/>
      <c r="S33" s="403"/>
      <c r="T33" s="314"/>
      <c r="U33" s="314"/>
      <c r="V33" s="314"/>
      <c r="W33" s="218"/>
      <c r="X33" s="26"/>
    </row>
    <row r="34" spans="2:24" s="10" customFormat="1" ht="5.0999999999999996" customHeight="1" x14ac:dyDescent="0.25">
      <c r="C34" s="357"/>
      <c r="D34" s="357"/>
      <c r="E34" s="357"/>
      <c r="F34" s="357"/>
      <c r="G34" s="357"/>
      <c r="H34" s="357"/>
      <c r="I34" s="357"/>
      <c r="J34" s="357"/>
      <c r="K34" s="357"/>
      <c r="M34" s="313"/>
      <c r="N34" s="313"/>
      <c r="O34" s="402"/>
      <c r="P34" s="402"/>
      <c r="Q34" s="402"/>
      <c r="R34" s="402"/>
      <c r="S34" s="402"/>
      <c r="T34" s="218"/>
      <c r="U34" s="313"/>
      <c r="V34" s="313"/>
      <c r="W34" s="313"/>
      <c r="X34" s="26"/>
    </row>
    <row r="35" spans="2:24" s="10" customFormat="1" ht="15.95" customHeight="1" x14ac:dyDescent="0.25">
      <c r="C35" s="357" t="s">
        <v>1490</v>
      </c>
      <c r="D35" s="357"/>
      <c r="E35" s="357"/>
      <c r="F35" s="357"/>
      <c r="G35" s="357"/>
      <c r="H35" s="357"/>
      <c r="I35" s="357"/>
      <c r="J35" s="357"/>
      <c r="K35" s="357"/>
      <c r="M35" s="313"/>
      <c r="N35" s="313"/>
      <c r="O35" s="402"/>
      <c r="P35" s="402"/>
      <c r="Q35" s="402"/>
      <c r="R35" s="402"/>
      <c r="S35" s="402"/>
      <c r="T35" s="218"/>
      <c r="U35" s="313"/>
      <c r="V35" s="313"/>
      <c r="W35" s="313"/>
      <c r="X35" s="26"/>
    </row>
    <row r="36" spans="2:24" ht="15.95" customHeight="1" x14ac:dyDescent="0.25">
      <c r="C36" s="10" t="s">
        <v>872</v>
      </c>
      <c r="D36" s="10"/>
      <c r="E36" s="10"/>
      <c r="F36" s="10"/>
      <c r="G36" s="10"/>
      <c r="H36" s="10"/>
      <c r="I36" s="48"/>
      <c r="Q36" s="417" t="s">
        <v>1681</v>
      </c>
      <c r="S36" s="402"/>
      <c r="T36" s="218"/>
      <c r="X36" s="48"/>
    </row>
    <row r="37" spans="2:24" ht="15.95" customHeight="1" x14ac:dyDescent="0.25">
      <c r="C37" s="69" t="s">
        <v>395</v>
      </c>
      <c r="E37" s="10"/>
      <c r="F37" s="77"/>
      <c r="G37" s="10"/>
      <c r="H37" s="10" t="s">
        <v>337</v>
      </c>
      <c r="I37" s="64">
        <f>Q37</f>
        <v>13300</v>
      </c>
      <c r="J37" s="46"/>
      <c r="K37" s="46"/>
      <c r="P37" s="405" t="s">
        <v>1493</v>
      </c>
      <c r="Q37" s="409">
        <v>13300</v>
      </c>
      <c r="S37" s="402"/>
      <c r="T37" s="218"/>
      <c r="X37" s="48"/>
    </row>
    <row r="38" spans="2:24" ht="15.95" customHeight="1" x14ac:dyDescent="0.25">
      <c r="C38" s="69" t="s">
        <v>397</v>
      </c>
      <c r="E38" s="10"/>
      <c r="F38" s="77"/>
      <c r="G38" s="10"/>
      <c r="H38" s="10" t="s">
        <v>337</v>
      </c>
      <c r="I38" s="78">
        <f>Q38</f>
        <v>6700</v>
      </c>
      <c r="J38" s="46"/>
      <c r="K38" s="46"/>
      <c r="P38" s="405" t="s">
        <v>873</v>
      </c>
      <c r="Q38" s="409">
        <v>6700</v>
      </c>
      <c r="S38" s="402"/>
      <c r="T38" s="218"/>
      <c r="X38" s="48"/>
    </row>
    <row r="39" spans="2:24" ht="15.95" customHeight="1" x14ac:dyDescent="0.25">
      <c r="C39" s="69" t="s">
        <v>398</v>
      </c>
      <c r="E39" s="10"/>
      <c r="F39" s="77"/>
      <c r="G39" s="10"/>
      <c r="H39" s="10" t="s">
        <v>337</v>
      </c>
      <c r="I39" s="78">
        <f>Q39</f>
        <v>481400</v>
      </c>
      <c r="J39" s="46"/>
      <c r="K39" s="46"/>
      <c r="P39" s="405" t="s">
        <v>1494</v>
      </c>
      <c r="Q39" s="409">
        <v>481400</v>
      </c>
      <c r="S39" s="402"/>
      <c r="T39" s="218"/>
      <c r="X39" s="48"/>
    </row>
    <row r="40" spans="2:24" ht="15.95" customHeight="1" x14ac:dyDescent="0.25">
      <c r="C40" s="69" t="s">
        <v>399</v>
      </c>
      <c r="E40" s="10"/>
      <c r="F40" s="77"/>
      <c r="G40" s="10"/>
      <c r="H40" s="10" t="s">
        <v>337</v>
      </c>
      <c r="I40" s="53">
        <f>Q40</f>
        <v>54000</v>
      </c>
      <c r="J40" s="46"/>
      <c r="K40" s="46"/>
      <c r="P40" s="405" t="s">
        <v>408</v>
      </c>
      <c r="Q40" s="409">
        <v>54000</v>
      </c>
      <c r="S40" s="402"/>
      <c r="T40" s="218"/>
      <c r="X40" s="48"/>
    </row>
    <row r="41" spans="2:24" ht="15.95" customHeight="1" x14ac:dyDescent="0.25">
      <c r="C41" s="158" t="s">
        <v>1552</v>
      </c>
      <c r="E41" s="10"/>
      <c r="F41" s="21"/>
      <c r="G41" s="10"/>
      <c r="H41" s="10" t="s">
        <v>337</v>
      </c>
      <c r="I41" s="78" t="s">
        <v>337</v>
      </c>
      <c r="J41" s="46"/>
      <c r="K41" s="17">
        <f>SUM(I37:I40)</f>
        <v>555400</v>
      </c>
      <c r="S41" s="402"/>
      <c r="T41" s="218"/>
      <c r="X41" s="48"/>
    </row>
    <row r="42" spans="2:24" ht="15.95" customHeight="1" x14ac:dyDescent="0.25">
      <c r="C42" s="10" t="s">
        <v>401</v>
      </c>
      <c r="D42" s="10"/>
      <c r="E42" s="10"/>
      <c r="F42" s="10"/>
      <c r="G42" s="10"/>
      <c r="H42" s="10"/>
      <c r="I42" s="78"/>
      <c r="J42" s="46"/>
      <c r="K42" s="46"/>
      <c r="S42" s="402"/>
      <c r="T42" s="218"/>
      <c r="X42" s="48"/>
    </row>
    <row r="43" spans="2:24" ht="15.95" customHeight="1" x14ac:dyDescent="0.25">
      <c r="C43" s="69" t="s">
        <v>402</v>
      </c>
      <c r="E43" s="10"/>
      <c r="F43" s="77"/>
      <c r="G43" s="10"/>
      <c r="H43" s="10" t="s">
        <v>337</v>
      </c>
      <c r="I43" s="78" t="s">
        <v>337</v>
      </c>
      <c r="J43" s="46"/>
      <c r="K43" s="46">
        <f>Q43</f>
        <v>110900</v>
      </c>
      <c r="P43" s="405" t="s">
        <v>404</v>
      </c>
      <c r="Q43" s="409">
        <v>110900</v>
      </c>
      <c r="S43" s="402"/>
      <c r="T43" s="218"/>
      <c r="X43" s="48"/>
    </row>
    <row r="44" spans="2:24" ht="15.95" customHeight="1" x14ac:dyDescent="0.25">
      <c r="C44" s="10" t="s">
        <v>403</v>
      </c>
      <c r="D44" s="10"/>
      <c r="E44" s="10"/>
      <c r="F44" s="10"/>
      <c r="G44" s="10"/>
      <c r="H44" s="10"/>
      <c r="I44" s="78"/>
      <c r="J44" s="46"/>
      <c r="K44" s="46"/>
      <c r="S44" s="402"/>
      <c r="T44" s="218"/>
      <c r="X44" s="48"/>
    </row>
    <row r="45" spans="2:24" ht="15.95" customHeight="1" x14ac:dyDescent="0.25">
      <c r="C45" s="69" t="s">
        <v>405</v>
      </c>
      <c r="E45" s="10"/>
      <c r="F45" s="77"/>
      <c r="G45" s="10"/>
      <c r="H45" s="10" t="s">
        <v>337</v>
      </c>
      <c r="I45" s="64">
        <f>Q45</f>
        <v>88000</v>
      </c>
      <c r="J45" s="46"/>
      <c r="K45" s="46"/>
      <c r="P45" s="405" t="s">
        <v>400</v>
      </c>
      <c r="Q45" s="409">
        <v>88000</v>
      </c>
      <c r="S45" s="402"/>
      <c r="T45" s="218"/>
      <c r="X45" s="48"/>
    </row>
    <row r="46" spans="2:24" ht="15.95" customHeight="1" x14ac:dyDescent="0.25">
      <c r="C46" s="69" t="s">
        <v>407</v>
      </c>
      <c r="E46" s="10"/>
      <c r="F46" s="77"/>
      <c r="G46" s="77"/>
      <c r="H46" s="77" t="s">
        <v>337</v>
      </c>
      <c r="I46" s="117">
        <f>Q46</f>
        <v>-23700</v>
      </c>
      <c r="J46" s="46"/>
      <c r="K46" s="46">
        <f>I45+I46</f>
        <v>64300</v>
      </c>
      <c r="P46" s="405" t="s">
        <v>396</v>
      </c>
      <c r="Q46" s="409">
        <v>-23700</v>
      </c>
      <c r="S46" s="402"/>
      <c r="T46" s="218"/>
      <c r="X46" s="48"/>
    </row>
    <row r="47" spans="2:24" ht="15.95" customHeight="1" thickBot="1" x14ac:dyDescent="0.3">
      <c r="C47" s="10" t="s">
        <v>409</v>
      </c>
      <c r="D47" s="10"/>
      <c r="E47" s="21"/>
      <c r="F47" s="10"/>
      <c r="G47" s="10"/>
      <c r="H47" s="10" t="s">
        <v>337</v>
      </c>
      <c r="I47" s="78" t="s">
        <v>337</v>
      </c>
      <c r="J47" s="46"/>
      <c r="K47" s="47">
        <f>SUM(K41:K46)</f>
        <v>730600</v>
      </c>
      <c r="S47" s="402"/>
      <c r="T47" s="218"/>
      <c r="X47" s="48"/>
    </row>
    <row r="48" spans="2:24" ht="5.0999999999999996" customHeight="1" thickTop="1" x14ac:dyDescent="0.25">
      <c r="B48" s="10"/>
      <c r="C48" s="10"/>
      <c r="D48" s="10"/>
      <c r="E48" s="10"/>
      <c r="F48" s="10"/>
      <c r="G48" s="10"/>
      <c r="H48" s="10"/>
      <c r="I48" s="80"/>
      <c r="J48" s="81"/>
      <c r="K48" s="81"/>
      <c r="T48" s="316"/>
      <c r="U48" s="316"/>
      <c r="V48" s="316"/>
      <c r="W48" s="316"/>
      <c r="X48" s="48"/>
    </row>
    <row r="49" ht="15.95" customHeight="1" x14ac:dyDescent="0.2"/>
    <row r="50" ht="15.95" customHeight="1" x14ac:dyDescent="0.2"/>
    <row r="51" ht="15.95" customHeight="1" x14ac:dyDescent="0.2"/>
    <row r="52" ht="15.95" customHeight="1" x14ac:dyDescent="0.2"/>
    <row r="53" ht="15.95" customHeight="1" x14ac:dyDescent="0.2"/>
    <row r="54" ht="15.95" customHeight="1" x14ac:dyDescent="0.2"/>
    <row r="55" ht="15.95" customHeight="1" x14ac:dyDescent="0.2"/>
    <row r="56" ht="15.95" customHeight="1" x14ac:dyDescent="0.2"/>
    <row r="57" ht="15.9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</sheetData>
  <customSheetViews>
    <customSheetView guid="{B2DDA8C4-3089-41F7-BA6E-A0E09596A2CA}" scale="70" showPageBreaks="1" fitToPage="1" printArea="1">
      <selection activeCell="G12" sqref="G12"/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V24" sqref="V24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selection activeCell="G12" sqref="G12"/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selection activeCell="G12" sqref="G12"/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8">
    <mergeCell ref="C35:K35"/>
    <mergeCell ref="C17:K17"/>
    <mergeCell ref="C18:K18"/>
    <mergeCell ref="C19:K19"/>
    <mergeCell ref="C34:K34"/>
    <mergeCell ref="C31:K31"/>
    <mergeCell ref="C32:K32"/>
    <mergeCell ref="C33:K33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7"/>
  <sheetViews>
    <sheetView zoomScale="70" zoomScaleNormal="70" workbookViewId="0">
      <selection activeCell="C1" sqref="C1"/>
    </sheetView>
  </sheetViews>
  <sheetFormatPr defaultRowHeight="12.75" x14ac:dyDescent="0.2"/>
  <cols>
    <col min="1" max="1" width="1.7109375" style="2" customWidth="1"/>
    <col min="2" max="4" width="4.7109375" style="2" customWidth="1"/>
    <col min="5" max="5" width="10.7109375" style="2" customWidth="1"/>
    <col min="6" max="6" width="10" style="2" customWidth="1"/>
    <col min="7" max="7" width="28.7109375" style="2" customWidth="1"/>
    <col min="8" max="8" width="1.42578125" style="2" customWidth="1"/>
    <col min="9" max="9" width="11.28515625" style="2" customWidth="1"/>
    <col min="10" max="10" width="2.7109375" style="2" customWidth="1"/>
    <col min="11" max="11" width="11.28515625" style="2" customWidth="1"/>
    <col min="12" max="12" width="2.7109375" style="2" customWidth="1"/>
    <col min="13" max="13" width="9.140625" style="312"/>
    <col min="14" max="14" width="2.7109375" style="312" customWidth="1"/>
    <col min="15" max="15" width="0" style="407" hidden="1" customWidth="1"/>
    <col min="16" max="16" width="2.7109375" style="407" hidden="1" customWidth="1"/>
    <col min="17" max="17" width="0" style="407" hidden="1" customWidth="1"/>
    <col min="18" max="18" width="2.7109375" style="407" hidden="1" customWidth="1"/>
    <col min="19" max="19" width="0" style="407" hidden="1" customWidth="1"/>
    <col min="20" max="20" width="2.7109375" style="407" hidden="1" customWidth="1"/>
    <col min="21" max="21" width="0" style="407" hidden="1" customWidth="1"/>
    <col min="22" max="23" width="9.140625" style="312"/>
    <col min="24" max="16384" width="9.140625" style="2"/>
  </cols>
  <sheetData>
    <row r="1" spans="2:19" ht="28.5" customHeight="1" x14ac:dyDescent="0.2"/>
    <row r="2" spans="2:19" ht="15.95" customHeight="1" x14ac:dyDescent="0.25">
      <c r="B2" s="10" t="s">
        <v>1249</v>
      </c>
    </row>
    <row r="3" spans="2:19" ht="15.95" customHeight="1" x14ac:dyDescent="0.25">
      <c r="B3" s="357" t="s">
        <v>771</v>
      </c>
      <c r="C3" s="357"/>
      <c r="D3" s="357"/>
      <c r="E3" s="357"/>
      <c r="F3" s="357"/>
      <c r="G3" s="357"/>
      <c r="H3" s="357"/>
      <c r="I3" s="357"/>
      <c r="J3" s="357"/>
      <c r="K3" s="357"/>
    </row>
    <row r="4" spans="2:19" ht="15.95" customHeight="1" x14ac:dyDescent="0.25">
      <c r="C4" s="10" t="s">
        <v>881</v>
      </c>
      <c r="D4" s="10"/>
      <c r="E4" s="10"/>
      <c r="F4" s="10"/>
      <c r="S4" s="412"/>
    </row>
    <row r="5" spans="2:19" ht="15.95" customHeight="1" x14ac:dyDescent="0.25">
      <c r="C5" s="69" t="s">
        <v>410</v>
      </c>
      <c r="E5" s="10"/>
      <c r="F5" s="10"/>
      <c r="H5" s="2" t="s">
        <v>337</v>
      </c>
      <c r="I5" s="21">
        <f>'1-17'!S5</f>
        <v>104700</v>
      </c>
      <c r="J5" s="50"/>
      <c r="K5" s="50"/>
      <c r="R5" s="405" t="s">
        <v>882</v>
      </c>
      <c r="S5" s="409">
        <v>104700</v>
      </c>
    </row>
    <row r="6" spans="2:19" ht="15.95" customHeight="1" x14ac:dyDescent="0.25">
      <c r="C6" s="69" t="s">
        <v>411</v>
      </c>
      <c r="E6" s="10"/>
      <c r="F6" s="10"/>
      <c r="H6" s="2" t="s">
        <v>337</v>
      </c>
      <c r="I6" s="50">
        <f>'1-17'!S6</f>
        <v>50000</v>
      </c>
      <c r="J6" s="50"/>
      <c r="K6" s="50"/>
      <c r="R6" s="405" t="s">
        <v>406</v>
      </c>
      <c r="S6" s="409">
        <v>50000</v>
      </c>
    </row>
    <row r="7" spans="2:19" ht="15.95" customHeight="1" x14ac:dyDescent="0.25">
      <c r="C7" s="69" t="s">
        <v>412</v>
      </c>
      <c r="E7" s="10"/>
      <c r="F7" s="10"/>
      <c r="H7" s="2" t="s">
        <v>337</v>
      </c>
      <c r="I7" s="43">
        <f>'1-17'!S7</f>
        <v>11400</v>
      </c>
      <c r="J7" s="50"/>
      <c r="K7" s="50"/>
      <c r="R7" s="405" t="s">
        <v>883</v>
      </c>
      <c r="S7" s="409">
        <v>11400</v>
      </c>
    </row>
    <row r="8" spans="2:19" ht="15.95" customHeight="1" x14ac:dyDescent="0.25">
      <c r="C8" s="158" t="s">
        <v>996</v>
      </c>
      <c r="E8" s="10"/>
      <c r="F8" s="10"/>
      <c r="H8" s="2" t="s">
        <v>337</v>
      </c>
      <c r="I8" s="50" t="s">
        <v>337</v>
      </c>
      <c r="J8" s="50"/>
      <c r="K8" s="21">
        <f>SUM(I5:I7)</f>
        <v>166100</v>
      </c>
    </row>
    <row r="9" spans="2:19" ht="15.95" customHeight="1" x14ac:dyDescent="0.25">
      <c r="C9" s="10" t="s">
        <v>886</v>
      </c>
      <c r="D9" s="10"/>
      <c r="E9" s="10"/>
      <c r="F9" s="10"/>
      <c r="I9" s="50"/>
      <c r="J9" s="50"/>
      <c r="K9" s="50"/>
    </row>
    <row r="10" spans="2:19" ht="15.95" customHeight="1" x14ac:dyDescent="0.25">
      <c r="C10" s="69" t="s">
        <v>414</v>
      </c>
      <c r="E10" s="10"/>
      <c r="F10" s="10"/>
      <c r="H10" s="2" t="s">
        <v>337</v>
      </c>
      <c r="I10" s="50" t="s">
        <v>337</v>
      </c>
      <c r="J10" s="50"/>
      <c r="K10" s="43">
        <f>'1-17'!S10</f>
        <v>180000</v>
      </c>
      <c r="R10" s="405" t="s">
        <v>888</v>
      </c>
      <c r="S10" s="409">
        <v>180000</v>
      </c>
    </row>
    <row r="11" spans="2:19" ht="15.95" customHeight="1" x14ac:dyDescent="0.25">
      <c r="C11" s="158" t="s">
        <v>1553</v>
      </c>
      <c r="E11" s="10"/>
      <c r="F11" s="10"/>
      <c r="H11" s="2" t="s">
        <v>337</v>
      </c>
      <c r="I11" s="50" t="s">
        <v>337</v>
      </c>
      <c r="J11" s="50"/>
      <c r="K11" s="21">
        <f>SUM(K8:K10)</f>
        <v>346100</v>
      </c>
    </row>
    <row r="12" spans="2:19" ht="15.95" customHeight="1" x14ac:dyDescent="0.25">
      <c r="C12" s="10" t="s">
        <v>1590</v>
      </c>
      <c r="D12" s="10"/>
      <c r="E12" s="10"/>
      <c r="F12" s="10"/>
      <c r="I12" s="50"/>
      <c r="J12" s="50"/>
      <c r="K12" s="50"/>
    </row>
    <row r="13" spans="2:19" ht="15.95" customHeight="1" x14ac:dyDescent="0.25">
      <c r="C13" s="69" t="s">
        <v>415</v>
      </c>
      <c r="E13" s="10"/>
      <c r="F13" s="10"/>
      <c r="H13" s="2" t="s">
        <v>337</v>
      </c>
      <c r="I13" s="21">
        <f>'1-17'!S13</f>
        <v>300000</v>
      </c>
      <c r="J13" s="50"/>
      <c r="K13" s="50"/>
      <c r="R13" s="405" t="s">
        <v>1496</v>
      </c>
      <c r="S13" s="409">
        <v>300000</v>
      </c>
    </row>
    <row r="14" spans="2:19" ht="15.95" customHeight="1" x14ac:dyDescent="0.25">
      <c r="C14" s="69" t="s">
        <v>416</v>
      </c>
      <c r="E14" s="10"/>
      <c r="F14" s="10"/>
      <c r="H14" s="2" t="s">
        <v>337</v>
      </c>
      <c r="I14" s="43">
        <f>'1-17'!S14</f>
        <v>84500</v>
      </c>
      <c r="J14" s="50"/>
      <c r="K14" s="50"/>
      <c r="R14" s="405" t="s">
        <v>1497</v>
      </c>
      <c r="S14" s="409">
        <v>84500</v>
      </c>
    </row>
    <row r="15" spans="2:19" ht="15.95" customHeight="1" x14ac:dyDescent="0.25">
      <c r="C15" s="158" t="s">
        <v>1554</v>
      </c>
      <c r="E15" s="10"/>
      <c r="F15" s="10"/>
      <c r="H15" s="2" t="s">
        <v>337</v>
      </c>
      <c r="I15" s="50" t="s">
        <v>337</v>
      </c>
      <c r="J15" s="50"/>
      <c r="K15" s="50">
        <f>SUM(I13:I14)</f>
        <v>384500</v>
      </c>
    </row>
    <row r="16" spans="2:19" ht="15.95" customHeight="1" thickBot="1" x14ac:dyDescent="0.3">
      <c r="C16" s="10" t="s">
        <v>417</v>
      </c>
      <c r="D16" s="10"/>
      <c r="E16" s="10"/>
      <c r="F16" s="10"/>
      <c r="H16" s="2" t="s">
        <v>337</v>
      </c>
      <c r="I16" s="50" t="s">
        <v>337</v>
      </c>
      <c r="J16" s="50"/>
      <c r="K16" s="52">
        <f>SUM(K11:K15)</f>
        <v>730600</v>
      </c>
      <c r="P16" s="412" t="s">
        <v>794</v>
      </c>
    </row>
    <row r="17" spans="2:23" ht="9.9499999999999993" customHeight="1" thickTop="1" x14ac:dyDescent="0.2"/>
    <row r="18" spans="2:23" ht="15.95" customHeight="1" x14ac:dyDescent="0.25">
      <c r="B18" s="11" t="s">
        <v>759</v>
      </c>
      <c r="C18" s="71" t="str">
        <f>CONCATENATE("College Spirit has working capital of ",TEXT(S18,"$#,##0")," (",TEXT(O18,"$#,##0"),P18,TEXT(Q18,"$#,##0"),")"," and a ",)</f>
        <v xml:space="preserve">College Spirit has working capital of $389,300 ($555,400 – $166,100) and a </v>
      </c>
      <c r="O18" s="410">
        <f>'1-16'!K41</f>
        <v>555400</v>
      </c>
      <c r="P18" s="410" t="s">
        <v>1589</v>
      </c>
      <c r="Q18" s="410">
        <f>K8</f>
        <v>166100</v>
      </c>
      <c r="R18" s="410" t="s">
        <v>1587</v>
      </c>
      <c r="S18" s="410">
        <f>SUM(O18-Q18)</f>
        <v>389300</v>
      </c>
    </row>
    <row r="19" spans="2:23" s="10" customFormat="1" ht="15.95" customHeight="1" x14ac:dyDescent="0.25">
      <c r="C19" s="71" t="str">
        <f>CONCATENATE("current ratio of ",TEXT(S19,"#,##0.00"), " (",TEXT(O19,"$#,##0"),P19,TEXT(Q19,"$#,##0"),").",)</f>
        <v>current ratio of 3.34 ($555,400 / $166,100).</v>
      </c>
      <c r="M19" s="313"/>
      <c r="N19" s="313"/>
      <c r="O19" s="410">
        <f>'1-16'!K41</f>
        <v>555400</v>
      </c>
      <c r="P19" s="410" t="s">
        <v>1314</v>
      </c>
      <c r="Q19" s="410">
        <f>K8</f>
        <v>166100</v>
      </c>
      <c r="R19" s="410" t="s">
        <v>1587</v>
      </c>
      <c r="S19" s="424">
        <f>SUM(O19/Q19)</f>
        <v>3.3437688139674893</v>
      </c>
      <c r="T19" s="402"/>
      <c r="U19" s="402"/>
      <c r="V19" s="313"/>
      <c r="W19" s="313"/>
    </row>
    <row r="20" spans="2:23" s="10" customFormat="1" ht="9.9499999999999993" customHeight="1" x14ac:dyDescent="0.25">
      <c r="C20" s="71"/>
      <c r="M20" s="313"/>
      <c r="N20" s="313"/>
      <c r="O20" s="410"/>
      <c r="P20" s="410"/>
      <c r="Q20" s="410"/>
      <c r="R20" s="410"/>
      <c r="S20" s="424"/>
      <c r="T20" s="402"/>
      <c r="U20" s="402"/>
      <c r="V20" s="313"/>
      <c r="W20" s="313"/>
    </row>
    <row r="21" spans="2:23" s="10" customFormat="1" ht="15.95" customHeight="1" x14ac:dyDescent="0.25">
      <c r="B21" s="11" t="s">
        <v>760</v>
      </c>
      <c r="C21" s="71" t="s">
        <v>418</v>
      </c>
      <c r="M21" s="313"/>
      <c r="N21" s="313"/>
      <c r="O21" s="402"/>
      <c r="P21" s="402"/>
      <c r="Q21" s="402"/>
      <c r="R21" s="405" t="s">
        <v>873</v>
      </c>
      <c r="S21" s="410">
        <f>'1-16'!Q38</f>
        <v>6700</v>
      </c>
      <c r="T21" s="415" t="s">
        <v>1672</v>
      </c>
      <c r="U21" s="402"/>
      <c r="V21" s="313"/>
      <c r="W21" s="313"/>
    </row>
    <row r="22" spans="2:23" s="10" customFormat="1" ht="15.95" customHeight="1" x14ac:dyDescent="0.25">
      <c r="C22" s="71" t="s">
        <v>419</v>
      </c>
      <c r="M22" s="313"/>
      <c r="N22" s="313"/>
      <c r="O22" s="402"/>
      <c r="P22" s="402"/>
      <c r="Q22" s="402"/>
      <c r="R22" s="405" t="s">
        <v>396</v>
      </c>
      <c r="S22" s="410">
        <f>'1-16'!Q46</f>
        <v>-23700</v>
      </c>
      <c r="T22" s="415"/>
      <c r="U22" s="402"/>
      <c r="V22" s="313"/>
      <c r="W22" s="313"/>
    </row>
    <row r="23" spans="2:23" s="10" customFormat="1" ht="15.95" customHeight="1" x14ac:dyDescent="0.25">
      <c r="C23" s="71" t="s">
        <v>420</v>
      </c>
      <c r="M23" s="313"/>
      <c r="N23" s="313"/>
      <c r="O23" s="402"/>
      <c r="P23" s="402"/>
      <c r="Q23" s="402"/>
      <c r="R23" s="405" t="s">
        <v>1493</v>
      </c>
      <c r="S23" s="410">
        <f>'1-16'!Q37</f>
        <v>13300</v>
      </c>
      <c r="T23" s="402"/>
      <c r="U23" s="402"/>
      <c r="V23" s="313"/>
      <c r="W23" s="313"/>
    </row>
    <row r="24" spans="2:23" s="10" customFormat="1" ht="15.95" customHeight="1" x14ac:dyDescent="0.25">
      <c r="C24" s="71" t="s">
        <v>421</v>
      </c>
      <c r="M24" s="313"/>
      <c r="N24" s="313"/>
      <c r="O24" s="402"/>
      <c r="P24" s="402"/>
      <c r="Q24" s="402"/>
      <c r="R24" s="405" t="s">
        <v>400</v>
      </c>
      <c r="S24" s="410">
        <f>'1-16'!Q45</f>
        <v>88000</v>
      </c>
      <c r="T24" s="402"/>
      <c r="U24" s="402"/>
      <c r="V24" s="313"/>
      <c r="W24" s="313"/>
    </row>
    <row r="25" spans="2:23" s="10" customFormat="1" ht="15.95" customHeight="1" x14ac:dyDescent="0.25">
      <c r="C25" s="71" t="s">
        <v>422</v>
      </c>
      <c r="M25" s="313"/>
      <c r="N25" s="313"/>
      <c r="O25" s="402"/>
      <c r="P25" s="402"/>
      <c r="Q25" s="402"/>
      <c r="R25" s="405" t="s">
        <v>1494</v>
      </c>
      <c r="S25" s="410">
        <f>'1-16'!Q39</f>
        <v>481400</v>
      </c>
      <c r="T25" s="402"/>
      <c r="U25" s="402"/>
      <c r="V25" s="313"/>
      <c r="W25" s="313"/>
    </row>
    <row r="26" spans="2:23" s="10" customFormat="1" ht="15.95" customHeight="1" x14ac:dyDescent="0.25">
      <c r="C26" s="71"/>
      <c r="M26" s="313"/>
      <c r="N26" s="313"/>
      <c r="O26" s="402"/>
      <c r="P26" s="402"/>
      <c r="Q26" s="402"/>
      <c r="R26" s="405" t="s">
        <v>404</v>
      </c>
      <c r="S26" s="410">
        <f>'1-16'!Q43</f>
        <v>110900</v>
      </c>
      <c r="T26" s="402"/>
      <c r="U26" s="402"/>
      <c r="V26" s="313"/>
      <c r="W26" s="313"/>
    </row>
    <row r="27" spans="2:23" s="10" customFormat="1" ht="15.95" customHeight="1" x14ac:dyDescent="0.25"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313"/>
      <c r="N27" s="313"/>
      <c r="O27" s="402"/>
      <c r="P27" s="402"/>
      <c r="Q27" s="402"/>
      <c r="R27" s="405" t="s">
        <v>408</v>
      </c>
      <c r="S27" s="410">
        <f>'1-16'!Q40</f>
        <v>54000</v>
      </c>
      <c r="T27" s="402"/>
      <c r="U27" s="402"/>
      <c r="V27" s="313"/>
      <c r="W27" s="313"/>
    </row>
    <row r="28" spans="2:23" ht="15" customHeight="1" x14ac:dyDescent="0.25">
      <c r="L28" s="20"/>
    </row>
    <row r="29" spans="2:23" ht="15" customHeight="1" x14ac:dyDescent="0.25">
      <c r="L29" s="20"/>
    </row>
    <row r="30" spans="2:23" ht="15" customHeight="1" x14ac:dyDescent="0.25">
      <c r="L30" s="82"/>
    </row>
    <row r="31" spans="2:23" ht="5.0999999999999996" customHeight="1" x14ac:dyDescent="0.2">
      <c r="L31" s="48"/>
    </row>
    <row r="32" spans="2:23" ht="15.95" customHeight="1" x14ac:dyDescent="0.2">
      <c r="L32" s="48"/>
    </row>
    <row r="33" ht="15.95" customHeight="1" x14ac:dyDescent="0.2"/>
    <row r="34" ht="15.95" customHeight="1" x14ac:dyDescent="0.2"/>
    <row r="35" ht="15.95" customHeight="1" x14ac:dyDescent="0.2"/>
    <row r="36" ht="15.95" customHeight="1" x14ac:dyDescent="0.2"/>
    <row r="37" ht="15.95" customHeight="1" x14ac:dyDescent="0.2"/>
    <row r="38" ht="15.95" customHeight="1" x14ac:dyDescent="0.2"/>
    <row r="39" ht="15.95" customHeight="1" x14ac:dyDescent="0.2"/>
    <row r="40" ht="18" customHeight="1" x14ac:dyDescent="0.2"/>
    <row r="41" ht="15.9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</sheetData>
  <customSheetViews>
    <customSheetView guid="{B2DDA8C4-3089-41F7-BA6E-A0E09596A2CA}" scale="70" showPageBreaks="1" fitToPage="1" printArea="1">
      <selection activeCell="B1" sqref="B1"/>
      <pageMargins left="0.75" right="1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B1" sqref="B1"/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1" sqref="B1"/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selection activeCell="B1" sqref="B1"/>
      <pageMargins left="0.75" right="1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selection activeCell="B1" sqref="B1"/>
      <pageMargins left="0.75" right="1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">
    <mergeCell ref="B3:K3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65"/>
  <sheetViews>
    <sheetView zoomScale="70" zoomScaleNormal="70" workbookViewId="0">
      <selection activeCell="D1" sqref="D1"/>
    </sheetView>
  </sheetViews>
  <sheetFormatPr defaultRowHeight="12.75" x14ac:dyDescent="0.2"/>
  <cols>
    <col min="1" max="1" width="1.7109375" style="2" customWidth="1"/>
    <col min="2" max="2" width="3.5703125" style="2" customWidth="1"/>
    <col min="3" max="3" width="4.7109375" style="2" customWidth="1"/>
    <col min="4" max="4" width="11.28515625" style="2" customWidth="1"/>
    <col min="5" max="5" width="4.7109375" style="2" customWidth="1"/>
    <col min="6" max="6" width="11.28515625" style="2" customWidth="1"/>
    <col min="7" max="7" width="2.7109375" style="2" customWidth="1"/>
    <col min="8" max="8" width="9.7109375" style="2" customWidth="1"/>
    <col min="9" max="9" width="1.85546875" style="2" customWidth="1"/>
    <col min="10" max="10" width="12.7109375" style="2" customWidth="1"/>
    <col min="11" max="11" width="2.28515625" style="2" customWidth="1"/>
    <col min="12" max="12" width="12" style="2" customWidth="1"/>
    <col min="13" max="13" width="2.7109375" style="2" customWidth="1"/>
    <col min="14" max="14" width="12.28515625" style="2" customWidth="1"/>
    <col min="15" max="15" width="9.85546875" style="2" customWidth="1"/>
    <col min="16" max="16" width="9.140625" style="312"/>
    <col min="17" max="17" width="2.7109375" style="312" customWidth="1"/>
    <col min="18" max="18" width="9.140625" style="312"/>
    <col min="19" max="19" width="2.7109375" style="312" customWidth="1"/>
    <col min="20" max="20" width="0" style="407" hidden="1" customWidth="1"/>
    <col min="21" max="21" width="2.7109375" style="407" hidden="1" customWidth="1"/>
    <col min="22" max="22" width="0" style="407" hidden="1" customWidth="1"/>
    <col min="23" max="23" width="9.85546875" style="407" hidden="1" customWidth="1"/>
    <col min="24" max="25" width="9.140625" style="312"/>
    <col min="26" max="27" width="9.140625" style="2"/>
    <col min="28" max="28" width="4" style="2" customWidth="1"/>
    <col min="29" max="29" width="12.7109375" style="2" customWidth="1"/>
    <col min="30" max="16384" width="9.140625" style="2"/>
  </cols>
  <sheetData>
    <row r="1" spans="2:30" ht="28.5" customHeight="1" x14ac:dyDescent="0.2">
      <c r="V1" s="402"/>
      <c r="X1" s="316"/>
      <c r="Y1" s="316"/>
      <c r="Z1" s="48"/>
      <c r="AA1" s="48"/>
      <c r="AB1" s="48"/>
      <c r="AC1" s="48"/>
      <c r="AD1" s="48"/>
    </row>
    <row r="2" spans="2:30" ht="15.95" customHeight="1" x14ac:dyDescent="0.25">
      <c r="B2" s="10" t="s">
        <v>917</v>
      </c>
      <c r="L2" s="48"/>
      <c r="V2" s="403"/>
      <c r="W2" s="403"/>
      <c r="X2" s="314"/>
      <c r="Y2" s="314"/>
      <c r="Z2" s="20"/>
      <c r="AA2" s="20"/>
      <c r="AB2" s="20"/>
      <c r="AC2" s="20"/>
      <c r="AD2" s="48"/>
    </row>
    <row r="3" spans="2:30" ht="5.0999999999999996" customHeight="1" x14ac:dyDescent="0.25">
      <c r="B3" s="10"/>
      <c r="L3" s="48"/>
      <c r="V3" s="403"/>
      <c r="W3" s="403"/>
      <c r="X3" s="314"/>
      <c r="Y3" s="314"/>
      <c r="Z3" s="20"/>
      <c r="AA3" s="20"/>
      <c r="AB3" s="20"/>
      <c r="AC3" s="20"/>
      <c r="AD3" s="48"/>
    </row>
    <row r="4" spans="2:30" ht="15.95" customHeight="1" x14ac:dyDescent="0.25">
      <c r="B4" s="11" t="s">
        <v>758</v>
      </c>
      <c r="C4" s="360" t="s">
        <v>423</v>
      </c>
      <c r="D4" s="360"/>
      <c r="E4" s="360"/>
      <c r="F4" s="360"/>
      <c r="G4" s="360"/>
      <c r="H4" s="360"/>
      <c r="I4" s="360"/>
      <c r="J4" s="360"/>
      <c r="K4" s="360"/>
      <c r="L4" s="360"/>
      <c r="M4" s="360"/>
      <c r="N4" s="360"/>
      <c r="V4" s="403"/>
      <c r="W4" s="403"/>
      <c r="X4" s="314"/>
      <c r="Y4" s="314"/>
      <c r="Z4" s="20"/>
      <c r="AA4" s="20"/>
      <c r="AB4" s="20"/>
      <c r="AC4" s="20"/>
      <c r="AD4" s="48"/>
    </row>
    <row r="5" spans="2:30" ht="15.95" customHeight="1" x14ac:dyDescent="0.25">
      <c r="C5" s="363" t="s">
        <v>763</v>
      </c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V5" s="403"/>
      <c r="W5" s="403"/>
      <c r="X5" s="314"/>
      <c r="Y5" s="314"/>
      <c r="Z5" s="20"/>
      <c r="AA5" s="20"/>
      <c r="AB5" s="20"/>
      <c r="AC5" s="20"/>
      <c r="AD5" s="48"/>
    </row>
    <row r="6" spans="2:30" ht="15.95" customHeight="1" x14ac:dyDescent="0.25">
      <c r="C6" s="375">
        <v>41639</v>
      </c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375"/>
      <c r="V6" s="403"/>
      <c r="W6" s="417" t="s">
        <v>1681</v>
      </c>
      <c r="X6" s="314"/>
      <c r="Y6" s="314"/>
      <c r="Z6" s="20"/>
      <c r="AA6" s="20"/>
      <c r="AB6" s="20"/>
      <c r="AC6" s="20"/>
      <c r="AD6" s="48"/>
    </row>
    <row r="7" spans="2:30" ht="5.0999999999999996" customHeight="1" x14ac:dyDescent="0.25"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X7" s="314"/>
      <c r="Y7" s="314"/>
      <c r="Z7" s="20"/>
      <c r="AA7" s="20"/>
      <c r="AB7" s="20"/>
      <c r="AC7" s="20"/>
      <c r="AD7" s="48"/>
    </row>
    <row r="8" spans="2:30" ht="15.95" customHeight="1" x14ac:dyDescent="0.25">
      <c r="C8" s="358" t="s">
        <v>1490</v>
      </c>
      <c r="D8" s="358"/>
      <c r="E8" s="358"/>
      <c r="F8" s="358"/>
      <c r="G8" s="358"/>
      <c r="H8" s="358"/>
      <c r="I8" s="358"/>
      <c r="J8" s="358"/>
      <c r="K8" s="358"/>
      <c r="L8" s="358"/>
      <c r="M8" s="358"/>
      <c r="N8" s="358"/>
      <c r="V8" s="405" t="s">
        <v>882</v>
      </c>
      <c r="W8" s="409">
        <v>65100</v>
      </c>
      <c r="X8" s="314"/>
      <c r="Y8" s="314"/>
      <c r="Z8" s="20"/>
      <c r="AA8" s="20"/>
      <c r="AB8" s="20"/>
      <c r="AC8" s="20"/>
      <c r="AD8" s="48"/>
    </row>
    <row r="9" spans="2:30" ht="15.95" customHeight="1" x14ac:dyDescent="0.25">
      <c r="C9" s="10" t="s">
        <v>872</v>
      </c>
      <c r="D9" s="10"/>
      <c r="E9" s="10"/>
      <c r="H9" s="25"/>
      <c r="I9" s="25"/>
      <c r="J9" s="25"/>
      <c r="K9" s="25"/>
      <c r="L9" s="25"/>
      <c r="V9" s="405" t="s">
        <v>873</v>
      </c>
      <c r="W9" s="409">
        <v>95500</v>
      </c>
      <c r="X9" s="314"/>
      <c r="Y9" s="314"/>
      <c r="Z9" s="20"/>
      <c r="AA9" s="20"/>
      <c r="AB9" s="20"/>
      <c r="AC9" s="20"/>
      <c r="AD9" s="48"/>
    </row>
    <row r="10" spans="2:30" ht="15.95" customHeight="1" x14ac:dyDescent="0.25">
      <c r="C10" s="69" t="s">
        <v>424</v>
      </c>
      <c r="E10" s="10"/>
      <c r="I10" s="2" t="s">
        <v>337</v>
      </c>
      <c r="J10" s="25"/>
      <c r="K10" s="25" t="s">
        <v>337</v>
      </c>
      <c r="L10" s="285">
        <f>'1-18'!W15</f>
        <v>11400</v>
      </c>
      <c r="M10" s="23"/>
      <c r="N10" s="23"/>
      <c r="V10" s="405" t="s">
        <v>431</v>
      </c>
      <c r="W10" s="409">
        <v>172400</v>
      </c>
      <c r="X10" s="314"/>
      <c r="Y10" s="314"/>
      <c r="Z10" s="20"/>
      <c r="AA10" s="20"/>
      <c r="AB10" s="20"/>
      <c r="AC10" s="20"/>
      <c r="AD10" s="48"/>
    </row>
    <row r="11" spans="2:30" ht="15.95" customHeight="1" x14ac:dyDescent="0.25">
      <c r="C11" s="69" t="s">
        <v>425</v>
      </c>
      <c r="E11" s="10"/>
      <c r="I11" s="2" t="s">
        <v>337</v>
      </c>
      <c r="J11" s="25"/>
      <c r="K11" s="25" t="s">
        <v>337</v>
      </c>
      <c r="L11" s="187">
        <f>'1-18'!W27</f>
        <v>21000</v>
      </c>
      <c r="M11" s="23"/>
      <c r="N11" s="23"/>
      <c r="V11" s="405" t="s">
        <v>433</v>
      </c>
      <c r="W11" s="409">
        <v>216800</v>
      </c>
      <c r="X11" s="314"/>
      <c r="Y11" s="314"/>
      <c r="Z11" s="20"/>
      <c r="AA11" s="20"/>
      <c r="AB11" s="20"/>
      <c r="AC11" s="20"/>
      <c r="AD11" s="48"/>
    </row>
    <row r="12" spans="2:30" ht="15.95" customHeight="1" x14ac:dyDescent="0.25">
      <c r="C12" s="69" t="s">
        <v>426</v>
      </c>
      <c r="E12" s="10"/>
      <c r="I12" s="2" t="s">
        <v>337</v>
      </c>
      <c r="J12" s="25"/>
      <c r="K12" s="25" t="s">
        <v>337</v>
      </c>
      <c r="L12" s="187">
        <f>'1-18'!W9</f>
        <v>95500</v>
      </c>
      <c r="M12" s="23"/>
      <c r="N12" s="23"/>
      <c r="V12" s="405" t="s">
        <v>435</v>
      </c>
      <c r="W12" s="409">
        <v>31200</v>
      </c>
      <c r="X12" s="314"/>
      <c r="Y12" s="314"/>
      <c r="Z12" s="20"/>
      <c r="AA12" s="20"/>
      <c r="AB12" s="20"/>
      <c r="AC12" s="20"/>
      <c r="AD12" s="48"/>
    </row>
    <row r="13" spans="2:30" ht="15.95" customHeight="1" x14ac:dyDescent="0.25">
      <c r="C13" s="69" t="s">
        <v>427</v>
      </c>
      <c r="E13" s="10"/>
      <c r="I13" s="2" t="s">
        <v>337</v>
      </c>
      <c r="J13" s="25"/>
      <c r="K13" s="25" t="s">
        <v>337</v>
      </c>
      <c r="L13" s="78">
        <f>'1-18'!W25</f>
        <v>5700</v>
      </c>
      <c r="M13" s="23"/>
      <c r="N13" s="23"/>
      <c r="V13" s="405" t="s">
        <v>436</v>
      </c>
      <c r="W13" s="409">
        <v>200000</v>
      </c>
      <c r="X13" s="314"/>
      <c r="Y13" s="314"/>
      <c r="Z13" s="20"/>
      <c r="AA13" s="20"/>
      <c r="AB13" s="20"/>
      <c r="AC13" s="20"/>
      <c r="AD13" s="48"/>
    </row>
    <row r="14" spans="2:30" ht="15.95" customHeight="1" x14ac:dyDescent="0.25">
      <c r="C14" s="69" t="s">
        <v>428</v>
      </c>
      <c r="E14" s="10"/>
      <c r="I14" s="2" t="s">
        <v>337</v>
      </c>
      <c r="J14" s="25"/>
      <c r="K14" s="25" t="s">
        <v>337</v>
      </c>
      <c r="L14" s="53">
        <f>'1-18'!W21</f>
        <v>187900</v>
      </c>
      <c r="M14" s="23"/>
      <c r="N14" s="23"/>
      <c r="V14" s="405" t="s">
        <v>438</v>
      </c>
      <c r="W14" s="409">
        <v>419900</v>
      </c>
      <c r="X14" s="314"/>
      <c r="Y14" s="314"/>
      <c r="Z14" s="20"/>
      <c r="AA14" s="20"/>
      <c r="AB14" s="20"/>
      <c r="AC14" s="20"/>
      <c r="AD14" s="48"/>
    </row>
    <row r="15" spans="2:30" ht="15.95" customHeight="1" x14ac:dyDescent="0.25">
      <c r="C15" s="158" t="s">
        <v>1555</v>
      </c>
      <c r="E15" s="10"/>
      <c r="H15" s="83"/>
      <c r="I15" s="83" t="s">
        <v>337</v>
      </c>
      <c r="J15" s="25"/>
      <c r="K15" s="25" t="s">
        <v>337</v>
      </c>
      <c r="L15" s="23" t="s">
        <v>337</v>
      </c>
      <c r="M15" s="23"/>
      <c r="N15" s="188">
        <f>SUM(L10:L14)</f>
        <v>321500</v>
      </c>
      <c r="V15" s="405" t="s">
        <v>1493</v>
      </c>
      <c r="W15" s="409">
        <v>11400</v>
      </c>
      <c r="X15" s="314"/>
      <c r="Y15" s="314"/>
      <c r="Z15" s="20"/>
      <c r="AA15" s="20"/>
      <c r="AB15" s="20"/>
      <c r="AC15" s="20"/>
      <c r="AD15" s="48"/>
    </row>
    <row r="16" spans="2:30" ht="15.95" customHeight="1" x14ac:dyDescent="0.25">
      <c r="C16" s="10" t="s">
        <v>401</v>
      </c>
      <c r="H16" s="83"/>
      <c r="I16" s="83"/>
      <c r="J16" s="25"/>
      <c r="K16" s="25"/>
      <c r="L16" s="23"/>
      <c r="M16" s="23"/>
      <c r="N16" s="25"/>
      <c r="V16" s="405" t="s">
        <v>1496</v>
      </c>
      <c r="W16" s="409">
        <v>150000</v>
      </c>
      <c r="X16" s="314"/>
      <c r="Y16" s="314"/>
      <c r="Z16" s="20"/>
      <c r="AA16" s="20"/>
      <c r="AB16" s="20"/>
      <c r="AC16" s="20"/>
      <c r="AD16" s="48"/>
    </row>
    <row r="17" spans="3:31" ht="15.95" customHeight="1" x14ac:dyDescent="0.25">
      <c r="C17" s="69" t="s">
        <v>816</v>
      </c>
      <c r="H17" s="83"/>
      <c r="I17" s="83" t="s">
        <v>337</v>
      </c>
      <c r="J17" s="25"/>
      <c r="K17" s="25" t="s">
        <v>337</v>
      </c>
      <c r="L17" s="23" t="s">
        <v>337</v>
      </c>
      <c r="M17" s="23"/>
      <c r="N17" s="187">
        <f>'1-18'!W23</f>
        <v>32700</v>
      </c>
      <c r="V17" s="405" t="s">
        <v>440</v>
      </c>
      <c r="W17" s="409">
        <v>309000</v>
      </c>
      <c r="X17" s="314"/>
      <c r="Y17" s="314"/>
      <c r="Z17" s="20"/>
      <c r="AA17" s="20"/>
      <c r="AB17" s="20"/>
      <c r="AC17" s="20"/>
      <c r="AD17" s="48"/>
    </row>
    <row r="18" spans="3:31" ht="15.95" customHeight="1" x14ac:dyDescent="0.25">
      <c r="C18" s="10" t="s">
        <v>403</v>
      </c>
      <c r="D18" s="10"/>
      <c r="E18" s="10"/>
      <c r="L18" s="78"/>
      <c r="M18" s="46"/>
      <c r="N18" s="46"/>
      <c r="V18" s="405" t="s">
        <v>441</v>
      </c>
      <c r="W18" s="409">
        <v>106100</v>
      </c>
      <c r="X18" s="316"/>
      <c r="Y18" s="316"/>
      <c r="Z18" s="48"/>
      <c r="AA18" s="48"/>
      <c r="AD18" s="48"/>
    </row>
    <row r="19" spans="3:31" ht="15.95" customHeight="1" x14ac:dyDescent="0.25">
      <c r="C19" s="69" t="s">
        <v>429</v>
      </c>
      <c r="E19" s="10"/>
      <c r="I19" s="2" t="s">
        <v>337</v>
      </c>
      <c r="K19" s="2" t="s">
        <v>337</v>
      </c>
      <c r="L19" s="186">
        <f>W22</f>
        <v>41000</v>
      </c>
      <c r="M19" s="46"/>
      <c r="S19" s="313"/>
      <c r="V19" s="405" t="s">
        <v>883</v>
      </c>
      <c r="W19" s="409">
        <v>21600</v>
      </c>
      <c r="X19" s="316"/>
      <c r="Y19" s="316"/>
      <c r="Z19" s="48"/>
      <c r="AA19" s="48"/>
      <c r="AD19" s="48"/>
    </row>
    <row r="20" spans="3:31" ht="15.95" customHeight="1" x14ac:dyDescent="0.25">
      <c r="C20" s="69" t="s">
        <v>430</v>
      </c>
      <c r="E20" s="10"/>
      <c r="I20" s="2" t="s">
        <v>337</v>
      </c>
      <c r="J20" s="248">
        <f>W14</f>
        <v>419900</v>
      </c>
      <c r="K20" s="248"/>
      <c r="L20" s="46"/>
      <c r="M20" s="46"/>
      <c r="V20" s="405" t="s">
        <v>444</v>
      </c>
      <c r="W20" s="409">
        <v>12600</v>
      </c>
      <c r="X20" s="316"/>
      <c r="Y20" s="316"/>
      <c r="Z20" s="48"/>
      <c r="AA20" s="48"/>
      <c r="AD20" s="48"/>
      <c r="AE20" s="36"/>
    </row>
    <row r="21" spans="3:31" ht="15.95" customHeight="1" x14ac:dyDescent="0.25">
      <c r="C21" s="69" t="s">
        <v>432</v>
      </c>
      <c r="E21" s="10"/>
      <c r="I21" s="2" t="s">
        <v>337</v>
      </c>
      <c r="J21" s="191">
        <f>-W11</f>
        <v>-216800</v>
      </c>
      <c r="K21" s="189"/>
      <c r="L21" s="189">
        <f>J20+J21</f>
        <v>203100</v>
      </c>
      <c r="M21" s="46"/>
      <c r="V21" s="405" t="s">
        <v>1494</v>
      </c>
      <c r="W21" s="409">
        <v>187900</v>
      </c>
      <c r="X21" s="316"/>
      <c r="Y21" s="316"/>
      <c r="Z21" s="48"/>
      <c r="AA21" s="48"/>
      <c r="AD21" s="48"/>
    </row>
    <row r="22" spans="3:31" ht="15.95" customHeight="1" x14ac:dyDescent="0.25">
      <c r="C22" s="69" t="s">
        <v>434</v>
      </c>
      <c r="E22" s="10"/>
      <c r="I22" s="2" t="s">
        <v>337</v>
      </c>
      <c r="J22" s="248">
        <f>W18</f>
        <v>106100</v>
      </c>
      <c r="K22" s="248"/>
      <c r="L22" s="46"/>
      <c r="M22" s="46"/>
      <c r="V22" s="405" t="s">
        <v>447</v>
      </c>
      <c r="W22" s="409">
        <v>41000</v>
      </c>
      <c r="X22" s="316"/>
      <c r="Y22" s="316"/>
      <c r="Z22" s="48"/>
      <c r="AA22" s="48"/>
      <c r="AD22" s="48"/>
    </row>
    <row r="23" spans="3:31" ht="15.95" customHeight="1" x14ac:dyDescent="0.25">
      <c r="C23" s="69" t="s">
        <v>432</v>
      </c>
      <c r="E23" s="10"/>
      <c r="I23" s="2" t="s">
        <v>337</v>
      </c>
      <c r="J23" s="190">
        <f>-W12</f>
        <v>-31200</v>
      </c>
      <c r="K23" s="187"/>
      <c r="L23" s="187">
        <f>J22+J23</f>
        <v>74900</v>
      </c>
      <c r="M23" s="46"/>
      <c r="V23" s="405" t="s">
        <v>449</v>
      </c>
      <c r="W23" s="409">
        <v>32700</v>
      </c>
      <c r="X23" s="316"/>
      <c r="Y23" s="316"/>
      <c r="Z23" s="48"/>
      <c r="AA23" s="48"/>
      <c r="AD23" s="48"/>
    </row>
    <row r="24" spans="3:31" ht="15.95" customHeight="1" x14ac:dyDescent="0.25">
      <c r="C24" s="69" t="s">
        <v>437</v>
      </c>
      <c r="E24" s="10"/>
      <c r="I24" s="2" t="s">
        <v>337</v>
      </c>
      <c r="J24" s="248">
        <f>W17</f>
        <v>309000</v>
      </c>
      <c r="K24" s="248"/>
      <c r="L24" s="46"/>
      <c r="M24" s="46"/>
      <c r="V24" s="405" t="s">
        <v>450</v>
      </c>
      <c r="W24" s="409">
        <v>150000</v>
      </c>
      <c r="X24" s="316"/>
      <c r="Y24" s="316"/>
      <c r="Z24" s="48"/>
      <c r="AA24" s="48"/>
      <c r="AD24" s="48"/>
    </row>
    <row r="25" spans="3:31" ht="15.95" customHeight="1" x14ac:dyDescent="0.25">
      <c r="C25" s="69" t="s">
        <v>432</v>
      </c>
      <c r="E25" s="10"/>
      <c r="I25" s="2" t="s">
        <v>337</v>
      </c>
      <c r="J25" s="191">
        <f>-W10</f>
        <v>-172400</v>
      </c>
      <c r="K25" s="189"/>
      <c r="L25" s="191">
        <f>J24+J25</f>
        <v>136600</v>
      </c>
      <c r="M25" s="46"/>
      <c r="N25" s="48"/>
      <c r="V25" s="405" t="s">
        <v>451</v>
      </c>
      <c r="W25" s="409">
        <v>5700</v>
      </c>
      <c r="X25" s="316"/>
      <c r="Y25" s="316"/>
      <c r="Z25" s="48"/>
      <c r="AA25" s="48"/>
      <c r="AD25" s="48"/>
    </row>
    <row r="26" spans="3:31" ht="15.95" customHeight="1" x14ac:dyDescent="0.25">
      <c r="C26" s="158" t="s">
        <v>1250</v>
      </c>
      <c r="E26" s="10"/>
      <c r="I26" s="2" t="s">
        <v>337</v>
      </c>
      <c r="L26" s="78" t="s">
        <v>337</v>
      </c>
      <c r="M26" s="46"/>
      <c r="N26" s="191">
        <f>L19+L21+L23+L25</f>
        <v>455600</v>
      </c>
      <c r="V26" s="405" t="s">
        <v>453</v>
      </c>
      <c r="W26" s="409">
        <v>14400</v>
      </c>
      <c r="X26" s="316"/>
      <c r="Y26" s="316"/>
      <c r="Z26" s="48"/>
      <c r="AA26" s="48"/>
      <c r="AB26" s="209"/>
      <c r="AC26" s="104"/>
      <c r="AD26" s="48"/>
    </row>
    <row r="27" spans="3:31" ht="15.95" customHeight="1" thickBot="1" x14ac:dyDescent="0.3">
      <c r="C27" s="10" t="s">
        <v>439</v>
      </c>
      <c r="D27" s="10"/>
      <c r="E27" s="10"/>
      <c r="I27" s="2" t="s">
        <v>337</v>
      </c>
      <c r="L27" s="46" t="s">
        <v>337</v>
      </c>
      <c r="M27" s="46"/>
      <c r="N27" s="192">
        <f>SUM('1-18'!N15+'1-18'!N17+L19+L21+L23+L25)</f>
        <v>809800</v>
      </c>
      <c r="V27" s="405" t="s">
        <v>454</v>
      </c>
      <c r="W27" s="409">
        <v>21000</v>
      </c>
      <c r="X27" s="316"/>
      <c r="Y27" s="316"/>
      <c r="Z27" s="48"/>
      <c r="AA27" s="48"/>
      <c r="AD27" s="48"/>
    </row>
    <row r="28" spans="3:31" ht="15.95" customHeight="1" thickTop="1" x14ac:dyDescent="0.25">
      <c r="C28" s="382" t="s">
        <v>771</v>
      </c>
      <c r="D28" s="382"/>
      <c r="E28" s="382"/>
      <c r="F28" s="382"/>
      <c r="G28" s="382"/>
      <c r="H28" s="382"/>
      <c r="I28" s="382"/>
      <c r="J28" s="382"/>
      <c r="K28" s="382"/>
      <c r="L28" s="382"/>
      <c r="M28" s="382"/>
      <c r="N28" s="382"/>
      <c r="O28" s="133"/>
      <c r="P28" s="319"/>
      <c r="Q28" s="319"/>
      <c r="X28" s="316"/>
      <c r="Y28" s="316"/>
      <c r="Z28" s="48"/>
      <c r="AA28" s="48"/>
      <c r="AD28" s="48"/>
    </row>
    <row r="29" spans="3:31" ht="15.95" customHeight="1" x14ac:dyDescent="0.25">
      <c r="C29" s="132" t="s">
        <v>881</v>
      </c>
      <c r="D29" s="132"/>
      <c r="E29" s="132"/>
      <c r="F29" s="133"/>
      <c r="G29" s="133"/>
      <c r="H29" s="133"/>
      <c r="I29" s="133"/>
      <c r="J29" s="133"/>
      <c r="K29" s="133"/>
      <c r="L29" s="132"/>
      <c r="M29" s="132"/>
      <c r="N29" s="132"/>
      <c r="O29" s="133"/>
      <c r="P29" s="319"/>
      <c r="Q29" s="319"/>
      <c r="X29" s="316"/>
      <c r="Y29" s="316"/>
      <c r="Z29" s="48"/>
      <c r="AA29" s="48"/>
      <c r="AD29" s="48"/>
    </row>
    <row r="30" spans="3:31" ht="15.95" customHeight="1" x14ac:dyDescent="0.25">
      <c r="C30" s="132" t="s">
        <v>774</v>
      </c>
      <c r="D30" s="132" t="s">
        <v>442</v>
      </c>
      <c r="E30" s="132"/>
      <c r="F30" s="133"/>
      <c r="G30" s="133"/>
      <c r="H30" s="133"/>
      <c r="I30" s="133"/>
      <c r="J30" s="133"/>
      <c r="K30" s="133"/>
      <c r="L30" s="129">
        <f>W8</f>
        <v>65100</v>
      </c>
      <c r="M30" s="130"/>
      <c r="N30" s="130"/>
      <c r="O30" s="133"/>
      <c r="P30" s="319"/>
      <c r="Q30" s="319"/>
      <c r="X30" s="316"/>
      <c r="Y30" s="316"/>
      <c r="Z30" s="48"/>
      <c r="AA30" s="48"/>
      <c r="AD30" s="48"/>
    </row>
    <row r="31" spans="3:31" ht="15.95" customHeight="1" x14ac:dyDescent="0.25">
      <c r="C31" s="132" t="s">
        <v>774</v>
      </c>
      <c r="D31" s="132" t="s">
        <v>443</v>
      </c>
      <c r="E31" s="132"/>
      <c r="F31" s="133"/>
      <c r="G31" s="133"/>
      <c r="H31" s="133"/>
      <c r="I31" s="133"/>
      <c r="J31" s="133"/>
      <c r="K31" s="133"/>
      <c r="L31" s="130">
        <f>W24</f>
        <v>150000</v>
      </c>
      <c r="M31" s="130"/>
      <c r="N31" s="130"/>
      <c r="O31" s="133"/>
      <c r="P31" s="319"/>
      <c r="Q31" s="319"/>
      <c r="X31" s="316"/>
      <c r="Y31" s="316"/>
      <c r="Z31" s="48"/>
      <c r="AA31" s="48"/>
      <c r="AD31" s="48"/>
    </row>
    <row r="32" spans="3:31" ht="15.95" customHeight="1" x14ac:dyDescent="0.25">
      <c r="C32" s="132" t="s">
        <v>774</v>
      </c>
      <c r="D32" s="132" t="s">
        <v>445</v>
      </c>
      <c r="E32" s="132"/>
      <c r="F32" s="133"/>
      <c r="G32" s="133"/>
      <c r="H32" s="133"/>
      <c r="I32" s="133"/>
      <c r="J32" s="133"/>
      <c r="K32" s="133"/>
      <c r="L32" s="130">
        <f>W26</f>
        <v>14400</v>
      </c>
      <c r="M32" s="130"/>
      <c r="N32" s="130"/>
      <c r="O32" s="133"/>
      <c r="P32" s="319"/>
      <c r="Q32" s="319"/>
      <c r="X32" s="316"/>
      <c r="Y32" s="316"/>
      <c r="Z32" s="48"/>
      <c r="AA32" s="48"/>
      <c r="AD32" s="48"/>
    </row>
    <row r="33" spans="3:30" ht="15.95" customHeight="1" x14ac:dyDescent="0.25">
      <c r="C33" s="132" t="s">
        <v>774</v>
      </c>
      <c r="D33" s="132" t="s">
        <v>446</v>
      </c>
      <c r="E33" s="132"/>
      <c r="F33" s="133"/>
      <c r="G33" s="133"/>
      <c r="H33" s="133"/>
      <c r="I33" s="133"/>
      <c r="J33" s="133"/>
      <c r="K33" s="133"/>
      <c r="L33" s="130">
        <f>W19</f>
        <v>21600</v>
      </c>
      <c r="M33" s="130"/>
      <c r="N33" s="130"/>
      <c r="O33" s="133"/>
      <c r="P33" s="319"/>
      <c r="Q33" s="319"/>
      <c r="X33" s="316"/>
      <c r="Y33" s="316"/>
      <c r="Z33" s="48"/>
      <c r="AA33" s="48"/>
      <c r="AD33" s="48"/>
    </row>
    <row r="34" spans="3:30" ht="15.95" customHeight="1" x14ac:dyDescent="0.25">
      <c r="C34" s="132" t="s">
        <v>774</v>
      </c>
      <c r="D34" s="132" t="s">
        <v>448</v>
      </c>
      <c r="E34" s="132"/>
      <c r="F34" s="133"/>
      <c r="G34" s="133"/>
      <c r="H34" s="133"/>
      <c r="I34" s="133"/>
      <c r="J34" s="133"/>
      <c r="K34" s="133"/>
      <c r="L34" s="130">
        <f>W20</f>
        <v>12600</v>
      </c>
      <c r="M34" s="130"/>
      <c r="N34" s="130"/>
      <c r="O34" s="133"/>
      <c r="P34" s="319"/>
      <c r="Q34" s="319"/>
      <c r="X34" s="316"/>
      <c r="Y34" s="316"/>
      <c r="Z34" s="48"/>
      <c r="AA34" s="48"/>
      <c r="AD34" s="48"/>
    </row>
    <row r="35" spans="3:30" ht="15.95" customHeight="1" x14ac:dyDescent="0.25">
      <c r="C35" s="132"/>
      <c r="D35" s="134" t="s">
        <v>812</v>
      </c>
      <c r="E35" s="132"/>
      <c r="F35" s="133"/>
      <c r="G35" s="133"/>
      <c r="H35" s="133"/>
      <c r="I35" s="133"/>
      <c r="J35" s="133"/>
      <c r="K35" s="133"/>
      <c r="L35" s="130" t="s">
        <v>337</v>
      </c>
      <c r="M35" s="130"/>
      <c r="N35" s="131">
        <f>SUM(L30:L34)</f>
        <v>263700</v>
      </c>
      <c r="O35" s="133"/>
      <c r="P35" s="319"/>
      <c r="Q35" s="319"/>
      <c r="X35" s="316"/>
      <c r="Y35" s="316"/>
      <c r="Z35" s="48"/>
      <c r="AA35" s="48"/>
      <c r="AD35" s="48"/>
    </row>
    <row r="36" spans="3:30" ht="18" customHeight="1" x14ac:dyDescent="0.25">
      <c r="C36" s="132" t="s">
        <v>886</v>
      </c>
      <c r="D36" s="132"/>
      <c r="E36" s="132"/>
      <c r="F36" s="133"/>
      <c r="G36" s="133"/>
      <c r="H36" s="133"/>
      <c r="I36" s="133"/>
      <c r="J36" s="133"/>
      <c r="K36" s="133"/>
      <c r="L36" s="130"/>
      <c r="M36" s="130"/>
      <c r="N36" s="130"/>
      <c r="O36" s="133"/>
      <c r="P36" s="319"/>
      <c r="Q36" s="319"/>
      <c r="X36" s="316"/>
      <c r="Y36" s="316"/>
      <c r="Z36" s="48"/>
      <c r="AA36" s="48"/>
      <c r="AD36" s="48"/>
    </row>
    <row r="37" spans="3:30" ht="15.95" customHeight="1" x14ac:dyDescent="0.25">
      <c r="C37" s="132" t="s">
        <v>413</v>
      </c>
      <c r="D37" s="132" t="s">
        <v>452</v>
      </c>
      <c r="E37" s="132"/>
      <c r="F37" s="133"/>
      <c r="G37" s="133"/>
      <c r="H37" s="133"/>
      <c r="I37" s="133"/>
      <c r="J37" s="133"/>
      <c r="K37" s="133"/>
      <c r="L37" s="130" t="s">
        <v>337</v>
      </c>
      <c r="M37" s="130"/>
      <c r="N37" s="130">
        <f>W13</f>
        <v>200000</v>
      </c>
      <c r="O37" s="133"/>
      <c r="P37" s="319"/>
      <c r="Q37" s="319"/>
      <c r="X37" s="316"/>
      <c r="Y37" s="316"/>
      <c r="Z37" s="48"/>
      <c r="AA37" s="48"/>
      <c r="AD37" s="48"/>
    </row>
    <row r="38" spans="3:30" ht="15.95" customHeight="1" x14ac:dyDescent="0.25">
      <c r="C38" s="132"/>
      <c r="D38" s="134" t="s">
        <v>813</v>
      </c>
      <c r="E38" s="132"/>
      <c r="F38" s="133"/>
      <c r="G38" s="133"/>
      <c r="H38" s="133"/>
      <c r="I38" s="133"/>
      <c r="J38" s="133"/>
      <c r="K38" s="133"/>
      <c r="L38" s="130" t="s">
        <v>337</v>
      </c>
      <c r="M38" s="130"/>
      <c r="N38" s="131">
        <f>SUM(N35:N37)</f>
        <v>463700</v>
      </c>
      <c r="O38" s="133"/>
      <c r="P38" s="319"/>
      <c r="Q38" s="319"/>
      <c r="X38" s="316"/>
      <c r="Y38" s="316"/>
      <c r="Z38" s="48"/>
      <c r="AA38" s="48"/>
      <c r="AD38" s="48"/>
    </row>
    <row r="39" spans="3:30" ht="18" customHeight="1" x14ac:dyDescent="0.25">
      <c r="C39" s="132" t="s">
        <v>1590</v>
      </c>
      <c r="D39" s="132"/>
      <c r="E39" s="132"/>
      <c r="F39" s="133"/>
      <c r="G39" s="133"/>
      <c r="H39" s="133"/>
      <c r="I39" s="133"/>
      <c r="J39" s="133"/>
      <c r="K39" s="133"/>
      <c r="L39" s="130"/>
      <c r="M39" s="130"/>
      <c r="N39" s="130"/>
      <c r="O39" s="133"/>
      <c r="P39" s="319"/>
      <c r="Q39" s="319"/>
      <c r="X39" s="316"/>
      <c r="Y39" s="316"/>
      <c r="Z39" s="48"/>
      <c r="AA39" s="48"/>
      <c r="AB39" s="209"/>
      <c r="AC39" s="48"/>
      <c r="AD39" s="48"/>
    </row>
    <row r="40" spans="3:30" ht="15.95" customHeight="1" x14ac:dyDescent="0.25">
      <c r="C40" s="132" t="s">
        <v>413</v>
      </c>
      <c r="D40" s="132" t="s">
        <v>455</v>
      </c>
      <c r="E40" s="132"/>
      <c r="F40" s="133"/>
      <c r="G40" s="133"/>
      <c r="H40" s="133"/>
      <c r="I40" s="133"/>
      <c r="J40" s="133"/>
      <c r="K40" s="133"/>
      <c r="L40" s="131">
        <f>W16</f>
        <v>150000</v>
      </c>
      <c r="M40" s="130"/>
      <c r="N40" s="130"/>
      <c r="O40" s="133"/>
      <c r="P40" s="319"/>
      <c r="Q40" s="319"/>
      <c r="AB40" s="209"/>
    </row>
    <row r="41" spans="3:30" ht="15.95" customHeight="1" x14ac:dyDescent="0.25">
      <c r="C41" s="132" t="s">
        <v>413</v>
      </c>
      <c r="D41" s="132" t="s">
        <v>456</v>
      </c>
      <c r="E41" s="132"/>
      <c r="F41" s="133"/>
      <c r="G41" s="133"/>
      <c r="H41" s="133"/>
      <c r="I41" s="133"/>
      <c r="J41" s="133"/>
      <c r="K41" s="133"/>
      <c r="L41" s="130">
        <f>H58</f>
        <v>196100</v>
      </c>
      <c r="M41" s="130"/>
      <c r="N41" s="130"/>
      <c r="O41" s="133"/>
      <c r="P41" s="319"/>
      <c r="Q41" s="319"/>
    </row>
    <row r="42" spans="3:30" ht="15.95" customHeight="1" x14ac:dyDescent="0.25">
      <c r="C42" s="132"/>
      <c r="D42" s="134" t="s">
        <v>814</v>
      </c>
      <c r="E42" s="132"/>
      <c r="F42" s="133"/>
      <c r="G42" s="133"/>
      <c r="H42" s="133"/>
      <c r="I42" s="133"/>
      <c r="J42" s="133"/>
      <c r="K42" s="133"/>
      <c r="L42" s="130" t="s">
        <v>337</v>
      </c>
      <c r="M42" s="130"/>
      <c r="N42" s="130">
        <f>N43-N38</f>
        <v>346100</v>
      </c>
      <c r="O42" s="133"/>
      <c r="P42" s="319"/>
      <c r="Q42" s="319"/>
    </row>
    <row r="43" spans="3:30" ht="18" customHeight="1" x14ac:dyDescent="0.25">
      <c r="C43" s="132" t="s">
        <v>457</v>
      </c>
      <c r="D43" s="132"/>
      <c r="E43" s="132"/>
      <c r="F43" s="133"/>
      <c r="G43" s="133"/>
      <c r="H43" s="133"/>
      <c r="I43" s="133"/>
      <c r="J43" s="133"/>
      <c r="K43" s="133"/>
      <c r="L43" s="130" t="s">
        <v>337</v>
      </c>
      <c r="M43" s="130"/>
      <c r="N43" s="131">
        <f>N27</f>
        <v>809800</v>
      </c>
      <c r="O43" s="133"/>
      <c r="P43" s="319"/>
      <c r="Q43" s="319"/>
    </row>
    <row r="44" spans="3:30" ht="9.9499999999999993" customHeight="1" x14ac:dyDescent="0.2">
      <c r="C44" s="133"/>
      <c r="D44" s="133"/>
      <c r="E44" s="133"/>
      <c r="F44" s="133"/>
      <c r="G44" s="133"/>
      <c r="H44" s="133"/>
      <c r="I44" s="133"/>
      <c r="J44" s="133"/>
      <c r="K44" s="133"/>
      <c r="L44" s="135"/>
      <c r="M44" s="135"/>
      <c r="N44" s="135"/>
      <c r="O44" s="133"/>
      <c r="P44" s="319"/>
      <c r="Q44" s="319"/>
      <c r="V44" s="402"/>
      <c r="W44" s="402"/>
      <c r="X44" s="313"/>
      <c r="Y44" s="313"/>
      <c r="Z44" s="29"/>
      <c r="AA44" s="29"/>
      <c r="AB44" s="29"/>
      <c r="AC44" s="29"/>
    </row>
    <row r="45" spans="3:30" s="29" customFormat="1" ht="15" customHeight="1" x14ac:dyDescent="0.2">
      <c r="C45" s="136" t="s">
        <v>815</v>
      </c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320"/>
      <c r="Q45" s="320"/>
      <c r="R45" s="313"/>
      <c r="S45" s="313"/>
      <c r="T45" s="402"/>
      <c r="U45" s="402"/>
      <c r="V45" s="402"/>
      <c r="W45" s="402"/>
      <c r="X45" s="313"/>
      <c r="Y45" s="313"/>
    </row>
    <row r="46" spans="3:30" s="29" customFormat="1" ht="12" customHeight="1" x14ac:dyDescent="0.2">
      <c r="C46" s="138" t="s">
        <v>458</v>
      </c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320"/>
      <c r="Q46" s="320"/>
      <c r="R46" s="313"/>
      <c r="S46" s="313"/>
      <c r="T46" s="402"/>
      <c r="U46" s="402"/>
      <c r="V46" s="402"/>
      <c r="W46" s="402"/>
      <c r="X46" s="313"/>
      <c r="Y46" s="313"/>
    </row>
    <row r="47" spans="3:30" s="29" customFormat="1" ht="12" customHeight="1" x14ac:dyDescent="0.2">
      <c r="C47" s="138" t="s">
        <v>459</v>
      </c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320"/>
      <c r="Q47" s="320"/>
      <c r="R47" s="313"/>
      <c r="S47" s="313"/>
      <c r="T47" s="402"/>
      <c r="U47" s="402"/>
      <c r="V47" s="402"/>
      <c r="W47" s="402"/>
      <c r="X47" s="313"/>
      <c r="Y47" s="313"/>
    </row>
    <row r="48" spans="3:30" s="29" customFormat="1" ht="12" customHeight="1" x14ac:dyDescent="0.2">
      <c r="C48" s="138" t="s">
        <v>460</v>
      </c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320"/>
      <c r="Q48" s="320"/>
      <c r="R48" s="313"/>
      <c r="S48" s="313"/>
      <c r="T48" s="402"/>
      <c r="U48" s="402"/>
      <c r="V48" s="402"/>
      <c r="W48" s="402"/>
      <c r="X48" s="313"/>
      <c r="Y48" s="313"/>
    </row>
    <row r="49" spans="3:29" s="29" customFormat="1" ht="9.9499999999999993" customHeight="1" x14ac:dyDescent="0.25"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320"/>
      <c r="Q49" s="320"/>
      <c r="R49" s="313"/>
      <c r="S49" s="313"/>
      <c r="T49" s="402"/>
      <c r="U49" s="402"/>
      <c r="V49" s="402"/>
      <c r="W49" s="402"/>
      <c r="X49" s="313"/>
      <c r="Y49" s="313"/>
      <c r="Z49" s="10"/>
      <c r="AA49" s="10"/>
      <c r="AB49" s="10"/>
      <c r="AC49" s="10"/>
    </row>
    <row r="50" spans="3:29" s="10" customFormat="1" ht="17.100000000000001" customHeight="1" x14ac:dyDescent="0.25">
      <c r="C50" s="132" t="s">
        <v>743</v>
      </c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320"/>
      <c r="Q50" s="320"/>
      <c r="R50" s="313"/>
      <c r="S50" s="313"/>
      <c r="T50" s="402"/>
      <c r="U50" s="402"/>
      <c r="V50" s="402"/>
      <c r="W50" s="402"/>
      <c r="X50" s="313"/>
      <c r="Y50" s="313"/>
    </row>
    <row r="51" spans="3:29" s="10" customFormat="1" ht="17.100000000000001" customHeight="1" x14ac:dyDescent="0.25">
      <c r="C51" s="132" t="s">
        <v>745</v>
      </c>
      <c r="D51" s="132"/>
      <c r="E51" s="139" t="s">
        <v>111</v>
      </c>
      <c r="F51" s="132" t="s">
        <v>567</v>
      </c>
      <c r="G51" s="132"/>
      <c r="H51" s="132"/>
      <c r="I51" s="132"/>
      <c r="J51" s="132"/>
      <c r="K51" s="132"/>
      <c r="L51" s="132"/>
      <c r="M51" s="132"/>
      <c r="N51" s="132"/>
      <c r="O51" s="132"/>
      <c r="P51" s="320"/>
      <c r="Q51" s="320"/>
      <c r="R51" s="313"/>
      <c r="S51" s="313"/>
      <c r="T51" s="402"/>
      <c r="U51" s="402"/>
      <c r="V51" s="402"/>
      <c r="W51" s="402"/>
      <c r="X51" s="313"/>
      <c r="Y51" s="313"/>
    </row>
    <row r="52" spans="3:29" s="10" customFormat="1" ht="17.100000000000001" customHeight="1" x14ac:dyDescent="0.25">
      <c r="C52" s="132"/>
      <c r="D52" s="140">
        <f>N27</f>
        <v>809800</v>
      </c>
      <c r="E52" s="139" t="s">
        <v>111</v>
      </c>
      <c r="F52" s="140">
        <f>N38</f>
        <v>463700</v>
      </c>
      <c r="G52" s="141" t="s">
        <v>1504</v>
      </c>
      <c r="H52" s="142" t="s">
        <v>746</v>
      </c>
      <c r="I52" s="142"/>
      <c r="J52" s="132"/>
      <c r="K52" s="132"/>
      <c r="L52" s="132"/>
      <c r="M52" s="132"/>
      <c r="N52" s="132"/>
      <c r="O52" s="132"/>
      <c r="P52" s="320"/>
      <c r="Q52" s="320"/>
      <c r="R52" s="313"/>
      <c r="S52" s="313"/>
      <c r="T52" s="402"/>
      <c r="U52" s="402"/>
      <c r="V52" s="407"/>
      <c r="W52" s="402"/>
      <c r="X52" s="313"/>
      <c r="Y52" s="312"/>
      <c r="Z52" s="2"/>
      <c r="AA52" s="2"/>
      <c r="AB52" s="2"/>
      <c r="AC52" s="2"/>
    </row>
    <row r="53" spans="3:29" s="10" customFormat="1" ht="17.100000000000001" customHeight="1" x14ac:dyDescent="0.25">
      <c r="C53" s="132"/>
      <c r="D53" s="142" t="s">
        <v>1506</v>
      </c>
      <c r="E53" s="139" t="s">
        <v>111</v>
      </c>
      <c r="F53" s="140">
        <f>D52-F52</f>
        <v>346100</v>
      </c>
      <c r="G53" s="140"/>
      <c r="H53" s="132"/>
      <c r="I53" s="132"/>
      <c r="J53" s="132"/>
      <c r="K53" s="132"/>
      <c r="L53" s="132"/>
      <c r="M53" s="132"/>
      <c r="N53" s="132"/>
      <c r="O53" s="132"/>
      <c r="P53" s="320"/>
      <c r="Q53" s="320"/>
      <c r="R53" s="313"/>
      <c r="S53" s="313"/>
      <c r="T53" s="402"/>
      <c r="U53" s="402"/>
      <c r="V53" s="402"/>
      <c r="W53" s="402"/>
      <c r="X53" s="313"/>
      <c r="Y53" s="313"/>
    </row>
    <row r="54" spans="3:29" s="10" customFormat="1" ht="9.9499999999999993" customHeight="1" x14ac:dyDescent="0.25"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320"/>
      <c r="Q54" s="320"/>
      <c r="R54" s="313"/>
      <c r="S54" s="313"/>
      <c r="T54" s="402"/>
      <c r="U54" s="402"/>
      <c r="V54" s="402"/>
      <c r="W54" s="402"/>
      <c r="X54" s="313"/>
      <c r="Y54" s="313"/>
    </row>
    <row r="55" spans="3:29" s="10" customFormat="1" ht="17.100000000000001" customHeight="1" x14ac:dyDescent="0.25">
      <c r="C55" s="132" t="s">
        <v>461</v>
      </c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320"/>
      <c r="Q55" s="320"/>
      <c r="R55" s="313"/>
      <c r="S55" s="313"/>
      <c r="T55" s="402"/>
      <c r="U55" s="402"/>
      <c r="V55" s="402"/>
      <c r="W55" s="402"/>
      <c r="X55" s="313"/>
      <c r="Y55" s="313"/>
    </row>
    <row r="56" spans="3:29" s="10" customFormat="1" ht="17.100000000000001" customHeight="1" x14ac:dyDescent="0.25">
      <c r="C56" s="132" t="s">
        <v>568</v>
      </c>
      <c r="D56" s="132"/>
      <c r="E56" s="132"/>
      <c r="F56" s="132"/>
      <c r="G56" s="139" t="s">
        <v>111</v>
      </c>
      <c r="H56" s="132" t="s">
        <v>462</v>
      </c>
      <c r="I56" s="132"/>
      <c r="J56" s="132"/>
      <c r="K56" s="132"/>
      <c r="L56" s="132"/>
      <c r="M56" s="132"/>
      <c r="N56" s="132"/>
      <c r="O56" s="132"/>
      <c r="P56" s="320"/>
      <c r="Q56" s="320"/>
      <c r="R56" s="313"/>
      <c r="S56" s="313"/>
      <c r="T56" s="402"/>
      <c r="U56" s="402"/>
      <c r="V56" s="402"/>
      <c r="W56" s="402"/>
      <c r="X56" s="313"/>
      <c r="Y56" s="313"/>
    </row>
    <row r="57" spans="3:29" s="10" customFormat="1" ht="17.100000000000001" customHeight="1" x14ac:dyDescent="0.25">
      <c r="C57" s="132"/>
      <c r="D57" s="132"/>
      <c r="E57" s="132"/>
      <c r="F57" s="143">
        <f>N42</f>
        <v>346100</v>
      </c>
      <c r="G57" s="139" t="s">
        <v>111</v>
      </c>
      <c r="H57" s="140">
        <f>L40</f>
        <v>150000</v>
      </c>
      <c r="I57" s="140"/>
      <c r="J57" s="144" t="s">
        <v>463</v>
      </c>
      <c r="K57" s="144"/>
      <c r="L57" s="132"/>
      <c r="M57" s="132"/>
      <c r="N57" s="132"/>
      <c r="O57" s="132"/>
      <c r="P57" s="320"/>
      <c r="Q57" s="320"/>
      <c r="R57" s="313"/>
      <c r="S57" s="313"/>
      <c r="T57" s="402"/>
      <c r="U57" s="402"/>
      <c r="V57" s="402"/>
      <c r="W57" s="402"/>
      <c r="X57" s="313"/>
      <c r="Y57" s="313"/>
    </row>
    <row r="58" spans="3:29" s="10" customFormat="1" ht="17.100000000000001" customHeight="1" x14ac:dyDescent="0.25">
      <c r="C58" s="132"/>
      <c r="D58" s="132"/>
      <c r="E58" s="132"/>
      <c r="F58" s="142" t="s">
        <v>464</v>
      </c>
      <c r="G58" s="139" t="s">
        <v>111</v>
      </c>
      <c r="H58" s="140">
        <f>F57-H57</f>
        <v>196100</v>
      </c>
      <c r="I58" s="140"/>
      <c r="J58" s="132"/>
      <c r="K58" s="132"/>
      <c r="L58" s="132"/>
      <c r="M58" s="132"/>
      <c r="N58" s="132"/>
      <c r="O58" s="132"/>
      <c r="P58" s="320"/>
      <c r="Q58" s="320"/>
      <c r="R58" s="313"/>
      <c r="S58" s="313"/>
      <c r="T58" s="402"/>
      <c r="U58" s="402"/>
      <c r="V58" s="402"/>
      <c r="W58" s="402"/>
      <c r="X58" s="313"/>
      <c r="Y58" s="313"/>
    </row>
    <row r="59" spans="3:29" s="10" customFormat="1" ht="15" customHeight="1" x14ac:dyDescent="0.25">
      <c r="C59" s="133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320"/>
      <c r="Q59" s="320"/>
      <c r="R59" s="313"/>
      <c r="S59" s="313"/>
      <c r="T59" s="402"/>
      <c r="U59" s="402"/>
      <c r="V59" s="402"/>
      <c r="W59" s="402"/>
      <c r="X59" s="313"/>
      <c r="Y59" s="313"/>
    </row>
    <row r="60" spans="3:29" ht="15" customHeight="1" x14ac:dyDescent="0.2"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319"/>
      <c r="Q60" s="319"/>
    </row>
    <row r="61" spans="3:29" ht="15" customHeight="1" x14ac:dyDescent="0.2"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319"/>
      <c r="Q61" s="319"/>
    </row>
    <row r="62" spans="3:29" ht="15" customHeight="1" x14ac:dyDescent="0.2"/>
    <row r="63" spans="3:29" ht="15" customHeight="1" x14ac:dyDescent="0.2"/>
    <row r="64" spans="3:29" ht="15" customHeight="1" x14ac:dyDescent="0.2"/>
    <row r="65" ht="15" customHeight="1" x14ac:dyDescent="0.2"/>
  </sheetData>
  <customSheetViews>
    <customSheetView guid="{B2DDA8C4-3089-41F7-BA6E-A0E09596A2CA}" scale="80" showPageBreaks="1" fitToPage="1" printArea="1"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6">
    <mergeCell ref="C28:N28"/>
    <mergeCell ref="C4:N4"/>
    <mergeCell ref="C5:N5"/>
    <mergeCell ref="C6:N6"/>
    <mergeCell ref="C7:N7"/>
    <mergeCell ref="C8:N8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43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3" width="4.7109375" style="2" customWidth="1"/>
    <col min="4" max="4" width="11.28515625" style="2" customWidth="1"/>
    <col min="5" max="5" width="3.28515625" style="2" customWidth="1"/>
    <col min="6" max="6" width="11.28515625" style="2" customWidth="1"/>
    <col min="7" max="7" width="3.42578125" style="2" customWidth="1"/>
    <col min="8" max="8" width="9.7109375" style="2" customWidth="1"/>
    <col min="9" max="9" width="14.85546875" style="2" customWidth="1"/>
    <col min="10" max="10" width="1.42578125" style="2" customWidth="1"/>
    <col min="11" max="11" width="11.28515625" style="2" customWidth="1"/>
    <col min="12" max="12" width="2.7109375" style="2" customWidth="1"/>
    <col min="13" max="13" width="11.28515625" style="2" customWidth="1"/>
    <col min="14" max="14" width="8.28515625" style="2" customWidth="1"/>
    <col min="15" max="15" width="2.7109375" style="312" customWidth="1"/>
    <col min="16" max="16" width="0" style="407" hidden="1" customWidth="1"/>
    <col min="17" max="17" width="2.7109375" style="407" hidden="1" customWidth="1"/>
    <col min="18" max="18" width="0" style="407" hidden="1" customWidth="1"/>
    <col min="19" max="19" width="2.7109375" style="407" hidden="1" customWidth="1"/>
    <col min="20" max="20" width="0" style="407" hidden="1" customWidth="1"/>
    <col min="21" max="21" width="2.7109375" style="407" hidden="1" customWidth="1"/>
    <col min="22" max="22" width="0" style="407" hidden="1" customWidth="1"/>
    <col min="23" max="25" width="9.140625" style="312"/>
    <col min="26" max="27" width="9.140625" style="2"/>
    <col min="28" max="28" width="4" style="2" customWidth="1"/>
    <col min="29" max="29" width="12.7109375" style="2" customWidth="1"/>
    <col min="30" max="16384" width="9.140625" style="2"/>
  </cols>
  <sheetData>
    <row r="1" spans="2:31" ht="28.5" customHeight="1" x14ac:dyDescent="0.2">
      <c r="V1" s="402"/>
      <c r="W1" s="316"/>
      <c r="X1" s="316"/>
      <c r="Y1" s="316"/>
      <c r="Z1" s="48"/>
      <c r="AA1" s="48"/>
      <c r="AB1" s="48"/>
      <c r="AC1" s="48"/>
      <c r="AD1" s="48"/>
      <c r="AE1" s="48"/>
    </row>
    <row r="2" spans="2:31" ht="15.95" customHeight="1" x14ac:dyDescent="0.25">
      <c r="B2" s="10" t="s">
        <v>1251</v>
      </c>
      <c r="K2" s="48"/>
      <c r="V2" s="403"/>
      <c r="W2" s="314"/>
      <c r="X2" s="314"/>
      <c r="Y2" s="314"/>
      <c r="Z2" s="20"/>
      <c r="AA2" s="20"/>
      <c r="AB2" s="20"/>
      <c r="AC2" s="20"/>
      <c r="AD2" s="48"/>
      <c r="AE2" s="48"/>
    </row>
    <row r="3" spans="2:31" ht="15.95" customHeight="1" x14ac:dyDescent="0.25">
      <c r="C3" s="357" t="s">
        <v>771</v>
      </c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13"/>
      <c r="W3" s="316"/>
      <c r="X3" s="316"/>
      <c r="Y3" s="316"/>
      <c r="Z3" s="48"/>
      <c r="AA3" s="48"/>
      <c r="AD3" s="48"/>
      <c r="AE3" s="48"/>
    </row>
    <row r="4" spans="2:31" ht="15.95" customHeight="1" x14ac:dyDescent="0.25">
      <c r="C4" s="10" t="s">
        <v>881</v>
      </c>
      <c r="D4" s="10"/>
      <c r="E4" s="10"/>
      <c r="K4" s="10"/>
      <c r="L4" s="10"/>
      <c r="M4" s="10"/>
      <c r="N4" s="10"/>
      <c r="V4" s="412" t="s">
        <v>796</v>
      </c>
      <c r="W4" s="316"/>
      <c r="X4" s="316"/>
      <c r="Y4" s="316"/>
      <c r="Z4" s="48"/>
      <c r="AA4" s="48"/>
      <c r="AD4" s="48"/>
      <c r="AE4" s="48"/>
    </row>
    <row r="5" spans="2:31" ht="15.95" customHeight="1" x14ac:dyDescent="0.25">
      <c r="C5" s="69" t="s">
        <v>442</v>
      </c>
      <c r="E5" s="10"/>
      <c r="J5" s="2" t="s">
        <v>337</v>
      </c>
      <c r="K5" s="64">
        <f>V5</f>
        <v>65100</v>
      </c>
      <c r="L5" s="46"/>
      <c r="M5" s="46"/>
      <c r="N5" s="46"/>
      <c r="U5" s="405" t="s">
        <v>882</v>
      </c>
      <c r="V5" s="410">
        <f>'1-18'!W8</f>
        <v>65100</v>
      </c>
      <c r="W5" s="316"/>
      <c r="X5" s="316"/>
      <c r="Y5" s="316"/>
      <c r="Z5" s="48"/>
      <c r="AA5" s="48"/>
      <c r="AD5" s="48"/>
      <c r="AE5" s="48"/>
    </row>
    <row r="6" spans="2:31" ht="15.95" customHeight="1" x14ac:dyDescent="0.25">
      <c r="C6" s="69" t="s">
        <v>1252</v>
      </c>
      <c r="E6" s="10"/>
      <c r="J6" s="2" t="s">
        <v>337</v>
      </c>
      <c r="K6" s="78">
        <f>V6</f>
        <v>150000</v>
      </c>
      <c r="L6" s="46"/>
      <c r="M6" s="46"/>
      <c r="N6" s="46"/>
      <c r="U6" s="405" t="s">
        <v>450</v>
      </c>
      <c r="V6" s="410">
        <f>'1-18'!W24</f>
        <v>150000</v>
      </c>
      <c r="W6" s="316"/>
      <c r="Z6" s="48"/>
      <c r="AA6" s="48"/>
      <c r="AD6" s="48"/>
      <c r="AE6" s="48"/>
    </row>
    <row r="7" spans="2:31" ht="15.95" customHeight="1" x14ac:dyDescent="0.25">
      <c r="C7" s="69" t="s">
        <v>445</v>
      </c>
      <c r="E7" s="10"/>
      <c r="J7" s="2" t="s">
        <v>337</v>
      </c>
      <c r="K7" s="78">
        <f>V7</f>
        <v>14400</v>
      </c>
      <c r="L7" s="46"/>
      <c r="M7" s="46"/>
      <c r="N7" s="46"/>
      <c r="U7" s="405" t="s">
        <v>453</v>
      </c>
      <c r="V7" s="410">
        <f>'1-18'!W26</f>
        <v>14400</v>
      </c>
      <c r="W7" s="316"/>
      <c r="Z7" s="48"/>
      <c r="AA7" s="48"/>
      <c r="AD7" s="48"/>
      <c r="AE7" s="48"/>
    </row>
    <row r="8" spans="2:31" ht="15.95" customHeight="1" x14ac:dyDescent="0.25">
      <c r="C8" s="69" t="s">
        <v>448</v>
      </c>
      <c r="E8" s="10"/>
      <c r="J8" s="2" t="s">
        <v>337</v>
      </c>
      <c r="K8" s="78">
        <f>V8</f>
        <v>12600</v>
      </c>
      <c r="L8" s="46"/>
      <c r="M8" s="46"/>
      <c r="N8" s="46"/>
      <c r="U8" s="405" t="s">
        <v>444</v>
      </c>
      <c r="V8" s="410">
        <f>'1-18'!W20</f>
        <v>12600</v>
      </c>
      <c r="W8" s="316"/>
      <c r="Z8" s="48"/>
      <c r="AA8" s="48"/>
      <c r="AD8" s="48"/>
      <c r="AE8" s="48"/>
    </row>
    <row r="9" spans="2:31" ht="15.95" customHeight="1" x14ac:dyDescent="0.25">
      <c r="C9" s="69" t="s">
        <v>446</v>
      </c>
      <c r="E9" s="10"/>
      <c r="J9" s="2" t="s">
        <v>337</v>
      </c>
      <c r="K9" s="53">
        <f>V9</f>
        <v>21600</v>
      </c>
      <c r="L9" s="46"/>
      <c r="M9" s="46"/>
      <c r="N9" s="46"/>
      <c r="U9" s="405" t="s">
        <v>883</v>
      </c>
      <c r="V9" s="410">
        <f>'1-18'!W19</f>
        <v>21600</v>
      </c>
      <c r="W9" s="316"/>
      <c r="Z9" s="48"/>
      <c r="AA9" s="48"/>
      <c r="AD9" s="48"/>
      <c r="AE9" s="48"/>
    </row>
    <row r="10" spans="2:31" ht="15.95" customHeight="1" x14ac:dyDescent="0.25">
      <c r="C10" s="158" t="s">
        <v>812</v>
      </c>
      <c r="E10" s="10"/>
      <c r="J10" s="2" t="s">
        <v>337</v>
      </c>
      <c r="K10" s="78" t="s">
        <v>337</v>
      </c>
      <c r="L10" s="46"/>
      <c r="M10" s="17">
        <f>SUM(K5:K9)</f>
        <v>263700</v>
      </c>
      <c r="N10" s="17"/>
      <c r="W10" s="316"/>
      <c r="X10" s="209"/>
      <c r="Y10" s="209"/>
      <c r="Z10" s="48"/>
      <c r="AA10" s="48"/>
      <c r="AD10" s="48"/>
      <c r="AE10" s="48"/>
    </row>
    <row r="11" spans="2:31" ht="15.95" customHeight="1" x14ac:dyDescent="0.25">
      <c r="C11" s="10" t="s">
        <v>886</v>
      </c>
      <c r="D11" s="10"/>
      <c r="E11" s="10"/>
      <c r="K11" s="78"/>
      <c r="L11" s="46"/>
      <c r="M11" s="46"/>
      <c r="N11" s="46"/>
      <c r="W11" s="316"/>
      <c r="X11" s="209"/>
      <c r="Y11" s="209"/>
      <c r="Z11" s="48"/>
      <c r="AA11" s="48"/>
      <c r="AD11" s="48"/>
      <c r="AE11" s="48"/>
    </row>
    <row r="12" spans="2:31" ht="15.95" customHeight="1" x14ac:dyDescent="0.25">
      <c r="C12" s="69" t="s">
        <v>1159</v>
      </c>
      <c r="E12" s="10"/>
      <c r="J12" s="2" t="s">
        <v>337</v>
      </c>
      <c r="K12" s="78" t="s">
        <v>337</v>
      </c>
      <c r="L12" s="46"/>
      <c r="M12" s="53">
        <f>V12</f>
        <v>200000</v>
      </c>
      <c r="N12" s="78"/>
      <c r="U12" s="405" t="s">
        <v>805</v>
      </c>
      <c r="V12" s="409">
        <v>200000</v>
      </c>
      <c r="W12" s="316"/>
      <c r="X12" s="209"/>
      <c r="Y12" s="209"/>
      <c r="Z12" s="48"/>
      <c r="AA12" s="48"/>
      <c r="AD12" s="48"/>
      <c r="AE12" s="48"/>
    </row>
    <row r="13" spans="2:31" ht="15.95" customHeight="1" x14ac:dyDescent="0.25">
      <c r="C13" s="158" t="s">
        <v>813</v>
      </c>
      <c r="E13" s="10"/>
      <c r="J13" s="2" t="s">
        <v>337</v>
      </c>
      <c r="K13" s="78" t="s">
        <v>337</v>
      </c>
      <c r="L13" s="46"/>
      <c r="M13" s="17">
        <f>SUM(M10:M12)</f>
        <v>463700</v>
      </c>
      <c r="N13" s="17"/>
      <c r="W13" s="316"/>
      <c r="X13" s="209"/>
      <c r="Y13" s="209"/>
      <c r="Z13" s="48"/>
      <c r="AA13" s="48"/>
      <c r="AD13" s="48"/>
      <c r="AE13" s="48"/>
    </row>
    <row r="14" spans="2:31" ht="15.95" customHeight="1" x14ac:dyDescent="0.25">
      <c r="C14" s="10" t="s">
        <v>1590</v>
      </c>
      <c r="D14" s="10"/>
      <c r="E14" s="10"/>
      <c r="K14" s="78"/>
      <c r="L14" s="46"/>
      <c r="M14" s="46"/>
      <c r="N14" s="46"/>
      <c r="W14" s="316"/>
      <c r="X14" s="209"/>
      <c r="Y14" s="209"/>
      <c r="Z14" s="48"/>
      <c r="AA14" s="48"/>
      <c r="AD14" s="48"/>
      <c r="AE14" s="48"/>
    </row>
    <row r="15" spans="2:31" ht="15.95" customHeight="1" x14ac:dyDescent="0.25">
      <c r="C15" s="69" t="s">
        <v>455</v>
      </c>
      <c r="E15" s="10"/>
      <c r="J15" s="2" t="s">
        <v>337</v>
      </c>
      <c r="K15" s="41">
        <f>V15</f>
        <v>150000</v>
      </c>
      <c r="L15" s="46"/>
      <c r="M15" s="46"/>
      <c r="N15" s="46"/>
      <c r="U15" s="405" t="s">
        <v>934</v>
      </c>
      <c r="V15" s="409">
        <v>150000</v>
      </c>
      <c r="W15" s="316"/>
      <c r="X15" s="209"/>
      <c r="Y15" s="209"/>
      <c r="Z15" s="48"/>
      <c r="AA15" s="48"/>
      <c r="AB15" s="209"/>
      <c r="AC15" s="48"/>
      <c r="AD15" s="48"/>
      <c r="AE15" s="48"/>
    </row>
    <row r="16" spans="2:31" ht="15.95" customHeight="1" x14ac:dyDescent="0.25">
      <c r="C16" s="128" t="s">
        <v>456</v>
      </c>
      <c r="E16" s="26"/>
      <c r="F16" s="48"/>
      <c r="G16" s="48"/>
      <c r="H16" s="48"/>
      <c r="I16" s="48"/>
      <c r="J16" s="48" t="s">
        <v>337</v>
      </c>
      <c r="K16" s="53">
        <f>V16</f>
        <v>196100</v>
      </c>
      <c r="L16" s="78"/>
      <c r="M16" s="78"/>
      <c r="N16" s="78"/>
      <c r="U16" s="405" t="s">
        <v>1673</v>
      </c>
      <c r="V16" s="409">
        <v>196100</v>
      </c>
      <c r="W16" s="316"/>
      <c r="Z16" s="48"/>
      <c r="AA16" s="48"/>
      <c r="AB16" s="48"/>
      <c r="AC16" s="48"/>
      <c r="AD16" s="48"/>
      <c r="AE16" s="48"/>
    </row>
    <row r="17" spans="2:29" ht="15.95" customHeight="1" x14ac:dyDescent="0.25">
      <c r="C17" s="180" t="s">
        <v>814</v>
      </c>
      <c r="E17" s="26"/>
      <c r="F17" s="48"/>
      <c r="G17" s="48"/>
      <c r="H17" s="48"/>
      <c r="I17" s="48"/>
      <c r="J17" s="48" t="s">
        <v>337</v>
      </c>
      <c r="K17" s="78" t="s">
        <v>337</v>
      </c>
      <c r="L17" s="78"/>
      <c r="M17" s="78">
        <f>SUM(K15:K16)</f>
        <v>346100</v>
      </c>
      <c r="N17" s="78"/>
      <c r="U17" s="405" t="s">
        <v>900</v>
      </c>
      <c r="V17" s="409">
        <f>'1-18'!W21</f>
        <v>187900</v>
      </c>
    </row>
    <row r="18" spans="2:29" ht="15.95" customHeight="1" thickBot="1" x14ac:dyDescent="0.3">
      <c r="C18" s="26" t="s">
        <v>457</v>
      </c>
      <c r="D18" s="26"/>
      <c r="E18" s="26"/>
      <c r="F18" s="48"/>
      <c r="G18" s="48"/>
      <c r="H18" s="48"/>
      <c r="I18" s="48"/>
      <c r="J18" s="48" t="s">
        <v>337</v>
      </c>
      <c r="K18" s="78" t="s">
        <v>337</v>
      </c>
      <c r="L18" s="78"/>
      <c r="M18" s="47">
        <f>SUM(M13:M17)</f>
        <v>809800</v>
      </c>
      <c r="N18" s="41"/>
    </row>
    <row r="19" spans="2:29" ht="5.0999999999999996" customHeight="1" thickTop="1" x14ac:dyDescent="0.2">
      <c r="B19" s="354" t="s">
        <v>748</v>
      </c>
      <c r="K19" s="81"/>
      <c r="L19" s="81"/>
      <c r="M19" s="81"/>
      <c r="N19" s="81"/>
      <c r="V19" s="402"/>
      <c r="W19" s="313"/>
      <c r="X19" s="313"/>
      <c r="Y19" s="313"/>
      <c r="Z19" s="29"/>
      <c r="AA19" s="29"/>
      <c r="AB19" s="29"/>
      <c r="AC19" s="29"/>
    </row>
    <row r="20" spans="2:29" s="29" customFormat="1" ht="14.1" customHeight="1" x14ac:dyDescent="0.2">
      <c r="B20" s="354"/>
      <c r="C20" s="182" t="s">
        <v>1563</v>
      </c>
      <c r="O20" s="313"/>
      <c r="P20" s="402"/>
      <c r="Q20" s="402"/>
      <c r="R20" s="402"/>
      <c r="S20" s="402"/>
      <c r="T20" s="402"/>
      <c r="U20" s="402"/>
      <c r="V20" s="402"/>
      <c r="W20" s="313"/>
      <c r="X20" s="313"/>
      <c r="Y20" s="313"/>
    </row>
    <row r="21" spans="2:29" s="29" customFormat="1" ht="14.1" customHeight="1" x14ac:dyDescent="0.2">
      <c r="C21" s="31" t="s">
        <v>458</v>
      </c>
      <c r="O21" s="313"/>
      <c r="P21" s="402"/>
      <c r="Q21" s="402"/>
      <c r="R21" s="402"/>
      <c r="S21" s="402"/>
      <c r="T21" s="402"/>
      <c r="U21" s="402"/>
      <c r="V21" s="402"/>
      <c r="W21" s="313"/>
      <c r="X21" s="313"/>
      <c r="Y21" s="313"/>
    </row>
    <row r="22" spans="2:29" s="29" customFormat="1" ht="14.1" customHeight="1" x14ac:dyDescent="0.2">
      <c r="C22" s="31" t="s">
        <v>459</v>
      </c>
      <c r="O22" s="313"/>
      <c r="P22" s="402"/>
      <c r="Q22" s="402"/>
      <c r="R22" s="402"/>
      <c r="S22" s="402"/>
      <c r="T22" s="402"/>
      <c r="U22" s="402"/>
      <c r="V22" s="402"/>
      <c r="W22" s="313"/>
      <c r="X22" s="313"/>
      <c r="Y22" s="313"/>
    </row>
    <row r="23" spans="2:29" s="29" customFormat="1" ht="14.1" customHeight="1" x14ac:dyDescent="0.2">
      <c r="C23" s="31" t="s">
        <v>460</v>
      </c>
      <c r="O23" s="313"/>
      <c r="P23" s="402"/>
      <c r="Q23" s="402"/>
      <c r="R23" s="402"/>
      <c r="S23" s="402"/>
      <c r="T23" s="402"/>
      <c r="U23" s="402"/>
      <c r="V23" s="402"/>
      <c r="W23" s="313"/>
      <c r="X23" s="313"/>
      <c r="Y23" s="313"/>
    </row>
    <row r="24" spans="2:29" s="29" customFormat="1" ht="5.0999999999999996" customHeight="1" x14ac:dyDescent="0.25">
      <c r="O24" s="313"/>
      <c r="P24" s="402"/>
      <c r="Q24" s="402"/>
      <c r="R24" s="402"/>
      <c r="S24" s="402"/>
      <c r="T24" s="402"/>
      <c r="U24" s="402"/>
      <c r="V24" s="402"/>
      <c r="W24" s="313"/>
      <c r="X24" s="313"/>
      <c r="Y24" s="313"/>
      <c r="Z24" s="10"/>
      <c r="AA24" s="10"/>
      <c r="AB24" s="10"/>
      <c r="AC24" s="10"/>
    </row>
    <row r="25" spans="2:29" s="10" customFormat="1" ht="14.1" customHeight="1" x14ac:dyDescent="0.25">
      <c r="C25" s="29" t="s">
        <v>743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313"/>
      <c r="P25" s="402"/>
      <c r="Q25" s="402"/>
      <c r="R25" s="402"/>
      <c r="S25" s="402"/>
      <c r="T25" s="402"/>
      <c r="U25" s="402"/>
      <c r="V25" s="402"/>
      <c r="W25" s="313"/>
      <c r="X25" s="313"/>
      <c r="Y25" s="313"/>
    </row>
    <row r="26" spans="2:29" s="10" customFormat="1" ht="5.0999999999999996" customHeight="1" x14ac:dyDescent="0.25"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313"/>
      <c r="P26" s="402"/>
      <c r="Q26" s="402"/>
      <c r="R26" s="402"/>
      <c r="S26" s="402"/>
      <c r="T26" s="402"/>
      <c r="U26" s="402"/>
      <c r="V26" s="402"/>
      <c r="W26" s="313"/>
      <c r="X26" s="313"/>
      <c r="Y26" s="313"/>
    </row>
    <row r="27" spans="2:29" s="10" customFormat="1" ht="14.1" customHeight="1" x14ac:dyDescent="0.25">
      <c r="C27" s="385" t="s">
        <v>1253</v>
      </c>
      <c r="D27" s="385"/>
      <c r="E27" s="385"/>
      <c r="F27" s="385"/>
      <c r="G27" s="216" t="s">
        <v>111</v>
      </c>
      <c r="H27" s="29" t="s">
        <v>1254</v>
      </c>
      <c r="I27" s="29"/>
      <c r="J27" s="29"/>
      <c r="K27" s="29"/>
      <c r="L27" s="29"/>
      <c r="M27" s="29"/>
      <c r="N27" s="29"/>
      <c r="O27" s="313"/>
      <c r="P27" s="402"/>
      <c r="Q27" s="412" t="s">
        <v>794</v>
      </c>
      <c r="R27" s="402"/>
      <c r="S27" s="402"/>
      <c r="T27" s="402"/>
      <c r="U27" s="402"/>
      <c r="V27" s="402"/>
      <c r="W27" s="313"/>
      <c r="X27" s="313"/>
      <c r="Y27" s="313"/>
    </row>
    <row r="28" spans="2:29" s="10" customFormat="1" ht="14.1" customHeight="1" x14ac:dyDescent="0.25">
      <c r="C28" s="384">
        <f>P28</f>
        <v>809800</v>
      </c>
      <c r="D28" s="384"/>
      <c r="E28" s="384"/>
      <c r="F28" s="384"/>
      <c r="G28" s="216" t="s">
        <v>111</v>
      </c>
      <c r="H28" s="152" t="str">
        <f>CONCATENATE(TEXT(R28,"$#,##0"),S28,T28)</f>
        <v>$463,700 + X</v>
      </c>
      <c r="I28" s="29"/>
      <c r="J28" s="29"/>
      <c r="K28" s="29"/>
      <c r="L28" s="29"/>
      <c r="M28" s="29"/>
      <c r="N28" s="29"/>
      <c r="O28" s="313"/>
      <c r="P28" s="410">
        <f>M18</f>
        <v>809800</v>
      </c>
      <c r="Q28" s="410" t="s">
        <v>1587</v>
      </c>
      <c r="R28" s="410">
        <f>M13</f>
        <v>463700</v>
      </c>
      <c r="S28" s="410" t="s">
        <v>1588</v>
      </c>
      <c r="T28" s="410" t="s">
        <v>746</v>
      </c>
      <c r="U28" s="402"/>
      <c r="V28" s="407"/>
      <c r="W28" s="313"/>
      <c r="X28" s="313"/>
      <c r="Y28" s="312"/>
      <c r="Z28" s="2"/>
      <c r="AA28" s="2"/>
      <c r="AB28" s="2"/>
      <c r="AC28" s="2"/>
    </row>
    <row r="29" spans="2:29" s="10" customFormat="1" ht="14.1" customHeight="1" thickBot="1" x14ac:dyDescent="0.3">
      <c r="C29" s="385" t="str">
        <f>P29</f>
        <v>X</v>
      </c>
      <c r="D29" s="385"/>
      <c r="E29" s="385"/>
      <c r="F29" s="385"/>
      <c r="G29" s="216" t="s">
        <v>111</v>
      </c>
      <c r="H29" s="286" t="str">
        <f>CONCATENATE(TEXT(R29,"$#,##0"),)</f>
        <v>$346,100</v>
      </c>
      <c r="I29" s="29"/>
      <c r="J29" s="29"/>
      <c r="K29" s="29"/>
      <c r="L29" s="29"/>
      <c r="M29" s="29"/>
      <c r="N29" s="29"/>
      <c r="O29" s="313"/>
      <c r="P29" s="410" t="s">
        <v>746</v>
      </c>
      <c r="Q29" s="410" t="s">
        <v>1587</v>
      </c>
      <c r="R29" s="410">
        <f>SUM(P28-R28)</f>
        <v>346100</v>
      </c>
      <c r="S29" s="402"/>
      <c r="T29" s="402"/>
      <c r="U29" s="402"/>
      <c r="V29" s="402"/>
      <c r="W29" s="313"/>
      <c r="X29" s="313"/>
      <c r="Y29" s="313"/>
    </row>
    <row r="30" spans="2:29" s="10" customFormat="1" ht="5.0999999999999996" customHeight="1" thickTop="1" x14ac:dyDescent="0.25"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313"/>
      <c r="P30" s="402"/>
      <c r="Q30" s="402"/>
      <c r="R30" s="402"/>
      <c r="S30" s="402"/>
      <c r="T30" s="402"/>
      <c r="U30" s="402"/>
      <c r="V30" s="402"/>
      <c r="W30" s="313"/>
      <c r="X30" s="313"/>
      <c r="Y30" s="313"/>
    </row>
    <row r="31" spans="2:29" s="10" customFormat="1" ht="14.1" customHeight="1" x14ac:dyDescent="0.25">
      <c r="C31" s="29" t="s">
        <v>461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313"/>
      <c r="P31" s="402"/>
      <c r="Q31" s="402"/>
      <c r="R31" s="402"/>
      <c r="S31" s="402"/>
      <c r="T31" s="402"/>
      <c r="U31" s="402"/>
      <c r="V31" s="402"/>
      <c r="W31" s="313"/>
      <c r="X31" s="313"/>
      <c r="Y31" s="313"/>
    </row>
    <row r="32" spans="2:29" s="10" customFormat="1" ht="5.0999999999999996" customHeight="1" x14ac:dyDescent="0.25"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313"/>
      <c r="P32" s="402"/>
      <c r="Q32" s="402"/>
      <c r="R32" s="402"/>
      <c r="S32" s="402"/>
      <c r="T32" s="402"/>
      <c r="U32" s="402"/>
      <c r="V32" s="402"/>
      <c r="W32" s="313"/>
      <c r="X32" s="313"/>
      <c r="Y32" s="313"/>
    </row>
    <row r="33" spans="2:25" s="10" customFormat="1" ht="14.1" customHeight="1" x14ac:dyDescent="0.25">
      <c r="C33" s="386" t="s">
        <v>1255</v>
      </c>
      <c r="D33" s="386"/>
      <c r="E33" s="386"/>
      <c r="F33" s="386"/>
      <c r="G33" s="216" t="s">
        <v>111</v>
      </c>
      <c r="H33" s="29" t="s">
        <v>554</v>
      </c>
      <c r="I33" s="29"/>
      <c r="J33" s="29"/>
      <c r="K33" s="29"/>
      <c r="L33" s="29"/>
      <c r="M33" s="29"/>
      <c r="N33" s="29"/>
      <c r="O33" s="313"/>
      <c r="P33" s="402"/>
      <c r="Q33" s="412" t="s">
        <v>794</v>
      </c>
      <c r="R33" s="402"/>
      <c r="S33" s="402"/>
      <c r="T33" s="402"/>
      <c r="U33" s="402"/>
      <c r="V33" s="402"/>
      <c r="W33" s="313"/>
      <c r="X33" s="313"/>
      <c r="Y33" s="313"/>
    </row>
    <row r="34" spans="2:25" s="10" customFormat="1" ht="14.1" customHeight="1" x14ac:dyDescent="0.25">
      <c r="C34" s="384">
        <f>P34</f>
        <v>346100</v>
      </c>
      <c r="D34" s="384"/>
      <c r="E34" s="384"/>
      <c r="F34" s="384"/>
      <c r="G34" s="216" t="s">
        <v>111</v>
      </c>
      <c r="H34" s="152" t="str">
        <f>CONCATENATE(TEXT(R34,"$#,##0"),S34,T34)</f>
        <v>$150,000 + Y</v>
      </c>
      <c r="I34" s="178"/>
      <c r="J34" s="178"/>
      <c r="K34" s="29"/>
      <c r="L34" s="29"/>
      <c r="M34" s="29"/>
      <c r="N34" s="29"/>
      <c r="O34" s="313"/>
      <c r="P34" s="410">
        <f>R29</f>
        <v>346100</v>
      </c>
      <c r="Q34" s="410" t="s">
        <v>1587</v>
      </c>
      <c r="R34" s="410">
        <f>V15</f>
        <v>150000</v>
      </c>
      <c r="S34" s="410" t="s">
        <v>1588</v>
      </c>
      <c r="T34" s="410" t="s">
        <v>797</v>
      </c>
      <c r="U34" s="402"/>
      <c r="V34" s="402"/>
      <c r="W34" s="313"/>
      <c r="X34" s="313"/>
      <c r="Y34" s="313"/>
    </row>
    <row r="35" spans="2:25" s="10" customFormat="1" ht="14.1" customHeight="1" thickBot="1" x14ac:dyDescent="0.3">
      <c r="C35" s="385" t="s">
        <v>797</v>
      </c>
      <c r="D35" s="385"/>
      <c r="E35" s="385"/>
      <c r="F35" s="385"/>
      <c r="G35" s="216" t="s">
        <v>111</v>
      </c>
      <c r="H35" s="286" t="str">
        <f>CONCATENATE(TEXT(R35,"$#,##0"),)</f>
        <v>$196,100</v>
      </c>
      <c r="I35" s="29"/>
      <c r="J35" s="29"/>
      <c r="K35" s="29"/>
      <c r="L35" s="29"/>
      <c r="M35" s="29"/>
      <c r="N35" s="29"/>
      <c r="O35" s="313"/>
      <c r="P35" s="410" t="s">
        <v>797</v>
      </c>
      <c r="Q35" s="410" t="s">
        <v>1587</v>
      </c>
      <c r="R35" s="410">
        <f>SUM(P34-R34)</f>
        <v>196100</v>
      </c>
      <c r="S35" s="402"/>
      <c r="T35" s="402"/>
      <c r="U35" s="402"/>
      <c r="V35" s="402"/>
      <c r="W35" s="313"/>
      <c r="X35" s="313"/>
      <c r="Y35" s="313"/>
    </row>
    <row r="36" spans="2:25" s="10" customFormat="1" ht="9.9499999999999993" customHeight="1" thickTop="1" x14ac:dyDescent="0.25">
      <c r="C36" s="2"/>
      <c r="O36" s="313"/>
      <c r="P36" s="402"/>
      <c r="Q36" s="402"/>
      <c r="R36" s="402"/>
      <c r="S36" s="402"/>
      <c r="T36" s="402"/>
      <c r="U36" s="402"/>
      <c r="V36" s="402"/>
      <c r="W36" s="313"/>
      <c r="X36" s="313"/>
      <c r="Y36" s="313"/>
    </row>
    <row r="37" spans="2:25" ht="15.95" customHeight="1" x14ac:dyDescent="0.25">
      <c r="B37" s="11" t="s">
        <v>759</v>
      </c>
      <c r="C37" s="71" t="str">
        <f>CONCATENATE("Jerrison has working capital of ",TEXT(T37,"$#,##0")," (",TEXT(P37,"$#,##0"),Q37,TEXT(R37,"$#,##0"),") and a current")</f>
        <v>Jerrison has working capital of $57,800 ($321,500 – $263,700) and a current</v>
      </c>
      <c r="P37" s="410">
        <f>'1-18'!N15</f>
        <v>321500</v>
      </c>
      <c r="Q37" s="410" t="s">
        <v>1589</v>
      </c>
      <c r="R37" s="410">
        <f>M10</f>
        <v>263700</v>
      </c>
      <c r="S37" s="410" t="s">
        <v>1587</v>
      </c>
      <c r="T37" s="410">
        <f>SUM(P37-R37)</f>
        <v>57800</v>
      </c>
    </row>
    <row r="38" spans="2:25" ht="15.95" customHeight="1" x14ac:dyDescent="0.25">
      <c r="B38" s="10"/>
      <c r="C38" s="71" t="str">
        <f>CONCATENATE("ratio of ",TEXT(T38,"#,##0.00")," (",TEXT(P38,"$#,##0"),Q38,TEXT(R38,"$#,##0"),"). ")</f>
        <v xml:space="preserve">ratio of 1.22 ($321,500 / $263,700). </v>
      </c>
      <c r="D38" s="10"/>
      <c r="P38" s="410">
        <f>'1-18'!N15</f>
        <v>321500</v>
      </c>
      <c r="Q38" s="410" t="s">
        <v>1314</v>
      </c>
      <c r="R38" s="410">
        <f>M10</f>
        <v>263700</v>
      </c>
      <c r="S38" s="410" t="s">
        <v>1587</v>
      </c>
      <c r="T38" s="424">
        <f>SUM(P38/R38)</f>
        <v>1.2191884717481987</v>
      </c>
    </row>
    <row r="39" spans="2:25" ht="9.9499999999999993" customHeight="1" x14ac:dyDescent="0.25">
      <c r="B39" s="10"/>
      <c r="C39" s="71"/>
      <c r="D39" s="10"/>
    </row>
    <row r="40" spans="2:25" ht="15.95" customHeight="1" x14ac:dyDescent="0.25">
      <c r="B40" s="85" t="s">
        <v>760</v>
      </c>
      <c r="C40" s="71" t="s">
        <v>818</v>
      </c>
      <c r="D40" s="71"/>
    </row>
    <row r="41" spans="2:25" ht="15.95" customHeight="1" x14ac:dyDescent="0.25">
      <c r="B41" s="71"/>
      <c r="C41" s="85" t="str">
        <f>CONCATENATE(TEXT(R41,"$#,##0"),". If a large portion of inventory cannot be sold, Jerrison will most likely")</f>
        <v>$187,900. If a large portion of inventory cannot be sold, Jerrison will most likely</v>
      </c>
      <c r="D41" s="71"/>
      <c r="R41" s="410">
        <f>V17</f>
        <v>187900</v>
      </c>
    </row>
    <row r="42" spans="2:25" ht="15.95" customHeight="1" x14ac:dyDescent="0.25">
      <c r="B42" s="10"/>
      <c r="C42" s="71" t="s">
        <v>817</v>
      </c>
      <c r="D42" s="71"/>
    </row>
    <row r="43" spans="2:25" ht="5.0999999999999996" customHeight="1" x14ac:dyDescent="0.25">
      <c r="B43" s="10"/>
      <c r="C43" s="71"/>
      <c r="D43" s="71"/>
    </row>
  </sheetData>
  <customSheetViews>
    <customSheetView guid="{B2DDA8C4-3089-41F7-BA6E-A0E09596A2CA}" scale="70" showPageBreaks="1" fitToPage="1" printArea="1">
      <selection activeCell="J52" sqref="J52"/>
      <pageMargins left="0.75" right="1" top="0.85" bottom="0.8" header="0.5" footer="0.35"/>
      <printOptions horizontalCentered="1"/>
      <pageSetup scale="95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pageMargins left="0.75" right="1" top="0.85" bottom="0.8" header="0.5" footer="0.35"/>
      <printOptions horizontalCentered="1"/>
      <pageSetup scale="94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0.75" right="1" top="0.85" bottom="0.8" header="0.5" footer="0.35"/>
      <printOptions horizontalCentered="1"/>
      <pageSetup scale="94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pageMargins left="0.75" right="1" top="0.85" bottom="0.8" header="0.5" footer="0.35"/>
      <printOptions horizontalCentered="1"/>
      <pageSetup scale="94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selection activeCell="J52" sqref="J52"/>
      <pageMargins left="0.75" right="1" top="0.85" bottom="0.8" header="0.5" footer="0.35"/>
      <printOptions horizontalCentered="1"/>
      <pageSetup scale="95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8">
    <mergeCell ref="C34:F34"/>
    <mergeCell ref="C35:F35"/>
    <mergeCell ref="B19:B20"/>
    <mergeCell ref="C33:F33"/>
    <mergeCell ref="C3:M3"/>
    <mergeCell ref="C27:F27"/>
    <mergeCell ref="C28:F28"/>
    <mergeCell ref="C29:F29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="70" zoomScaleNormal="70" workbookViewId="0"/>
  </sheetViews>
  <sheetFormatPr defaultRowHeight="12.75" x14ac:dyDescent="0.2"/>
  <cols>
    <col min="1" max="1" width="1.7109375" style="2" customWidth="1"/>
    <col min="2" max="2" width="4" style="2" customWidth="1"/>
    <col min="3" max="3" width="4.28515625" style="2" customWidth="1"/>
    <col min="4" max="4" width="4.7109375" style="2" customWidth="1"/>
    <col min="5" max="5" width="9.140625" style="2"/>
    <col min="6" max="6" width="10.7109375" style="2" customWidth="1"/>
    <col min="7" max="7" width="12" style="2" customWidth="1"/>
    <col min="8" max="8" width="10.7109375" style="2" customWidth="1"/>
    <col min="9" max="9" width="12" style="2" customWidth="1"/>
    <col min="10" max="10" width="12.7109375" style="2" customWidth="1"/>
    <col min="11" max="11" width="11.85546875" style="2" customWidth="1"/>
    <col min="12" max="16384" width="9.140625" style="2"/>
  </cols>
  <sheetData>
    <row r="1" spans="1:10" ht="28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8" customHeight="1" x14ac:dyDescent="0.25">
      <c r="B2" s="3" t="s">
        <v>1012</v>
      </c>
      <c r="C2" s="5" t="s">
        <v>1013</v>
      </c>
      <c r="D2" s="4"/>
      <c r="E2" s="4"/>
      <c r="F2" s="4"/>
      <c r="G2" s="4"/>
      <c r="H2" s="4"/>
      <c r="I2" s="4"/>
      <c r="J2" s="4"/>
    </row>
    <row r="3" spans="1:10" ht="14.1" customHeight="1" x14ac:dyDescent="0.2">
      <c r="C3" s="5" t="s">
        <v>191</v>
      </c>
      <c r="D3" s="4"/>
      <c r="E3" s="4"/>
      <c r="F3" s="4"/>
      <c r="G3" s="4"/>
      <c r="H3" s="4"/>
      <c r="I3" s="4"/>
      <c r="J3" s="4"/>
    </row>
    <row r="4" spans="1:10" ht="14.1" customHeight="1" x14ac:dyDescent="0.2">
      <c r="C4" s="5" t="s">
        <v>192</v>
      </c>
      <c r="D4" s="4"/>
      <c r="E4" s="4"/>
      <c r="F4" s="4"/>
      <c r="G4" s="4"/>
      <c r="H4" s="4"/>
      <c r="I4" s="4"/>
      <c r="J4" s="4"/>
    </row>
    <row r="5" spans="1:10" ht="14.1" customHeight="1" x14ac:dyDescent="0.2">
      <c r="C5" s="5" t="s">
        <v>193</v>
      </c>
      <c r="D5" s="4"/>
      <c r="E5" s="4"/>
      <c r="F5" s="4"/>
      <c r="G5" s="4"/>
      <c r="H5" s="4"/>
      <c r="I5" s="4"/>
      <c r="J5" s="4"/>
    </row>
    <row r="6" spans="1:10" ht="14.1" customHeight="1" x14ac:dyDescent="0.2">
      <c r="C6" s="5" t="s">
        <v>194</v>
      </c>
      <c r="D6" s="4"/>
      <c r="E6" s="4"/>
      <c r="F6" s="4"/>
      <c r="G6" s="4"/>
      <c r="H6" s="4"/>
      <c r="I6" s="4"/>
      <c r="J6" s="4"/>
    </row>
    <row r="7" spans="1:10" ht="14.1" customHeight="1" x14ac:dyDescent="0.2">
      <c r="C7" s="5" t="s">
        <v>195</v>
      </c>
      <c r="D7" s="4"/>
      <c r="E7" s="4"/>
      <c r="F7" s="4"/>
      <c r="G7" s="4"/>
      <c r="H7" s="4"/>
      <c r="I7" s="4"/>
      <c r="J7" s="4"/>
    </row>
    <row r="8" spans="1:10" ht="14.1" customHeight="1" x14ac:dyDescent="0.2">
      <c r="C8" s="5" t="s">
        <v>196</v>
      </c>
      <c r="D8" s="4"/>
      <c r="E8" s="4"/>
      <c r="F8" s="4"/>
      <c r="G8" s="4"/>
      <c r="H8" s="4"/>
      <c r="I8" s="4"/>
      <c r="J8" s="4"/>
    </row>
    <row r="9" spans="1:10" ht="8.1" customHeight="1" x14ac:dyDescent="0.2">
      <c r="B9" s="4"/>
      <c r="C9" s="4"/>
      <c r="D9" s="4"/>
      <c r="E9" s="4"/>
      <c r="F9" s="4"/>
      <c r="G9" s="4"/>
      <c r="H9" s="4"/>
      <c r="I9" s="4"/>
      <c r="J9" s="4"/>
    </row>
    <row r="10" spans="1:10" ht="14.1" customHeight="1" x14ac:dyDescent="0.25">
      <c r="B10" s="3" t="s">
        <v>1014</v>
      </c>
      <c r="C10" s="5" t="s">
        <v>1015</v>
      </c>
      <c r="D10" s="4"/>
      <c r="E10" s="4"/>
      <c r="F10" s="4"/>
      <c r="G10" s="4"/>
      <c r="H10" s="4"/>
      <c r="I10" s="4"/>
      <c r="J10" s="4"/>
    </row>
    <row r="11" spans="1:10" ht="14.1" customHeight="1" x14ac:dyDescent="0.2">
      <c r="C11" s="5" t="s">
        <v>1016</v>
      </c>
      <c r="D11" s="4"/>
      <c r="E11" s="4"/>
      <c r="F11" s="4"/>
      <c r="G11" s="4"/>
      <c r="H11" s="4"/>
      <c r="I11" s="4"/>
      <c r="J11" s="4"/>
    </row>
    <row r="12" spans="1:10" ht="14.1" customHeight="1" x14ac:dyDescent="0.2">
      <c r="C12" s="5" t="s">
        <v>1156</v>
      </c>
      <c r="D12" s="4"/>
      <c r="E12" s="4"/>
      <c r="F12" s="4"/>
      <c r="G12" s="4"/>
      <c r="H12" s="4"/>
      <c r="I12" s="4"/>
      <c r="J12" s="4"/>
    </row>
    <row r="13" spans="1:10" ht="14.1" customHeight="1" x14ac:dyDescent="0.2">
      <c r="C13" s="5" t="s">
        <v>1017</v>
      </c>
      <c r="D13" s="4"/>
      <c r="E13" s="4"/>
      <c r="F13" s="4"/>
      <c r="G13" s="4"/>
      <c r="H13" s="4"/>
      <c r="I13" s="4"/>
      <c r="J13" s="4"/>
    </row>
    <row r="14" spans="1:10" ht="14.1" customHeight="1" x14ac:dyDescent="0.2">
      <c r="C14" s="5" t="s">
        <v>1018</v>
      </c>
      <c r="D14" s="4"/>
      <c r="E14" s="4"/>
      <c r="F14" s="4"/>
      <c r="G14" s="4"/>
      <c r="H14" s="4"/>
      <c r="I14" s="4"/>
      <c r="J14" s="4"/>
    </row>
    <row r="15" spans="1:10" ht="5.0999999999999996" customHeight="1" x14ac:dyDescent="0.2">
      <c r="C15" s="5"/>
      <c r="D15" s="4"/>
      <c r="E15" s="4"/>
      <c r="F15" s="4"/>
      <c r="G15" s="4"/>
      <c r="H15" s="4"/>
      <c r="I15" s="4"/>
      <c r="J15" s="4"/>
    </row>
    <row r="16" spans="1:10" ht="14.1" customHeight="1" x14ac:dyDescent="0.2">
      <c r="C16" s="5" t="s">
        <v>1019</v>
      </c>
      <c r="D16" s="4"/>
      <c r="E16" s="4"/>
      <c r="F16" s="4"/>
      <c r="G16" s="4"/>
      <c r="H16" s="4"/>
      <c r="I16" s="4"/>
      <c r="J16" s="4"/>
    </row>
    <row r="17" spans="2:10" ht="8.1" customHeight="1" x14ac:dyDescent="0.2">
      <c r="B17" s="4"/>
      <c r="C17" s="4"/>
      <c r="D17" s="4"/>
      <c r="E17" s="4"/>
      <c r="F17" s="4"/>
      <c r="G17" s="4"/>
      <c r="H17" s="4"/>
      <c r="I17" s="4"/>
      <c r="J17" s="4"/>
    </row>
    <row r="18" spans="2:10" ht="15.95" customHeight="1" x14ac:dyDescent="0.25">
      <c r="B18" s="3" t="s">
        <v>1403</v>
      </c>
      <c r="C18" s="5" t="s">
        <v>1404</v>
      </c>
      <c r="D18" s="4"/>
      <c r="E18" s="4"/>
      <c r="F18" s="4"/>
      <c r="G18" s="4"/>
      <c r="H18" s="4"/>
      <c r="I18" s="4"/>
      <c r="J18" s="4"/>
    </row>
    <row r="19" spans="2:10" ht="14.1" customHeight="1" x14ac:dyDescent="0.2">
      <c r="C19" s="5" t="s">
        <v>1405</v>
      </c>
      <c r="D19" s="4"/>
      <c r="E19" s="4"/>
      <c r="F19" s="4"/>
      <c r="G19" s="4"/>
      <c r="H19" s="4"/>
      <c r="I19" s="4"/>
      <c r="J19" s="4"/>
    </row>
    <row r="20" spans="2:10" ht="14.1" customHeight="1" x14ac:dyDescent="0.2">
      <c r="C20" s="5" t="s">
        <v>1406</v>
      </c>
      <c r="D20" s="4"/>
      <c r="E20" s="4"/>
      <c r="F20" s="4"/>
      <c r="G20" s="4"/>
      <c r="H20" s="4"/>
      <c r="I20" s="4"/>
      <c r="J20" s="4"/>
    </row>
    <row r="21" spans="2:10" ht="14.1" customHeight="1" x14ac:dyDescent="0.2">
      <c r="C21" s="5" t="s">
        <v>1407</v>
      </c>
      <c r="D21" s="4"/>
      <c r="E21" s="4"/>
      <c r="F21" s="4"/>
      <c r="G21" s="4"/>
      <c r="H21" s="4"/>
      <c r="I21" s="4"/>
      <c r="J21" s="4"/>
    </row>
    <row r="22" spans="2:10" ht="8.1" customHeight="1" x14ac:dyDescent="0.2">
      <c r="B22" s="4"/>
      <c r="C22" s="4"/>
      <c r="D22" s="4"/>
      <c r="E22" s="4"/>
      <c r="F22" s="4"/>
      <c r="G22" s="4"/>
      <c r="H22" s="4"/>
      <c r="I22" s="4"/>
      <c r="J22" s="4"/>
    </row>
    <row r="23" spans="2:10" ht="14.1" customHeight="1" x14ac:dyDescent="0.25">
      <c r="B23" s="3" t="s">
        <v>1408</v>
      </c>
      <c r="C23" s="5" t="s">
        <v>1409</v>
      </c>
      <c r="D23" s="5"/>
      <c r="E23" s="4"/>
      <c r="F23" s="4"/>
      <c r="G23" s="4"/>
      <c r="H23" s="4"/>
      <c r="I23" s="4"/>
      <c r="J23" s="4"/>
    </row>
    <row r="24" spans="2:10" ht="5.0999999999999996" customHeight="1" x14ac:dyDescent="0.25">
      <c r="B24" s="3"/>
      <c r="C24" s="5"/>
      <c r="D24" s="5"/>
      <c r="E24" s="4"/>
      <c r="F24" s="4"/>
      <c r="G24" s="4"/>
      <c r="H24" s="4"/>
      <c r="I24" s="4"/>
      <c r="J24" s="4"/>
    </row>
    <row r="25" spans="2:10" ht="14.1" customHeight="1" x14ac:dyDescent="0.2">
      <c r="C25" s="5" t="s">
        <v>1410</v>
      </c>
      <c r="D25" s="5" t="s">
        <v>1214</v>
      </c>
      <c r="E25" s="4"/>
      <c r="F25" s="4"/>
      <c r="G25" s="4"/>
      <c r="H25" s="4"/>
      <c r="I25" s="4"/>
      <c r="J25" s="4"/>
    </row>
    <row r="26" spans="2:10" ht="14.1" customHeight="1" x14ac:dyDescent="0.2">
      <c r="C26" s="5"/>
      <c r="D26" s="5" t="s">
        <v>1215</v>
      </c>
      <c r="E26" s="4"/>
      <c r="F26" s="4"/>
      <c r="G26" s="4"/>
      <c r="H26" s="4"/>
      <c r="I26" s="4"/>
      <c r="J26" s="4"/>
    </row>
    <row r="27" spans="2:10" ht="14.1" customHeight="1" x14ac:dyDescent="0.2">
      <c r="C27" s="5"/>
      <c r="D27" s="5" t="s">
        <v>1216</v>
      </c>
      <c r="E27" s="4"/>
      <c r="F27" s="4"/>
      <c r="G27" s="4"/>
      <c r="H27" s="4"/>
      <c r="I27" s="4"/>
      <c r="J27" s="4"/>
    </row>
    <row r="28" spans="2:10" ht="5.0999999999999996" customHeight="1" x14ac:dyDescent="0.2">
      <c r="C28" s="5"/>
      <c r="D28" s="5"/>
      <c r="E28" s="4"/>
      <c r="F28" s="4"/>
      <c r="G28" s="4"/>
      <c r="H28" s="4"/>
      <c r="I28" s="4"/>
      <c r="J28" s="4"/>
    </row>
    <row r="29" spans="2:10" ht="14.1" customHeight="1" x14ac:dyDescent="0.2">
      <c r="C29" s="5" t="s">
        <v>1411</v>
      </c>
      <c r="D29" s="5" t="s">
        <v>1217</v>
      </c>
      <c r="E29" s="4"/>
      <c r="F29" s="4"/>
      <c r="G29" s="4"/>
      <c r="H29" s="4"/>
      <c r="I29" s="4"/>
      <c r="J29" s="4"/>
    </row>
    <row r="30" spans="2:10" ht="14.1" customHeight="1" x14ac:dyDescent="0.2">
      <c r="C30" s="5"/>
      <c r="D30" s="5" t="s">
        <v>1218</v>
      </c>
      <c r="E30" s="4"/>
      <c r="F30" s="4"/>
      <c r="G30" s="4"/>
      <c r="H30" s="4"/>
      <c r="I30" s="4"/>
      <c r="J30" s="4"/>
    </row>
    <row r="31" spans="2:10" ht="5.0999999999999996" customHeight="1" x14ac:dyDescent="0.2">
      <c r="C31" s="5"/>
      <c r="D31" s="5"/>
      <c r="E31" s="4"/>
      <c r="F31" s="4"/>
      <c r="G31" s="4"/>
      <c r="H31" s="4"/>
      <c r="I31" s="4"/>
      <c r="J31" s="4"/>
    </row>
    <row r="32" spans="2:10" ht="14.1" customHeight="1" x14ac:dyDescent="0.2">
      <c r="C32" s="5" t="s">
        <v>1412</v>
      </c>
      <c r="D32" s="5" t="s">
        <v>1219</v>
      </c>
      <c r="E32" s="4"/>
      <c r="F32" s="4"/>
      <c r="G32" s="4"/>
      <c r="H32" s="4"/>
      <c r="I32" s="4"/>
      <c r="J32" s="4"/>
    </row>
    <row r="33" spans="2:10" ht="14.1" customHeight="1" x14ac:dyDescent="0.2">
      <c r="C33" s="5"/>
      <c r="D33" s="5" t="s">
        <v>1220</v>
      </c>
      <c r="E33" s="4"/>
      <c r="F33" s="4"/>
      <c r="G33" s="4"/>
      <c r="H33" s="4"/>
      <c r="I33" s="4"/>
      <c r="J33" s="4"/>
    </row>
    <row r="34" spans="2:10" ht="5.0999999999999996" customHeight="1" x14ac:dyDescent="0.2">
      <c r="C34" s="5"/>
      <c r="D34" s="5"/>
      <c r="E34" s="4"/>
      <c r="F34" s="4"/>
      <c r="G34" s="4"/>
      <c r="H34" s="4"/>
      <c r="I34" s="4"/>
      <c r="J34" s="4"/>
    </row>
    <row r="35" spans="2:10" ht="14.1" customHeight="1" x14ac:dyDescent="0.2">
      <c r="C35" s="5" t="s">
        <v>1413</v>
      </c>
      <c r="D35" s="5" t="s">
        <v>1221</v>
      </c>
      <c r="E35" s="4"/>
      <c r="F35" s="4"/>
      <c r="G35" s="4"/>
      <c r="H35" s="4"/>
      <c r="I35" s="4"/>
      <c r="J35" s="4"/>
    </row>
    <row r="36" spans="2:10" ht="14.1" customHeight="1" x14ac:dyDescent="0.2">
      <c r="C36" s="5"/>
      <c r="D36" s="5" t="s">
        <v>1414</v>
      </c>
      <c r="E36" s="4"/>
      <c r="F36" s="4"/>
      <c r="G36" s="4"/>
      <c r="H36" s="4"/>
      <c r="I36" s="4"/>
      <c r="J36" s="4"/>
    </row>
    <row r="37" spans="2:10" ht="14.1" customHeight="1" x14ac:dyDescent="0.2">
      <c r="C37" s="5"/>
      <c r="D37" s="5" t="s">
        <v>1415</v>
      </c>
      <c r="E37" s="4"/>
      <c r="F37" s="4"/>
      <c r="G37" s="4"/>
      <c r="H37" s="4"/>
      <c r="I37" s="4"/>
      <c r="J37" s="4"/>
    </row>
    <row r="38" spans="2:10" ht="8.1" customHeight="1" x14ac:dyDescent="0.2">
      <c r="D38" s="4"/>
      <c r="E38" s="4"/>
      <c r="F38" s="4"/>
      <c r="G38" s="4"/>
      <c r="H38" s="4"/>
      <c r="I38" s="4"/>
      <c r="J38" s="4"/>
    </row>
    <row r="39" spans="2:10" ht="14.1" customHeight="1" x14ac:dyDescent="0.2">
      <c r="B39" s="178" t="s">
        <v>1416</v>
      </c>
      <c r="C39" s="4" t="s">
        <v>54</v>
      </c>
      <c r="D39" s="4"/>
      <c r="E39" s="4"/>
    </row>
    <row r="40" spans="2:10" ht="5.0999999999999996" customHeight="1" x14ac:dyDescent="0.2">
      <c r="C40" s="4"/>
      <c r="D40" s="4"/>
      <c r="E40" s="4"/>
    </row>
    <row r="41" spans="2:10" ht="14.1" customHeight="1" x14ac:dyDescent="0.2">
      <c r="C41" s="7" t="s">
        <v>1410</v>
      </c>
      <c r="D41" s="4" t="s">
        <v>1222</v>
      </c>
      <c r="E41" s="4"/>
    </row>
    <row r="42" spans="2:10" ht="14.1" customHeight="1" x14ac:dyDescent="0.2">
      <c r="C42" s="4"/>
      <c r="D42" s="4" t="s">
        <v>55</v>
      </c>
      <c r="E42" s="4" t="s">
        <v>56</v>
      </c>
    </row>
    <row r="43" spans="2:10" ht="14.1" customHeight="1" x14ac:dyDescent="0.2">
      <c r="C43" s="4"/>
      <c r="D43" s="4"/>
      <c r="E43" s="4" t="s">
        <v>57</v>
      </c>
    </row>
    <row r="44" spans="2:10" ht="5.0999999999999996" customHeight="1" x14ac:dyDescent="0.2">
      <c r="C44" s="4"/>
      <c r="D44" s="4"/>
      <c r="E44" s="4"/>
    </row>
    <row r="45" spans="2:10" ht="14.1" customHeight="1" x14ac:dyDescent="0.2">
      <c r="C45" s="4"/>
      <c r="D45" s="4" t="s">
        <v>58</v>
      </c>
      <c r="E45" s="4" t="s">
        <v>59</v>
      </c>
    </row>
    <row r="46" spans="2:10" ht="5.0999999999999996" customHeight="1" x14ac:dyDescent="0.2">
      <c r="C46" s="4"/>
      <c r="D46" s="4"/>
      <c r="E46" s="4"/>
    </row>
    <row r="47" spans="2:10" ht="14.1" customHeight="1" x14ac:dyDescent="0.2">
      <c r="C47" s="4"/>
      <c r="D47" s="4" t="s">
        <v>60</v>
      </c>
      <c r="E47" s="4" t="s">
        <v>61</v>
      </c>
    </row>
    <row r="48" spans="2:10" ht="5.0999999999999996" customHeight="1" x14ac:dyDescent="0.2">
      <c r="C48" s="4"/>
      <c r="D48" s="4"/>
      <c r="E48" s="4"/>
    </row>
    <row r="49" spans="3:5" ht="14.1" customHeight="1" x14ac:dyDescent="0.2">
      <c r="C49" s="7" t="s">
        <v>1411</v>
      </c>
      <c r="D49" s="4" t="s">
        <v>1223</v>
      </c>
      <c r="E49" s="4"/>
    </row>
    <row r="50" spans="3:5" ht="14.1" customHeight="1" x14ac:dyDescent="0.2">
      <c r="C50" s="4"/>
      <c r="D50" s="4" t="s">
        <v>55</v>
      </c>
      <c r="E50" s="4" t="s">
        <v>63</v>
      </c>
    </row>
    <row r="51" spans="3:5" ht="5.0999999999999996" customHeight="1" x14ac:dyDescent="0.2">
      <c r="C51" s="4"/>
      <c r="D51" s="4"/>
      <c r="E51" s="4"/>
    </row>
    <row r="52" spans="3:5" ht="14.1" customHeight="1" x14ac:dyDescent="0.2">
      <c r="C52" s="4"/>
      <c r="D52" s="4" t="s">
        <v>58</v>
      </c>
      <c r="E52" s="4" t="s">
        <v>64</v>
      </c>
    </row>
    <row r="53" spans="3:5" ht="5.0999999999999996" customHeight="1" x14ac:dyDescent="0.2">
      <c r="C53" s="4"/>
      <c r="D53" s="4"/>
      <c r="E53" s="4"/>
    </row>
    <row r="54" spans="3:5" ht="14.1" customHeight="1" x14ac:dyDescent="0.2">
      <c r="C54" s="4"/>
      <c r="D54" s="4" t="s">
        <v>60</v>
      </c>
      <c r="E54" s="4" t="s">
        <v>65</v>
      </c>
    </row>
    <row r="55" spans="3:5" ht="14.1" customHeight="1" x14ac:dyDescent="0.2">
      <c r="C55" s="4"/>
      <c r="D55" s="4"/>
      <c r="E55" s="4" t="s">
        <v>66</v>
      </c>
    </row>
    <row r="56" spans="3:5" ht="5.0999999999999996" customHeight="1" x14ac:dyDescent="0.2">
      <c r="C56" s="4"/>
      <c r="D56" s="4"/>
      <c r="E56" s="4"/>
    </row>
    <row r="57" spans="3:5" ht="14.1" customHeight="1" x14ac:dyDescent="0.2">
      <c r="C57" s="4"/>
      <c r="D57" s="4" t="s">
        <v>67</v>
      </c>
      <c r="E57" s="4" t="s">
        <v>68</v>
      </c>
    </row>
    <row r="58" spans="3:5" ht="14.1" customHeight="1" x14ac:dyDescent="0.2">
      <c r="C58" s="4"/>
      <c r="D58" s="4"/>
      <c r="E58" s="4" t="s">
        <v>69</v>
      </c>
    </row>
    <row r="59" spans="3:5" ht="5.0999999999999996" customHeight="1" x14ac:dyDescent="0.2">
      <c r="C59" s="4"/>
      <c r="D59" s="4"/>
      <c r="E59" s="4"/>
    </row>
    <row r="60" spans="3:5" ht="14.1" customHeight="1" x14ac:dyDescent="0.2">
      <c r="C60" s="4"/>
      <c r="D60" s="4" t="s">
        <v>70</v>
      </c>
      <c r="E60" s="4" t="s">
        <v>71</v>
      </c>
    </row>
  </sheetData>
  <customSheetViews>
    <customSheetView guid="{B2DDA8C4-3089-41F7-BA6E-A0E09596A2CA}" scale="70" showPageBreaks="1" fitToPage="1" printArea="1">
      <selection activeCell="D50" sqref="D50"/>
      <pageMargins left="0.75" right="1" top="0.85" bottom="0.8" header="0.5" footer="0.35"/>
      <printOptions horizontalCentered="1"/>
      <pageSetup scale="93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50" showPageBreaks="1" fitToPage="1" printArea="1">
      <selection activeCell="D50" sqref="D50"/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D50" sqref="D50"/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selection activeCell="D50" sqref="D50"/>
      <pageMargins left="0.75" right="1" top="0.85" bottom="0.8" header="0.5" footer="0.35"/>
      <printOptions horizontalCentered="1"/>
      <pageSetup scale="92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selection activeCell="D50" sqref="D50"/>
      <pageMargins left="0.75" right="1" top="0.85" bottom="0.8" header="0.5" footer="0.35"/>
      <printOptions horizontalCentered="1"/>
      <pageSetup scale="93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showGridLines="0" zoomScale="70" zoomScaleNormal="70" workbookViewId="0">
      <selection activeCell="B1" sqref="B1"/>
    </sheetView>
  </sheetViews>
  <sheetFormatPr defaultRowHeight="12.75" x14ac:dyDescent="0.2"/>
  <cols>
    <col min="1" max="1" width="1.5703125" customWidth="1"/>
    <col min="2" max="3" width="4.7109375" customWidth="1"/>
    <col min="4" max="4" width="10.42578125" customWidth="1"/>
    <col min="5" max="5" width="3.42578125" customWidth="1"/>
    <col min="6" max="6" width="4" customWidth="1"/>
    <col min="7" max="7" width="4.42578125" customWidth="1"/>
    <col min="8" max="8" width="1.5703125" customWidth="1"/>
    <col min="9" max="9" width="1.28515625" customWidth="1"/>
    <col min="10" max="10" width="7.42578125" customWidth="1"/>
    <col min="11" max="11" width="3.42578125" customWidth="1"/>
    <col min="12" max="12" width="3.7109375" customWidth="1"/>
    <col min="13" max="13" width="2.42578125" customWidth="1"/>
    <col min="14" max="14" width="15" customWidth="1"/>
    <col min="15" max="15" width="11.28515625" style="2" customWidth="1"/>
    <col min="16" max="16" width="13" customWidth="1"/>
    <col min="18" max="18" width="2.85546875" customWidth="1"/>
    <col min="21" max="22" width="8.85546875" style="317" customWidth="1"/>
    <col min="23" max="23" width="8.85546875" style="407" hidden="1" customWidth="1"/>
    <col min="24" max="24" width="9.42578125" style="407" hidden="1" customWidth="1"/>
    <col min="25" max="25" width="8.85546875" style="407" hidden="1" customWidth="1"/>
    <col min="26" max="26" width="9.42578125" style="407" hidden="1" customWidth="1"/>
    <col min="27" max="29" width="8.85546875" style="317" customWidth="1"/>
  </cols>
  <sheetData>
    <row r="1" spans="1:29" ht="29.25" customHeight="1" x14ac:dyDescent="0.2">
      <c r="Q1" s="2"/>
      <c r="R1" s="2"/>
      <c r="S1" s="2"/>
      <c r="T1" s="2"/>
      <c r="U1" s="312"/>
    </row>
    <row r="2" spans="1:29" ht="15.75" x14ac:dyDescent="0.25">
      <c r="A2" s="120" t="s">
        <v>208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9"/>
      <c r="T2" s="2"/>
      <c r="V2" s="312"/>
      <c r="Y2" s="402"/>
      <c r="Z2" s="417" t="s">
        <v>1683</v>
      </c>
    </row>
    <row r="3" spans="1:29" s="227" customFormat="1" ht="15.75" x14ac:dyDescent="0.25">
      <c r="A3" s="240"/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T3" s="2"/>
      <c r="U3" s="317"/>
      <c r="V3" s="312"/>
      <c r="W3" s="407"/>
      <c r="X3" s="434">
        <v>2013</v>
      </c>
      <c r="Y3" s="422"/>
      <c r="Z3" s="434">
        <v>2014</v>
      </c>
      <c r="AA3" s="317"/>
      <c r="AB3" s="317"/>
      <c r="AC3" s="317"/>
    </row>
    <row r="4" spans="1:29" s="227" customFormat="1" ht="15.75" x14ac:dyDescent="0.25">
      <c r="B4" s="251" t="s">
        <v>55</v>
      </c>
      <c r="C4" s="240" t="s">
        <v>872</v>
      </c>
      <c r="F4" s="240" t="str">
        <f>CONCATENATE("(a) + ",TEXT(X7,"$#,###")," + ",TEXT(X8,"$#,###")," + ",TEXT(X6,"$#,###")," = ",TEXT(X10,"$#,###"))</f>
        <v>(a) + $19,200 + $85,700 + $10,400 = $142,200</v>
      </c>
      <c r="H4" s="240"/>
      <c r="I4" s="240"/>
      <c r="J4" s="240"/>
      <c r="K4" s="240"/>
      <c r="L4" s="240"/>
      <c r="M4" s="240"/>
      <c r="N4" s="240"/>
      <c r="O4" s="240"/>
      <c r="T4" s="2"/>
      <c r="U4" s="317"/>
      <c r="V4" s="312"/>
      <c r="W4" s="405" t="s">
        <v>239</v>
      </c>
      <c r="X4" s="409"/>
      <c r="Y4" s="402"/>
      <c r="Z4" s="409">
        <v>25000</v>
      </c>
      <c r="AA4" s="317"/>
      <c r="AB4" s="317"/>
      <c r="AC4" s="317"/>
    </row>
    <row r="5" spans="1:29" s="227" customFormat="1" ht="15.75" x14ac:dyDescent="0.25">
      <c r="A5" s="250"/>
      <c r="B5" s="240"/>
      <c r="C5" s="240"/>
      <c r="F5" s="240" t="str">
        <f>CONCATENATE("(a) = ",TEXT(X18,"$#,###"))</f>
        <v>(a) = $26,900</v>
      </c>
      <c r="G5" s="305"/>
      <c r="H5" s="306"/>
      <c r="I5" s="306"/>
      <c r="J5" s="306"/>
      <c r="K5" s="240"/>
      <c r="L5" s="240"/>
      <c r="M5" s="240"/>
      <c r="N5" s="240"/>
      <c r="O5" s="240"/>
      <c r="T5" s="2"/>
      <c r="U5" s="317"/>
      <c r="V5" s="312"/>
      <c r="W5" s="405" t="s">
        <v>240</v>
      </c>
      <c r="X5" s="409"/>
      <c r="Y5" s="402"/>
      <c r="Z5" s="409">
        <v>34900</v>
      </c>
      <c r="AA5" s="317"/>
      <c r="AB5" s="317"/>
      <c r="AC5" s="317"/>
    </row>
    <row r="6" spans="1:29" s="227" customFormat="1" ht="15.75" x14ac:dyDescent="0.25">
      <c r="A6" s="240"/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T6" s="2"/>
      <c r="U6" s="317"/>
      <c r="V6" s="312"/>
      <c r="W6" s="405" t="s">
        <v>241</v>
      </c>
      <c r="X6" s="409">
        <v>10400</v>
      </c>
      <c r="Y6" s="407"/>
      <c r="Z6" s="409">
        <v>9200</v>
      </c>
      <c r="AA6" s="317"/>
      <c r="AB6" s="317"/>
      <c r="AC6" s="317"/>
    </row>
    <row r="7" spans="1:29" s="227" customFormat="1" ht="15.75" x14ac:dyDescent="0.25">
      <c r="B7" s="251" t="s">
        <v>58</v>
      </c>
      <c r="C7" s="240" t="s">
        <v>886</v>
      </c>
      <c r="D7" s="240"/>
      <c r="E7" s="240"/>
      <c r="F7" s="240"/>
      <c r="G7" s="240" t="str">
        <f>CONCATENATE(TEXT(X9,"$#,###")," + ","(b) = ",TEXT(X12,"$#,###"))</f>
        <v>$14,500 + (b) = $50,300</v>
      </c>
      <c r="H7" s="240"/>
      <c r="I7" s="240"/>
      <c r="J7" s="240"/>
      <c r="K7" s="240"/>
      <c r="L7" s="240"/>
      <c r="M7" s="240"/>
      <c r="N7" s="240"/>
      <c r="O7" s="240"/>
      <c r="T7" s="2"/>
      <c r="U7" s="317"/>
      <c r="V7" s="312"/>
      <c r="W7" s="405" t="s">
        <v>242</v>
      </c>
      <c r="X7" s="409">
        <v>19200</v>
      </c>
      <c r="Y7" s="402"/>
      <c r="Z7" s="409"/>
      <c r="AA7" s="317"/>
      <c r="AB7" s="317"/>
      <c r="AC7" s="317"/>
    </row>
    <row r="8" spans="1:29" s="227" customFormat="1" ht="15.75" x14ac:dyDescent="0.25">
      <c r="A8" s="250"/>
      <c r="B8" s="240"/>
      <c r="C8" s="240"/>
      <c r="D8" s="240"/>
      <c r="E8" s="240"/>
      <c r="F8" s="240"/>
      <c r="G8" s="240" t="str">
        <f>CONCATENATE("(b) = ",TEXT(X19,"$#,###"))</f>
        <v>(b) = $35,800</v>
      </c>
      <c r="H8" s="240"/>
      <c r="I8" s="240"/>
      <c r="J8" s="240"/>
      <c r="K8" s="240"/>
      <c r="L8" s="240"/>
      <c r="M8" s="240"/>
      <c r="N8" s="240"/>
      <c r="O8" s="240"/>
      <c r="U8" s="317"/>
      <c r="V8" s="312"/>
      <c r="W8" s="405" t="s">
        <v>243</v>
      </c>
      <c r="X8" s="409">
        <v>85700</v>
      </c>
      <c r="Y8" s="402"/>
      <c r="Z8" s="409">
        <v>92800</v>
      </c>
      <c r="AA8" s="317"/>
      <c r="AB8" s="317"/>
      <c r="AC8" s="317"/>
    </row>
    <row r="9" spans="1:29" s="227" customFormat="1" ht="15.75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U9" s="317"/>
      <c r="V9" s="312"/>
      <c r="W9" s="405" t="s">
        <v>244</v>
      </c>
      <c r="X9" s="409">
        <v>14500</v>
      </c>
      <c r="Y9" s="402"/>
      <c r="Z9" s="409">
        <v>12300</v>
      </c>
      <c r="AA9" s="317"/>
      <c r="AB9" s="317"/>
      <c r="AC9" s="317"/>
    </row>
    <row r="10" spans="1:29" s="227" customFormat="1" ht="15.75" x14ac:dyDescent="0.25">
      <c r="B10" s="251" t="s">
        <v>60</v>
      </c>
      <c r="C10" s="240" t="s">
        <v>1303</v>
      </c>
      <c r="D10" s="240"/>
      <c r="E10" s="240"/>
      <c r="F10" s="240"/>
      <c r="G10" s="240"/>
      <c r="H10" s="240"/>
      <c r="I10" s="240"/>
      <c r="J10" s="240"/>
      <c r="K10" s="240"/>
      <c r="M10" s="240" t="s">
        <v>252</v>
      </c>
      <c r="O10" s="240"/>
      <c r="U10" s="317"/>
      <c r="V10" s="312"/>
      <c r="W10" s="405" t="s">
        <v>745</v>
      </c>
      <c r="X10" s="409">
        <v>142200</v>
      </c>
      <c r="Y10" s="402"/>
      <c r="Z10" s="409"/>
      <c r="AA10" s="317"/>
      <c r="AB10" s="317"/>
      <c r="AC10" s="317"/>
    </row>
    <row r="11" spans="1:29" s="227" customFormat="1" ht="15.75" x14ac:dyDescent="0.25">
      <c r="A11" s="250"/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M11" s="240" t="str">
        <f>CONCATENATE("(e) = ",TEXT(X10,"$#,###"))</f>
        <v>(e) = $142,200</v>
      </c>
      <c r="O11" s="240"/>
      <c r="U11" s="317"/>
      <c r="V11" s="313"/>
      <c r="W11" s="405" t="s">
        <v>1497</v>
      </c>
      <c r="X11" s="409">
        <v>56900</v>
      </c>
      <c r="Y11" s="402"/>
      <c r="Z11" s="409">
        <v>67000</v>
      </c>
      <c r="AA11" s="317"/>
      <c r="AB11" s="317"/>
      <c r="AC11" s="317"/>
    </row>
    <row r="12" spans="1:29" s="227" customFormat="1" ht="15.75" x14ac:dyDescent="0.25">
      <c r="A12" s="240"/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U12" s="317"/>
      <c r="V12" s="313"/>
      <c r="W12" s="405" t="s">
        <v>747</v>
      </c>
      <c r="X12" s="409">
        <v>50300</v>
      </c>
      <c r="Y12" s="407"/>
      <c r="Z12" s="409">
        <v>0</v>
      </c>
      <c r="AA12" s="317"/>
      <c r="AB12" s="317"/>
      <c r="AC12" s="317"/>
    </row>
    <row r="13" spans="1:29" s="227" customFormat="1" ht="15.75" x14ac:dyDescent="0.25">
      <c r="B13" s="251" t="s">
        <v>67</v>
      </c>
      <c r="C13" s="240" t="s">
        <v>1304</v>
      </c>
      <c r="D13" s="240"/>
      <c r="E13" s="240"/>
      <c r="F13" s="240"/>
      <c r="G13" s="240"/>
      <c r="H13" s="240"/>
      <c r="I13" s="240"/>
      <c r="J13" s="240" t="str">
        <f>CONCATENATE(TEXT(X10,"$#,###")," (e) = ",TEXT(X12,"$#,###")," + (d)")</f>
        <v>$142,200 (e) = $50,300 + (d)</v>
      </c>
      <c r="L13" s="240"/>
      <c r="M13" s="240"/>
      <c r="N13" s="240"/>
      <c r="O13" s="240"/>
      <c r="U13" s="317"/>
      <c r="V13" s="313"/>
      <c r="W13" s="405" t="s">
        <v>245</v>
      </c>
      <c r="X13" s="409"/>
      <c r="Y13" s="402"/>
      <c r="Z13" s="409">
        <v>0</v>
      </c>
      <c r="AA13" s="317"/>
      <c r="AB13" s="317"/>
      <c r="AC13" s="317"/>
    </row>
    <row r="14" spans="1:29" s="227" customFormat="1" ht="15.75" x14ac:dyDescent="0.25">
      <c r="A14" s="250"/>
      <c r="B14" s="240"/>
      <c r="C14" s="240"/>
      <c r="D14" s="240"/>
      <c r="E14" s="240"/>
      <c r="F14" s="240"/>
      <c r="G14" s="240"/>
      <c r="H14" s="240"/>
      <c r="I14" s="240"/>
      <c r="J14" s="240" t="str">
        <f>CONCATENATE("(d) = ",TEXT(X20,"$#,###"))</f>
        <v>(d) = $91,900</v>
      </c>
      <c r="L14" s="240"/>
      <c r="M14" s="240"/>
      <c r="N14" s="240"/>
      <c r="O14" s="240"/>
      <c r="U14" s="317"/>
      <c r="V14" s="313"/>
      <c r="W14" s="405" t="s">
        <v>741</v>
      </c>
      <c r="X14" s="409"/>
      <c r="Y14" s="402"/>
      <c r="Z14" s="409">
        <v>0</v>
      </c>
      <c r="AA14" s="317"/>
      <c r="AB14" s="317"/>
      <c r="AC14" s="317"/>
    </row>
    <row r="15" spans="1:29" s="227" customFormat="1" ht="15.75" x14ac:dyDescent="0.25">
      <c r="A15" s="240"/>
      <c r="B15" s="240"/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U15" s="317"/>
      <c r="V15" s="313"/>
      <c r="W15" s="405" t="s">
        <v>739</v>
      </c>
      <c r="X15" s="409"/>
      <c r="Y15" s="402"/>
      <c r="Z15" s="409">
        <v>149200</v>
      </c>
      <c r="AA15" s="317"/>
      <c r="AB15" s="317"/>
      <c r="AC15" s="317"/>
    </row>
    <row r="16" spans="1:29" s="227" customFormat="1" ht="15.75" x14ac:dyDescent="0.25">
      <c r="B16" s="251" t="s">
        <v>70</v>
      </c>
      <c r="C16" s="240" t="s">
        <v>237</v>
      </c>
      <c r="D16" s="240"/>
      <c r="E16" s="240"/>
      <c r="F16" s="240"/>
      <c r="G16" s="240" t="str">
        <f>CONCATENATE("(c) + ",TEXT(X11,"$#,###")," = ",TEXT(X20,"$#,###")," (d)")</f>
        <v>(c) + $56,900 = $91,900 (d)</v>
      </c>
      <c r="H16" s="240"/>
      <c r="I16" s="240"/>
      <c r="J16" s="240"/>
      <c r="K16" s="240"/>
      <c r="L16" s="240"/>
      <c r="M16" s="240"/>
      <c r="N16" s="240"/>
      <c r="O16" s="240"/>
      <c r="T16" s="10"/>
      <c r="U16" s="317"/>
      <c r="V16" s="317"/>
      <c r="W16" s="405"/>
      <c r="X16" s="407"/>
      <c r="Y16" s="407"/>
      <c r="Z16" s="407"/>
      <c r="AA16" s="317"/>
      <c r="AB16" s="317"/>
      <c r="AC16" s="317"/>
    </row>
    <row r="17" spans="1:29" s="227" customFormat="1" ht="15.75" x14ac:dyDescent="0.25">
      <c r="A17" s="240"/>
      <c r="B17" s="240"/>
      <c r="C17" s="240"/>
      <c r="D17" s="240"/>
      <c r="E17" s="240"/>
      <c r="F17" s="240"/>
      <c r="G17" s="240" t="str">
        <f>CONCATENATE("(c) = ",TEXT(X21,"$#,###"))</f>
        <v>(c) = $35,000</v>
      </c>
      <c r="H17" s="240"/>
      <c r="I17" s="306"/>
      <c r="J17" s="306"/>
      <c r="K17" s="240"/>
      <c r="L17" s="240"/>
      <c r="M17" s="240"/>
      <c r="N17" s="240"/>
      <c r="O17" s="240"/>
      <c r="T17" s="10"/>
      <c r="U17" s="317"/>
      <c r="V17" s="317"/>
      <c r="W17" s="407"/>
      <c r="X17" s="412" t="s">
        <v>246</v>
      </c>
      <c r="Y17" s="407"/>
      <c r="Z17" s="407"/>
      <c r="AA17" s="317"/>
      <c r="AB17" s="317"/>
      <c r="AC17" s="317"/>
    </row>
    <row r="18" spans="1:29" s="227" customFormat="1" ht="15.75" x14ac:dyDescent="0.25">
      <c r="A18" s="240"/>
      <c r="B18" s="240"/>
      <c r="C18" s="240"/>
      <c r="D18" s="240"/>
      <c r="E18" s="240"/>
      <c r="F18" s="240"/>
      <c r="G18" s="240"/>
      <c r="H18" s="240"/>
      <c r="I18" s="240"/>
      <c r="J18" s="240"/>
      <c r="K18" s="240"/>
      <c r="L18" s="240"/>
      <c r="M18" s="240"/>
      <c r="N18" s="240"/>
      <c r="O18" s="240"/>
      <c r="U18" s="317"/>
      <c r="V18" s="313"/>
      <c r="W18" s="405" t="s">
        <v>1430</v>
      </c>
      <c r="X18" s="410">
        <f>X10-SUM(X6+X7+X8)</f>
        <v>26900</v>
      </c>
      <c r="Y18" s="407"/>
      <c r="Z18" s="407"/>
      <c r="AA18" s="317"/>
      <c r="AB18" s="317"/>
      <c r="AC18" s="317"/>
    </row>
    <row r="19" spans="1:29" s="227" customFormat="1" ht="15.75" x14ac:dyDescent="0.25">
      <c r="B19" s="251" t="s">
        <v>754</v>
      </c>
      <c r="C19" s="240" t="s">
        <v>238</v>
      </c>
      <c r="D19" s="240"/>
      <c r="E19" s="240" t="s">
        <v>253</v>
      </c>
      <c r="H19" s="240"/>
      <c r="I19" s="240"/>
      <c r="J19" s="240"/>
      <c r="K19" s="240"/>
      <c r="L19" s="240"/>
      <c r="M19" s="240"/>
      <c r="N19" s="240"/>
      <c r="O19" s="240"/>
      <c r="U19" s="317"/>
      <c r="V19" s="313"/>
      <c r="W19" s="405" t="s">
        <v>247</v>
      </c>
      <c r="X19" s="410">
        <f>X12-X9</f>
        <v>35800</v>
      </c>
      <c r="Y19" s="407"/>
      <c r="Z19" s="407"/>
      <c r="AA19" s="317"/>
      <c r="AB19" s="317"/>
      <c r="AC19" s="317"/>
    </row>
    <row r="20" spans="1:29" s="227" customFormat="1" ht="15.75" x14ac:dyDescent="0.25">
      <c r="A20" s="240"/>
      <c r="B20" s="240"/>
      <c r="E20" s="240" t="str">
        <f>CONCATENATE("(g) = ",TEXT(Z15,"$#,###"))</f>
        <v>(g) = $149,200</v>
      </c>
      <c r="H20" s="240"/>
      <c r="I20" s="240"/>
      <c r="J20" s="240"/>
      <c r="K20" s="240"/>
      <c r="L20" s="240"/>
      <c r="M20" s="240"/>
      <c r="N20" s="240"/>
      <c r="O20" s="240"/>
      <c r="S20"/>
      <c r="U20" s="317"/>
      <c r="V20" s="313"/>
      <c r="W20" s="405" t="s">
        <v>249</v>
      </c>
      <c r="X20" s="410">
        <f>X10-X12</f>
        <v>91900</v>
      </c>
      <c r="Y20" s="407"/>
      <c r="Z20" s="407"/>
      <c r="AA20" s="317"/>
      <c r="AB20" s="317"/>
      <c r="AC20" s="317"/>
    </row>
    <row r="21" spans="1:29" ht="15.75" x14ac:dyDescent="0.25">
      <c r="A21" s="238"/>
      <c r="B21" s="238"/>
      <c r="C21" s="240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9"/>
      <c r="T21" s="227"/>
      <c r="V21" s="313"/>
      <c r="W21" s="405" t="s">
        <v>248</v>
      </c>
      <c r="X21" s="410">
        <f>X20-X11</f>
        <v>35000</v>
      </c>
    </row>
    <row r="22" spans="1:29" ht="15.75" x14ac:dyDescent="0.25">
      <c r="B22" s="251" t="s">
        <v>755</v>
      </c>
      <c r="C22" s="240" t="s">
        <v>401</v>
      </c>
      <c r="D22" s="238"/>
      <c r="E22" s="238"/>
      <c r="F22" s="238"/>
      <c r="G22" s="238"/>
      <c r="H22" s="240" t="str">
        <f>CONCATENATE(TEXT(Z4,"$#,###")," + (f) + ",TEXT(Z8,"$#,###")," + ",TEXT(Z6,"$#,###")," = ",TEXT(Z15,"$#,###")," (g)")</f>
        <v>$25,000 + (f) + $92,800 + $9,200 = $149,200 (g)</v>
      </c>
      <c r="J22" s="240"/>
      <c r="L22" s="238"/>
      <c r="M22" s="238"/>
      <c r="N22" s="238"/>
      <c r="O22" s="29"/>
      <c r="T22" s="227"/>
      <c r="X22" s="402"/>
      <c r="Y22" s="405" t="s">
        <v>250</v>
      </c>
      <c r="Z22" s="410">
        <f>Z15-Z4-Z8-Z6</f>
        <v>22200</v>
      </c>
    </row>
    <row r="23" spans="1:29" ht="15.75" x14ac:dyDescent="0.25">
      <c r="A23" s="240"/>
      <c r="B23" s="240"/>
      <c r="C23" s="238"/>
      <c r="D23" s="238"/>
      <c r="E23" s="238"/>
      <c r="F23" s="238"/>
      <c r="G23" s="238"/>
      <c r="H23" s="240" t="str">
        <f>CONCATENATE("(f) = ",TEXT(Z22,"$#,###"))</f>
        <v>(f) = $22,200</v>
      </c>
      <c r="J23" s="240"/>
      <c r="L23" s="238"/>
      <c r="M23" s="238"/>
      <c r="N23" s="238"/>
      <c r="O23" s="94"/>
      <c r="T23" s="227"/>
      <c r="X23" s="402"/>
      <c r="Y23" s="405" t="s">
        <v>251</v>
      </c>
      <c r="Z23" s="410">
        <f>Z9+Z5</f>
        <v>47200</v>
      </c>
    </row>
    <row r="24" spans="1:29" ht="15.75" x14ac:dyDescent="0.25">
      <c r="A24" s="238"/>
      <c r="B24" s="238"/>
      <c r="C24" s="238"/>
      <c r="D24" s="238"/>
      <c r="E24" s="238"/>
      <c r="F24" s="238"/>
      <c r="G24" s="238"/>
      <c r="H24" s="238"/>
      <c r="I24" s="238"/>
      <c r="J24" s="238"/>
      <c r="K24" s="238"/>
      <c r="L24" s="238"/>
      <c r="M24" s="238"/>
      <c r="N24" s="238"/>
      <c r="O24" s="94"/>
      <c r="T24" s="227"/>
    </row>
    <row r="25" spans="1:29" ht="15.75" x14ac:dyDescent="0.25">
      <c r="B25" s="251" t="s">
        <v>756</v>
      </c>
      <c r="C25" s="240" t="s">
        <v>606</v>
      </c>
      <c r="F25" s="240" t="str">
        <f>CONCATENATE(TEXT(Z9,"$#,###")," + ",TEXT(Z5,"$#,###")," = (h)")</f>
        <v>$12,300 + $34,900 = (h)</v>
      </c>
      <c r="G25" s="238"/>
      <c r="H25" s="238"/>
      <c r="K25" s="238"/>
      <c r="L25" s="238"/>
      <c r="M25" s="238"/>
      <c r="N25" s="238"/>
      <c r="O25" s="94"/>
    </row>
    <row r="26" spans="1:29" ht="15.75" x14ac:dyDescent="0.25">
      <c r="A26" s="238"/>
      <c r="B26" s="238"/>
      <c r="C26" s="238"/>
      <c r="F26" s="240" t="str">
        <f>CONCATENATE("(h) = ",TEXT(Z23,"$#,###"))</f>
        <v>(h) = $47,200</v>
      </c>
      <c r="G26" s="238"/>
      <c r="H26" s="238"/>
      <c r="K26" s="238"/>
      <c r="L26" s="238"/>
      <c r="M26" s="238"/>
      <c r="N26" s="238"/>
      <c r="O26" s="94"/>
    </row>
    <row r="27" spans="1:29" ht="15.75" x14ac:dyDescent="0.25">
      <c r="O27" s="10"/>
    </row>
    <row r="28" spans="1:29" ht="15.75" x14ac:dyDescent="0.25">
      <c r="B28" s="251" t="s">
        <v>865</v>
      </c>
      <c r="C28" s="240" t="s">
        <v>1006</v>
      </c>
      <c r="J28" s="120" t="s">
        <v>1007</v>
      </c>
      <c r="O28" s="10"/>
    </row>
    <row r="29" spans="1:29" ht="15.75" x14ac:dyDescent="0.25">
      <c r="I29" s="226"/>
      <c r="J29" s="120" t="s">
        <v>1008</v>
      </c>
      <c r="O29" s="10"/>
    </row>
    <row r="30" spans="1:29" ht="15.75" x14ac:dyDescent="0.25">
      <c r="O30" s="10"/>
    </row>
    <row r="31" spans="1:29" ht="15.75" x14ac:dyDescent="0.25">
      <c r="B31" s="250" t="s">
        <v>864</v>
      </c>
      <c r="C31" s="240" t="s">
        <v>237</v>
      </c>
      <c r="G31" s="120" t="s">
        <v>1009</v>
      </c>
      <c r="O31" s="10"/>
    </row>
    <row r="32" spans="1:29" ht="15.75" x14ac:dyDescent="0.25">
      <c r="G32" s="120" t="s">
        <v>1010</v>
      </c>
      <c r="O32" s="10"/>
    </row>
    <row r="33" spans="15:15" ht="15.75" x14ac:dyDescent="0.25">
      <c r="O33" s="10"/>
    </row>
    <row r="34" spans="15:15" ht="15.75" x14ac:dyDescent="0.25">
      <c r="O34" s="10"/>
    </row>
    <row r="35" spans="15:15" ht="15.75" x14ac:dyDescent="0.25">
      <c r="O35" s="10"/>
    </row>
    <row r="36" spans="15:15" ht="15.75" x14ac:dyDescent="0.25">
      <c r="O36" s="10"/>
    </row>
    <row r="37" spans="15:15" ht="15.75" x14ac:dyDescent="0.25">
      <c r="O37" s="10"/>
    </row>
    <row r="38" spans="15:15" ht="15.75" x14ac:dyDescent="0.25">
      <c r="O38" s="10"/>
    </row>
    <row r="39" spans="15:15" ht="15.75" x14ac:dyDescent="0.25">
      <c r="O39" s="10"/>
    </row>
    <row r="40" spans="15:15" ht="15.75" x14ac:dyDescent="0.25">
      <c r="O40" s="10"/>
    </row>
    <row r="41" spans="15:15" ht="15.75" x14ac:dyDescent="0.25">
      <c r="O41" s="10"/>
    </row>
  </sheetData>
  <customSheetViews>
    <customSheetView guid="{B2DDA8C4-3089-41F7-BA6E-A0E09596A2CA}" showPageBreaks="1" showGridLines="0" printArea="1">
      <selection activeCell="A9" sqref="A9:A21"/>
      <pageMargins left="0.7" right="0.7" top="0.75" bottom="0.75" header="0.3" footer="0.3"/>
      <pageSetup orientation="portrait" horizontalDpi="4294967294" verticalDpi="0" r:id="rId1"/>
    </customSheetView>
    <customSheetView guid="{64EC5969-5D8D-4CA9-981C-456D4B800286}">
      <selection activeCell="E4" sqref="E4"/>
      <pageMargins left="0.7" right="0.7" top="0.75" bottom="0.75" header="0.3" footer="0.3"/>
    </customSheetView>
    <customSheetView guid="{E773A59C-8681-44F8-B8A6-B41D569D15E5}">
      <pageMargins left="0.7" right="0.7" top="0.75" bottom="0.75" header="0.3" footer="0.3"/>
    </customSheetView>
    <customSheetView guid="{4466D771-49B5-4680-AFB2-AE1BC2D40EE1}">
      <pageMargins left="0.7" right="0.7" top="0.75" bottom="0.75" header="0.3" footer="0.3"/>
    </customSheetView>
    <customSheetView guid="{92AEB71B-C088-46D1-AFBE-855E5EC7C157}" showGridLines="0" showRuler="0">
      <selection activeCell="A9" sqref="A9:A21"/>
      <pageMargins left="0.7" right="0.7" top="0.75" bottom="0.75" header="0.3" footer="0.3"/>
      <pageSetup orientation="portrait" horizontalDpi="4294967294" verticalDpi="0" r:id="rId2"/>
      <headerFooter alignWithMargins="0"/>
    </customSheetView>
  </customSheetViews>
  <phoneticPr fontId="49" type="noConversion"/>
  <printOptions horizontalCentered="1"/>
  <pageMargins left="0.75" right="1" top="0.85" bottom="0.8" header="0.5" footer="0.35"/>
  <pageSetup scale="93" orientation="portrait" useFirstPageNumber="1" horizontalDpi="1200" verticalDpi="1200" r:id="rId3"/>
  <headerFooter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drawing r:id="rId4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7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6" width="4.7109375" style="2" customWidth="1"/>
    <col min="7" max="7" width="45.140625" style="2" customWidth="1"/>
    <col min="8" max="8" width="11.28515625" style="2" customWidth="1"/>
    <col min="9" max="9" width="11.5703125" style="2" customWidth="1"/>
    <col min="10" max="10" width="2.7109375" style="2" customWidth="1"/>
    <col min="11" max="11" width="11.28515625" style="2" customWidth="1"/>
    <col min="12" max="12" width="2.7109375" style="2" customWidth="1"/>
    <col min="13" max="13" width="11.28515625" style="2" customWidth="1"/>
    <col min="14" max="14" width="2.7109375" style="2" customWidth="1"/>
    <col min="15" max="15" width="11.28515625" style="2" customWidth="1"/>
    <col min="16" max="16" width="2.7109375" style="2" customWidth="1"/>
    <col min="17" max="22" width="9.140625" style="2"/>
    <col min="23" max="23" width="12.5703125" style="2" bestFit="1" customWidth="1"/>
    <col min="24" max="16384" width="9.140625" style="2"/>
  </cols>
  <sheetData>
    <row r="1" spans="2:16" ht="28.5" customHeight="1" x14ac:dyDescent="0.2"/>
    <row r="2" spans="2:16" s="73" customFormat="1" ht="15.95" customHeight="1" x14ac:dyDescent="0.25">
      <c r="B2" s="10" t="s">
        <v>1155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2:16" s="73" customFormat="1" ht="5.0999999999999996" customHeight="1" x14ac:dyDescent="0.25">
      <c r="B3" s="10"/>
      <c r="C3" s="86"/>
      <c r="D3" s="86"/>
      <c r="E3" s="86"/>
      <c r="F3" s="86"/>
      <c r="G3" s="86"/>
      <c r="H3" s="86"/>
      <c r="I3" s="86"/>
      <c r="J3" s="74"/>
      <c r="K3" s="74"/>
      <c r="L3" s="74"/>
      <c r="M3" s="74"/>
      <c r="N3" s="74"/>
      <c r="O3" s="74"/>
      <c r="P3" s="74"/>
    </row>
    <row r="4" spans="2:16" s="73" customFormat="1" ht="15.95" customHeight="1" x14ac:dyDescent="0.25">
      <c r="B4" s="85" t="s">
        <v>758</v>
      </c>
      <c r="C4" s="363" t="s">
        <v>466</v>
      </c>
      <c r="D4" s="363"/>
      <c r="E4" s="363"/>
      <c r="F4" s="363"/>
      <c r="G4" s="363"/>
      <c r="H4" s="363"/>
      <c r="I4" s="363"/>
      <c r="J4" s="20"/>
      <c r="K4" s="20"/>
      <c r="L4" s="20"/>
      <c r="M4" s="20"/>
      <c r="N4" s="20"/>
      <c r="O4" s="20"/>
      <c r="P4" s="20"/>
    </row>
    <row r="5" spans="2:16" s="73" customFormat="1" ht="15.95" customHeight="1" x14ac:dyDescent="0.25">
      <c r="C5" s="363" t="s">
        <v>467</v>
      </c>
      <c r="D5" s="363"/>
      <c r="E5" s="363"/>
      <c r="F5" s="363"/>
      <c r="G5" s="363"/>
      <c r="H5" s="363"/>
      <c r="I5" s="363"/>
      <c r="J5" s="20"/>
      <c r="K5" s="20"/>
      <c r="L5" s="20"/>
      <c r="M5" s="20"/>
      <c r="N5" s="20"/>
      <c r="O5" s="20"/>
      <c r="P5" s="20"/>
    </row>
    <row r="6" spans="2:16" s="73" customFormat="1" ht="15.95" customHeight="1" x14ac:dyDescent="0.25">
      <c r="C6" s="372" t="s">
        <v>468</v>
      </c>
      <c r="D6" s="372"/>
      <c r="E6" s="372"/>
      <c r="F6" s="372"/>
      <c r="G6" s="372"/>
      <c r="H6" s="372"/>
      <c r="I6" s="372"/>
      <c r="J6" s="20"/>
      <c r="K6" s="20"/>
      <c r="L6" s="20"/>
      <c r="M6" s="20"/>
      <c r="N6" s="20"/>
      <c r="O6" s="20"/>
      <c r="P6" s="20"/>
    </row>
    <row r="7" spans="2:16" s="73" customFormat="1" ht="5.0999999999999996" customHeight="1" x14ac:dyDescent="0.25">
      <c r="B7" s="10"/>
      <c r="C7" s="10"/>
      <c r="D7" s="10"/>
      <c r="E7" s="10"/>
      <c r="F7" s="10"/>
      <c r="J7" s="74"/>
      <c r="K7" s="74"/>
      <c r="L7" s="74"/>
      <c r="M7" s="74"/>
      <c r="N7" s="74"/>
      <c r="O7" s="74"/>
      <c r="P7" s="74"/>
    </row>
    <row r="8" spans="2:16" s="73" customFormat="1" ht="15.95" customHeight="1" x14ac:dyDescent="0.25">
      <c r="C8" s="10" t="s">
        <v>469</v>
      </c>
      <c r="D8" s="10"/>
      <c r="E8" s="10"/>
      <c r="F8" s="10"/>
      <c r="J8" s="74"/>
      <c r="K8" s="74"/>
      <c r="L8" s="74"/>
      <c r="M8" s="74"/>
      <c r="N8" s="74"/>
      <c r="O8" s="74"/>
      <c r="P8" s="74"/>
    </row>
    <row r="9" spans="2:16" s="73" customFormat="1" ht="15.95" customHeight="1" x14ac:dyDescent="0.25">
      <c r="C9" s="70" t="s">
        <v>322</v>
      </c>
      <c r="E9" s="10"/>
      <c r="F9" s="10"/>
    </row>
    <row r="10" spans="2:16" s="73" customFormat="1" ht="15.95" customHeight="1" x14ac:dyDescent="0.25">
      <c r="C10" s="10" t="s">
        <v>470</v>
      </c>
      <c r="D10" s="10"/>
      <c r="E10" s="10"/>
      <c r="F10" s="10"/>
    </row>
    <row r="11" spans="2:16" s="73" customFormat="1" ht="15.95" customHeight="1" x14ac:dyDescent="0.25">
      <c r="C11" s="70" t="s">
        <v>1499</v>
      </c>
      <c r="E11" s="10"/>
      <c r="F11" s="10"/>
    </row>
    <row r="12" spans="2:16" s="73" customFormat="1" ht="15.95" customHeight="1" x14ac:dyDescent="0.25">
      <c r="C12" s="70" t="s">
        <v>471</v>
      </c>
      <c r="E12" s="10"/>
      <c r="F12" s="10"/>
    </row>
    <row r="13" spans="2:16" s="73" customFormat="1" ht="15.95" customHeight="1" x14ac:dyDescent="0.25">
      <c r="C13" s="70" t="s">
        <v>1500</v>
      </c>
      <c r="E13" s="10"/>
      <c r="F13" s="10"/>
    </row>
    <row r="14" spans="2:16" s="73" customFormat="1" ht="15.95" customHeight="1" x14ac:dyDescent="0.25">
      <c r="C14" s="70" t="s">
        <v>472</v>
      </c>
      <c r="E14" s="10"/>
      <c r="F14" s="10"/>
    </row>
    <row r="15" spans="2:16" s="73" customFormat="1" ht="15.95" customHeight="1" x14ac:dyDescent="0.25">
      <c r="C15" s="70" t="s">
        <v>473</v>
      </c>
      <c r="E15" s="10"/>
      <c r="F15" s="10"/>
    </row>
    <row r="16" spans="2:16" s="73" customFormat="1" ht="15.95" customHeight="1" x14ac:dyDescent="0.25">
      <c r="C16" s="70" t="s">
        <v>474</v>
      </c>
      <c r="E16" s="10"/>
      <c r="F16" s="10"/>
    </row>
    <row r="17" spans="2:9" s="73" customFormat="1" ht="15.95" customHeight="1" x14ac:dyDescent="0.25">
      <c r="C17" s="70" t="s">
        <v>501</v>
      </c>
      <c r="E17" s="10"/>
      <c r="F17" s="10"/>
    </row>
    <row r="18" spans="2:9" s="73" customFormat="1" ht="15.95" customHeight="1" x14ac:dyDescent="0.25">
      <c r="C18" s="10" t="s">
        <v>476</v>
      </c>
      <c r="D18" s="10"/>
      <c r="E18" s="10"/>
      <c r="F18" s="10"/>
    </row>
    <row r="19" spans="2:9" s="73" customFormat="1" ht="9.9499999999999993" customHeight="1" x14ac:dyDescent="0.25">
      <c r="C19" s="10"/>
      <c r="D19" s="10"/>
      <c r="E19" s="10"/>
      <c r="F19" s="10"/>
    </row>
    <row r="20" spans="2:9" s="73" customFormat="1" ht="15.95" customHeight="1" x14ac:dyDescent="0.25">
      <c r="B20" s="85" t="s">
        <v>759</v>
      </c>
      <c r="C20" s="10" t="s">
        <v>477</v>
      </c>
      <c r="D20" s="26"/>
      <c r="E20" s="26"/>
      <c r="F20" s="26"/>
      <c r="G20" s="74"/>
      <c r="H20" s="74"/>
      <c r="I20" s="74"/>
    </row>
    <row r="21" spans="2:9" s="73" customFormat="1" ht="15.95" customHeight="1" x14ac:dyDescent="0.25">
      <c r="B21" s="26"/>
      <c r="C21" s="71" t="s">
        <v>478</v>
      </c>
      <c r="D21" s="26"/>
      <c r="E21" s="26"/>
      <c r="F21" s="26"/>
      <c r="G21" s="74"/>
      <c r="H21" s="74"/>
      <c r="I21" s="74"/>
    </row>
    <row r="22" spans="2:9" s="73" customFormat="1" ht="15.95" customHeight="1" x14ac:dyDescent="0.25">
      <c r="B22" s="26"/>
      <c r="C22" s="10" t="s">
        <v>1316</v>
      </c>
      <c r="D22" s="26"/>
      <c r="E22" s="26"/>
      <c r="F22" s="26"/>
      <c r="G22" s="74"/>
      <c r="H22" s="74"/>
      <c r="I22" s="74"/>
    </row>
    <row r="23" spans="2:9" s="73" customFormat="1" ht="15.95" customHeight="1" x14ac:dyDescent="0.25">
      <c r="B23" s="26"/>
      <c r="C23" s="10" t="s">
        <v>479</v>
      </c>
      <c r="D23" s="26"/>
      <c r="E23" s="26"/>
      <c r="F23" s="26"/>
      <c r="G23" s="74"/>
      <c r="H23" s="74"/>
      <c r="I23" s="74"/>
    </row>
    <row r="24" spans="2:9" s="73" customFormat="1" ht="15.95" customHeight="1" x14ac:dyDescent="0.25">
      <c r="B24" s="26"/>
      <c r="C24" s="10" t="s">
        <v>480</v>
      </c>
      <c r="D24" s="26"/>
      <c r="E24" s="26"/>
      <c r="F24" s="26"/>
      <c r="G24" s="74"/>
      <c r="H24" s="74"/>
      <c r="I24" s="74"/>
    </row>
    <row r="25" spans="2:9" s="73" customFormat="1" ht="5.0999999999999996" customHeight="1" x14ac:dyDescent="0.25">
      <c r="B25" s="10"/>
      <c r="C25" s="10"/>
      <c r="D25" s="10"/>
      <c r="E25" s="10"/>
      <c r="F25" s="10"/>
    </row>
    <row r="26" spans="2:9" s="73" customFormat="1" ht="15.95" customHeight="1" x14ac:dyDescent="0.25">
      <c r="B26" s="10"/>
      <c r="C26" s="74"/>
      <c r="D26" s="74"/>
      <c r="E26" s="74"/>
      <c r="F26" s="74"/>
      <c r="G26" s="74"/>
      <c r="H26" s="74"/>
      <c r="I26" s="74"/>
    </row>
    <row r="27" spans="2:9" s="10" customFormat="1" ht="15.95" customHeight="1" x14ac:dyDescent="0.25"/>
    <row r="28" spans="2:9" s="10" customFormat="1" ht="15" customHeight="1" x14ac:dyDescent="0.25"/>
    <row r="29" spans="2:9" s="10" customFormat="1" ht="15" customHeight="1" x14ac:dyDescent="0.25"/>
    <row r="30" spans="2:9" s="10" customFormat="1" ht="9.9499999999999993" customHeight="1" x14ac:dyDescent="0.25"/>
    <row r="31" spans="2:9" s="10" customFormat="1" ht="15" customHeight="1" x14ac:dyDescent="0.25"/>
    <row r="32" spans="2:9" s="10" customFormat="1" ht="17.100000000000001" customHeight="1" x14ac:dyDescent="0.25"/>
    <row r="33" spans="3:8" s="10" customFormat="1" ht="17.100000000000001" customHeight="1" x14ac:dyDescent="0.25"/>
    <row r="34" spans="3:8" s="10" customFormat="1" ht="17.100000000000001" customHeight="1" x14ac:dyDescent="0.25"/>
    <row r="35" spans="3:8" s="10" customFormat="1" ht="17.100000000000001" customHeight="1" x14ac:dyDescent="0.25"/>
    <row r="36" spans="3:8" s="10" customFormat="1" ht="17.100000000000001" customHeight="1" x14ac:dyDescent="0.25"/>
    <row r="37" spans="3:8" s="10" customFormat="1" ht="17.100000000000001" customHeight="1" x14ac:dyDescent="0.25"/>
    <row r="38" spans="3:8" s="10" customFormat="1" ht="17.100000000000001" customHeight="1" x14ac:dyDescent="0.25"/>
    <row r="39" spans="3:8" ht="15" customHeight="1" x14ac:dyDescent="0.2">
      <c r="H39" s="48"/>
    </row>
    <row r="40" spans="3:8" ht="15" customHeight="1" x14ac:dyDescent="0.2"/>
    <row r="41" spans="3:8" ht="15" customHeight="1" x14ac:dyDescent="0.25">
      <c r="C41" s="87"/>
    </row>
    <row r="42" spans="3:8" ht="15" customHeight="1" x14ac:dyDescent="0.2"/>
    <row r="43" spans="3:8" ht="15" customHeight="1" x14ac:dyDescent="0.2"/>
    <row r="44" spans="3:8" ht="15" customHeight="1" x14ac:dyDescent="0.2"/>
    <row r="45" spans="3:8" ht="15" customHeight="1" x14ac:dyDescent="0.2"/>
    <row r="46" spans="3:8" ht="15" customHeight="1" x14ac:dyDescent="0.2"/>
    <row r="47" spans="3:8" ht="15" customHeight="1" x14ac:dyDescent="0.2"/>
  </sheetData>
  <customSheetViews>
    <customSheetView guid="{B2DDA8C4-3089-41F7-BA6E-A0E09596A2CA}" scale="80" showPageBreaks="1" fitToPage="1" printArea="1"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">
    <mergeCell ref="C4:I4"/>
    <mergeCell ref="C5:I5"/>
    <mergeCell ref="C6:I6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46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5" width="4.7109375" style="2" customWidth="1"/>
    <col min="6" max="6" width="9.7109375" style="2" customWidth="1"/>
    <col min="7" max="7" width="35.42578125" style="2" customWidth="1"/>
    <col min="8" max="8" width="1.85546875" style="2" customWidth="1"/>
    <col min="9" max="9" width="11.28515625" style="2" customWidth="1"/>
    <col min="10" max="10" width="2.7109375" style="2" customWidth="1"/>
    <col min="11" max="11" width="11.28515625" style="2" customWidth="1"/>
    <col min="12" max="12" width="2.7109375" style="2" customWidth="1"/>
    <col min="13" max="13" width="6" style="2" customWidth="1"/>
    <col min="14" max="14" width="9.140625" style="2"/>
    <col min="15" max="15" width="2.7109375" style="312" customWidth="1"/>
    <col min="16" max="16" width="9.28515625" style="407" hidden="1" customWidth="1"/>
    <col min="17" max="17" width="2.7109375" style="407" hidden="1" customWidth="1"/>
    <col min="18" max="18" width="9.85546875" style="407" hidden="1" customWidth="1"/>
    <col min="19" max="19" width="2.7109375" style="407" hidden="1" customWidth="1"/>
    <col min="20" max="20" width="12.5703125" style="407" hidden="1" customWidth="1"/>
    <col min="21" max="21" width="12.5703125" style="312" customWidth="1"/>
    <col min="22" max="22" width="12.5703125" style="2" customWidth="1"/>
    <col min="23" max="23" width="4.5703125" style="2" customWidth="1"/>
    <col min="24" max="24" width="1.140625" style="2" customWidth="1"/>
    <col min="25" max="25" width="9.140625" style="2"/>
    <col min="26" max="26" width="13.7109375" style="2" customWidth="1"/>
    <col min="27" max="27" width="10.28515625" style="2" bestFit="1" customWidth="1"/>
    <col min="28" max="16384" width="9.140625" style="2"/>
  </cols>
  <sheetData>
    <row r="1" spans="2:28" ht="28.5" customHeight="1" x14ac:dyDescent="0.2"/>
    <row r="2" spans="2:28" ht="15.95" customHeight="1" x14ac:dyDescent="0.25">
      <c r="B2" s="10" t="s">
        <v>1174</v>
      </c>
      <c r="T2" s="402"/>
      <c r="U2" s="316"/>
      <c r="V2" s="74"/>
      <c r="W2" s="74"/>
      <c r="X2" s="74"/>
      <c r="Y2" s="74"/>
      <c r="Z2" s="74"/>
      <c r="AA2" s="74"/>
    </row>
    <row r="3" spans="2:28" ht="5.0999999999999996" customHeight="1" x14ac:dyDescent="0.25">
      <c r="B3" s="10"/>
      <c r="C3" s="48"/>
      <c r="D3" s="48"/>
      <c r="E3" s="48"/>
      <c r="F3" s="48"/>
      <c r="G3" s="48"/>
      <c r="H3" s="48"/>
      <c r="I3" s="48"/>
      <c r="J3" s="48"/>
      <c r="T3" s="402"/>
      <c r="U3" s="316"/>
      <c r="V3" s="74"/>
      <c r="W3" s="74"/>
      <c r="X3" s="74"/>
      <c r="Y3" s="74"/>
      <c r="Z3" s="74"/>
      <c r="AA3" s="74"/>
    </row>
    <row r="4" spans="2:28" ht="15.95" customHeight="1" x14ac:dyDescent="0.25">
      <c r="B4" s="11" t="s">
        <v>758</v>
      </c>
      <c r="C4" s="360" t="s">
        <v>490</v>
      </c>
      <c r="D4" s="360"/>
      <c r="E4" s="360"/>
      <c r="F4" s="360"/>
      <c r="G4" s="360"/>
      <c r="H4" s="360"/>
      <c r="I4" s="360"/>
      <c r="J4" s="360"/>
      <c r="K4" s="360"/>
      <c r="T4" s="403"/>
      <c r="U4" s="314"/>
      <c r="V4" s="20"/>
      <c r="W4" s="20"/>
      <c r="X4" s="20"/>
      <c r="Y4" s="20"/>
      <c r="Z4" s="26"/>
      <c r="AA4" s="74"/>
    </row>
    <row r="5" spans="2:28" ht="15.95" customHeight="1" x14ac:dyDescent="0.25">
      <c r="B5" s="10"/>
      <c r="C5" s="363" t="s">
        <v>467</v>
      </c>
      <c r="D5" s="363"/>
      <c r="E5" s="363"/>
      <c r="F5" s="363"/>
      <c r="G5" s="363"/>
      <c r="H5" s="363"/>
      <c r="I5" s="363"/>
      <c r="J5" s="363"/>
      <c r="K5" s="363"/>
      <c r="T5" s="403"/>
      <c r="U5" s="314"/>
      <c r="V5" s="20"/>
      <c r="W5" s="20"/>
      <c r="X5" s="20"/>
      <c r="Y5" s="20"/>
      <c r="Z5" s="26"/>
      <c r="AA5" s="74"/>
    </row>
    <row r="6" spans="2:28" ht="15.95" customHeight="1" x14ac:dyDescent="0.25">
      <c r="B6" s="10"/>
      <c r="C6" s="372" t="s">
        <v>1118</v>
      </c>
      <c r="D6" s="372"/>
      <c r="E6" s="372"/>
      <c r="F6" s="372"/>
      <c r="G6" s="372"/>
      <c r="H6" s="372"/>
      <c r="I6" s="372"/>
      <c r="J6" s="372"/>
      <c r="K6" s="372"/>
      <c r="S6" s="402"/>
      <c r="U6" s="218"/>
      <c r="V6" s="26"/>
      <c r="W6" s="26"/>
      <c r="X6" s="26"/>
      <c r="AA6" s="26"/>
    </row>
    <row r="7" spans="2:28" ht="5.0999999999999996" customHeight="1" x14ac:dyDescent="0.25">
      <c r="B7" s="10"/>
      <c r="C7" s="20"/>
      <c r="D7" s="20"/>
      <c r="E7" s="20"/>
      <c r="F7" s="20"/>
      <c r="G7" s="20"/>
      <c r="H7" s="20"/>
      <c r="I7" s="20"/>
      <c r="J7" s="20"/>
      <c r="K7" s="20"/>
      <c r="S7" s="402"/>
      <c r="U7" s="218"/>
      <c r="V7" s="26"/>
      <c r="W7" s="26"/>
      <c r="X7" s="26"/>
      <c r="AA7" s="26"/>
    </row>
    <row r="8" spans="2:28" ht="15.95" customHeight="1" x14ac:dyDescent="0.25">
      <c r="B8" s="10"/>
      <c r="C8" s="10" t="s">
        <v>481</v>
      </c>
      <c r="D8" s="10"/>
      <c r="E8" s="10"/>
      <c r="F8" s="10"/>
      <c r="G8" s="10"/>
      <c r="H8" s="10"/>
      <c r="I8" s="10"/>
      <c r="J8" s="10"/>
      <c r="R8" s="417" t="s">
        <v>1681</v>
      </c>
      <c r="S8" s="402"/>
      <c r="U8" s="218"/>
      <c r="V8" s="26"/>
      <c r="W8" s="26"/>
      <c r="X8" s="26"/>
      <c r="AA8" s="26"/>
    </row>
    <row r="9" spans="2:28" ht="15.95" customHeight="1" x14ac:dyDescent="0.25">
      <c r="B9" s="10"/>
      <c r="C9" s="69" t="s">
        <v>482</v>
      </c>
      <c r="E9" s="10"/>
      <c r="F9" s="10"/>
      <c r="G9" s="10"/>
      <c r="H9" s="10" t="s">
        <v>337</v>
      </c>
      <c r="I9" s="78" t="s">
        <v>337</v>
      </c>
      <c r="J9" s="23"/>
      <c r="K9" s="17">
        <f>'1-22'!R9</f>
        <v>933800</v>
      </c>
      <c r="Q9" s="405" t="s">
        <v>804</v>
      </c>
      <c r="R9" s="409">
        <v>933800</v>
      </c>
      <c r="S9" s="402"/>
      <c r="W9" s="26"/>
      <c r="X9" s="26"/>
      <c r="AA9" s="26"/>
    </row>
    <row r="10" spans="2:28" ht="15.95" customHeight="1" x14ac:dyDescent="0.25">
      <c r="B10" s="10"/>
      <c r="C10" s="10" t="s">
        <v>470</v>
      </c>
      <c r="D10" s="10"/>
      <c r="E10" s="10"/>
      <c r="F10" s="10"/>
      <c r="G10" s="10"/>
      <c r="H10" s="10"/>
      <c r="I10" s="78"/>
      <c r="J10" s="46"/>
      <c r="K10" s="23"/>
      <c r="S10" s="402"/>
      <c r="W10" s="26"/>
      <c r="X10" s="26"/>
      <c r="AA10" s="26"/>
    </row>
    <row r="11" spans="2:28" ht="15.95" customHeight="1" x14ac:dyDescent="0.25">
      <c r="B11" s="10"/>
      <c r="C11" s="69" t="s">
        <v>1329</v>
      </c>
      <c r="E11" s="10"/>
      <c r="F11" s="10"/>
      <c r="G11" s="10"/>
      <c r="H11" s="10" t="s">
        <v>337</v>
      </c>
      <c r="I11" s="41">
        <f>'1-22'!R11</f>
        <v>448300</v>
      </c>
      <c r="J11" s="46"/>
      <c r="K11" s="23"/>
      <c r="Q11" s="405" t="s">
        <v>799</v>
      </c>
      <c r="R11" s="409">
        <v>448300</v>
      </c>
      <c r="W11" s="26"/>
      <c r="X11" s="26"/>
      <c r="AA11" s="26"/>
    </row>
    <row r="12" spans="2:28" ht="15.95" customHeight="1" x14ac:dyDescent="0.25">
      <c r="B12" s="10"/>
      <c r="C12" s="69" t="s">
        <v>485</v>
      </c>
      <c r="E12" s="10"/>
      <c r="F12" s="10"/>
      <c r="G12" s="10"/>
      <c r="H12" s="10" t="s">
        <v>337</v>
      </c>
      <c r="I12" s="78">
        <f>'1-22'!R12</f>
        <v>195600</v>
      </c>
      <c r="J12" s="46"/>
      <c r="K12" s="23"/>
      <c r="Q12" s="405" t="s">
        <v>798</v>
      </c>
      <c r="R12" s="409">
        <v>195600</v>
      </c>
      <c r="S12" s="402"/>
      <c r="W12" s="26"/>
      <c r="X12" s="26"/>
      <c r="AA12" s="26"/>
    </row>
    <row r="13" spans="2:28" ht="15.95" customHeight="1" x14ac:dyDescent="0.25">
      <c r="B13" s="10"/>
      <c r="C13" s="69" t="s">
        <v>1330</v>
      </c>
      <c r="E13" s="10"/>
      <c r="F13" s="10"/>
      <c r="G13" s="10"/>
      <c r="H13" s="10" t="s">
        <v>337</v>
      </c>
      <c r="I13" s="78">
        <f>'1-22'!R13</f>
        <v>66400</v>
      </c>
      <c r="J13" s="46"/>
      <c r="K13" s="23"/>
      <c r="Q13" s="405" t="s">
        <v>962</v>
      </c>
      <c r="R13" s="409">
        <v>66400</v>
      </c>
      <c r="S13" s="402"/>
      <c r="W13" s="26"/>
      <c r="X13" s="26"/>
      <c r="AA13" s="26"/>
    </row>
    <row r="14" spans="2:28" ht="15.95" customHeight="1" x14ac:dyDescent="0.25">
      <c r="B14" s="10"/>
      <c r="C14" s="69" t="s">
        <v>1331</v>
      </c>
      <c r="E14" s="10"/>
      <c r="F14" s="10"/>
      <c r="G14" s="10"/>
      <c r="H14" s="10" t="s">
        <v>337</v>
      </c>
      <c r="I14" s="78">
        <f>'1-22'!R14</f>
        <v>58400</v>
      </c>
      <c r="J14" s="46"/>
      <c r="K14" s="23"/>
      <c r="Q14" s="405" t="s">
        <v>964</v>
      </c>
      <c r="R14" s="409">
        <v>58400</v>
      </c>
      <c r="S14" s="402"/>
      <c r="W14" s="26"/>
      <c r="X14" s="26"/>
      <c r="AA14" s="26"/>
    </row>
    <row r="15" spans="2:28" ht="15.95" customHeight="1" x14ac:dyDescent="0.25">
      <c r="B15" s="10"/>
      <c r="C15" s="69" t="s">
        <v>1332</v>
      </c>
      <c r="E15" s="10"/>
      <c r="F15" s="10"/>
      <c r="G15" s="10"/>
      <c r="H15" s="10" t="s">
        <v>337</v>
      </c>
      <c r="I15" s="78">
        <f>'1-22'!R15</f>
        <v>26100</v>
      </c>
      <c r="J15" s="46"/>
      <c r="K15" s="23"/>
      <c r="Q15" s="405" t="s">
        <v>1613</v>
      </c>
      <c r="R15" s="409">
        <v>26100</v>
      </c>
      <c r="S15" s="402"/>
      <c r="W15" s="26"/>
      <c r="X15" s="26"/>
      <c r="AA15" s="26"/>
    </row>
    <row r="16" spans="2:28" s="10" customFormat="1" ht="15.95" customHeight="1" x14ac:dyDescent="0.25">
      <c r="C16" s="69" t="s">
        <v>1333</v>
      </c>
      <c r="H16" s="10" t="s">
        <v>337</v>
      </c>
      <c r="I16" s="78">
        <f>R16</f>
        <v>24200</v>
      </c>
      <c r="J16" s="25"/>
      <c r="K16" s="25"/>
      <c r="O16" s="313"/>
      <c r="P16" s="402"/>
      <c r="Q16" s="405" t="s">
        <v>801</v>
      </c>
      <c r="R16" s="409">
        <v>24200</v>
      </c>
      <c r="S16" s="402"/>
      <c r="T16" s="402"/>
      <c r="U16" s="313"/>
      <c r="W16" s="26"/>
      <c r="X16" s="26"/>
      <c r="AA16" s="26"/>
      <c r="AB16" s="2"/>
    </row>
    <row r="17" spans="2:27" s="10" customFormat="1" ht="15.95" customHeight="1" x14ac:dyDescent="0.25">
      <c r="C17" s="69" t="s">
        <v>1334</v>
      </c>
      <c r="H17" s="10" t="s">
        <v>337</v>
      </c>
      <c r="I17" s="78">
        <f>R17</f>
        <v>16250</v>
      </c>
      <c r="J17" s="46"/>
      <c r="K17" s="46"/>
      <c r="O17" s="313"/>
      <c r="P17" s="402"/>
      <c r="Q17" s="405" t="s">
        <v>961</v>
      </c>
      <c r="R17" s="409">
        <v>16250</v>
      </c>
      <c r="S17" s="407"/>
      <c r="T17" s="402"/>
      <c r="U17" s="313"/>
      <c r="W17" s="26"/>
      <c r="X17" s="26"/>
      <c r="AA17" s="26"/>
    </row>
    <row r="18" spans="2:27" s="10" customFormat="1" ht="15.95" customHeight="1" x14ac:dyDescent="0.25">
      <c r="C18" s="69" t="s">
        <v>1335</v>
      </c>
      <c r="H18" s="10" t="s">
        <v>337</v>
      </c>
      <c r="I18" s="78">
        <f>R18</f>
        <v>11900</v>
      </c>
      <c r="J18" s="46"/>
      <c r="K18" s="46"/>
      <c r="O18" s="313"/>
      <c r="P18" s="402"/>
      <c r="Q18" s="405" t="s">
        <v>1612</v>
      </c>
      <c r="R18" s="409">
        <v>11900</v>
      </c>
      <c r="S18" s="402"/>
      <c r="T18" s="402"/>
      <c r="U18" s="313"/>
      <c r="W18" s="26"/>
      <c r="X18" s="26"/>
      <c r="AA18" s="26"/>
    </row>
    <row r="19" spans="2:27" s="10" customFormat="1" ht="15.95" customHeight="1" x14ac:dyDescent="0.25">
      <c r="C19" s="69" t="s">
        <v>1336</v>
      </c>
      <c r="H19" s="10" t="s">
        <v>337</v>
      </c>
      <c r="I19" s="78">
        <f>R19</f>
        <v>10100</v>
      </c>
      <c r="J19" s="46"/>
      <c r="K19" s="46"/>
      <c r="O19" s="313"/>
      <c r="P19" s="402"/>
      <c r="Q19" s="405" t="s">
        <v>803</v>
      </c>
      <c r="R19" s="409">
        <v>10100</v>
      </c>
      <c r="S19" s="402"/>
      <c r="T19" s="402"/>
      <c r="U19" s="313"/>
      <c r="W19" s="26"/>
      <c r="X19" s="26"/>
      <c r="Y19" s="26"/>
      <c r="Z19" s="26"/>
      <c r="AA19" s="26"/>
    </row>
    <row r="20" spans="2:27" s="10" customFormat="1" ht="15.95" customHeight="1" x14ac:dyDescent="0.25">
      <c r="C20" s="69" t="s">
        <v>1337</v>
      </c>
      <c r="H20" s="10" t="s">
        <v>337</v>
      </c>
      <c r="I20" s="53">
        <f>R20</f>
        <v>15150</v>
      </c>
      <c r="J20" s="46"/>
      <c r="K20" s="46"/>
      <c r="O20" s="313"/>
      <c r="P20" s="402"/>
      <c r="Q20" s="405" t="s">
        <v>802</v>
      </c>
      <c r="R20" s="409">
        <v>15150</v>
      </c>
      <c r="S20" s="402"/>
      <c r="T20" s="402"/>
      <c r="U20" s="313"/>
      <c r="W20" s="26"/>
      <c r="X20" s="26"/>
      <c r="Y20" s="26"/>
      <c r="Z20" s="26"/>
      <c r="AA20" s="26"/>
    </row>
    <row r="21" spans="2:27" s="10" customFormat="1" ht="15.95" customHeight="1" x14ac:dyDescent="0.25">
      <c r="C21" s="158" t="s">
        <v>1338</v>
      </c>
      <c r="H21" s="10" t="s">
        <v>337</v>
      </c>
      <c r="I21" s="78" t="s">
        <v>337</v>
      </c>
      <c r="J21" s="46"/>
      <c r="K21" s="53">
        <f>SUM(I11:I20)</f>
        <v>872400</v>
      </c>
      <c r="O21" s="313"/>
      <c r="P21" s="402"/>
      <c r="Q21" s="405" t="s">
        <v>800</v>
      </c>
      <c r="R21" s="409">
        <v>10000</v>
      </c>
      <c r="S21" s="402"/>
      <c r="T21" s="402"/>
      <c r="U21" s="313"/>
    </row>
    <row r="22" spans="2:27" s="10" customFormat="1" ht="3" customHeight="1" x14ac:dyDescent="0.25">
      <c r="C22" s="158"/>
      <c r="I22" s="78"/>
      <c r="J22" s="46"/>
      <c r="K22" s="78"/>
      <c r="O22" s="313"/>
      <c r="P22" s="402"/>
      <c r="Q22" s="405"/>
      <c r="R22" s="410"/>
      <c r="S22" s="402"/>
      <c r="T22" s="402"/>
      <c r="U22" s="313"/>
    </row>
    <row r="23" spans="2:27" s="10" customFormat="1" ht="15.95" customHeight="1" thickBot="1" x14ac:dyDescent="0.3">
      <c r="C23" s="10" t="s">
        <v>1339</v>
      </c>
      <c r="H23" s="10" t="s">
        <v>337</v>
      </c>
      <c r="I23" s="78" t="s">
        <v>337</v>
      </c>
      <c r="J23" s="46"/>
      <c r="K23" s="54">
        <f>SUM(K9-K21)</f>
        <v>61400</v>
      </c>
      <c r="O23" s="313"/>
      <c r="P23" s="435" t="s">
        <v>794</v>
      </c>
      <c r="Q23" s="435"/>
      <c r="R23" s="435"/>
      <c r="S23" s="402"/>
      <c r="T23" s="402"/>
      <c r="U23" s="313"/>
    </row>
    <row r="24" spans="2:27" s="10" customFormat="1" ht="9.9499999999999993" customHeight="1" thickTop="1" x14ac:dyDescent="0.25">
      <c r="O24" s="313"/>
      <c r="P24" s="435"/>
      <c r="Q24" s="435"/>
      <c r="R24" s="435"/>
      <c r="S24" s="402"/>
      <c r="T24" s="402"/>
      <c r="U24" s="313"/>
    </row>
    <row r="25" spans="2:27" s="10" customFormat="1" ht="15.95" customHeight="1" x14ac:dyDescent="0.25">
      <c r="B25" s="11" t="s">
        <v>759</v>
      </c>
      <c r="C25" s="71" t="str">
        <f>CONCATENATE("Net profit margin is ",TEXT(T25,"0.00%")," (",TEXT(P25,"$#,##0")," net income",Q25,TEXT(R25,"$#,##0")," service revenue). This")</f>
        <v>Net profit margin is 6.58% ($61,400 net income / $933,800 service revenue). This</v>
      </c>
      <c r="O25" s="313"/>
      <c r="P25" s="410">
        <f>K23</f>
        <v>61400</v>
      </c>
      <c r="Q25" s="410" t="s">
        <v>1314</v>
      </c>
      <c r="R25" s="410">
        <f>K9</f>
        <v>933800</v>
      </c>
      <c r="S25" s="410" t="s">
        <v>1587</v>
      </c>
      <c r="T25" s="436">
        <f>SUM(P25/R25)</f>
        <v>6.5752837866780892E-2</v>
      </c>
      <c r="U25" s="313"/>
    </row>
    <row r="26" spans="2:27" s="10" customFormat="1" ht="15.95" customHeight="1" x14ac:dyDescent="0.25">
      <c r="C26" s="71" t="str">
        <f>CONCATENATE("indicates that ",TEXT(T26,"$#,##0.000")," of each sales dollar is profit. If ERS were to increase revenues")</f>
        <v>indicates that $0.066 of each sales dollar is profit. If ERS were to increase revenues</v>
      </c>
      <c r="O26" s="313"/>
      <c r="P26" s="424">
        <v>1</v>
      </c>
      <c r="Q26" s="410" t="s">
        <v>785</v>
      </c>
      <c r="R26" s="436">
        <f>T25</f>
        <v>6.5752837866780892E-2</v>
      </c>
      <c r="S26" s="410" t="s">
        <v>1587</v>
      </c>
      <c r="T26" s="437">
        <f>SUM(P26*R26)</f>
        <v>6.5752837866780892E-2</v>
      </c>
      <c r="U26" s="313"/>
    </row>
    <row r="27" spans="2:27" s="10" customFormat="1" ht="15.95" customHeight="1" x14ac:dyDescent="0.25">
      <c r="C27" s="71" t="str">
        <f>CONCATENATE("by ",TEXT(R27,"$#,##0"),", an additional ",TEXT(T27,"$#,##0")," of profit would be recognized. If ERS wanted to ")</f>
        <v xml:space="preserve">by $100,000, an additional $6,600 of profit would be recognized. If ERS wanted to </v>
      </c>
      <c r="O27" s="313"/>
      <c r="P27" s="437">
        <v>6.6000000000000003E-2</v>
      </c>
      <c r="Q27" s="410" t="s">
        <v>785</v>
      </c>
      <c r="R27" s="410">
        <v>100000</v>
      </c>
      <c r="S27" s="410" t="s">
        <v>1587</v>
      </c>
      <c r="T27" s="410">
        <f>SUM(P27*R27)</f>
        <v>6600</v>
      </c>
      <c r="U27" s="313"/>
    </row>
    <row r="28" spans="2:27" s="10" customFormat="1" ht="15.95" customHeight="1" x14ac:dyDescent="0.25">
      <c r="C28" s="71" t="s">
        <v>1340</v>
      </c>
      <c r="O28" s="313"/>
      <c r="P28" s="402"/>
      <c r="Q28" s="402"/>
      <c r="R28" s="402"/>
      <c r="S28" s="402"/>
      <c r="T28" s="402"/>
      <c r="U28" s="313"/>
    </row>
    <row r="29" spans="2:27" s="10" customFormat="1" ht="9.9499999999999993" customHeight="1" x14ac:dyDescent="0.25">
      <c r="C29" s="71"/>
      <c r="O29" s="313"/>
      <c r="P29" s="402"/>
      <c r="Q29" s="402"/>
      <c r="R29" s="402"/>
      <c r="S29" s="402"/>
      <c r="T29" s="402"/>
      <c r="U29" s="313"/>
    </row>
    <row r="30" spans="2:27" s="10" customFormat="1" ht="15.95" customHeight="1" x14ac:dyDescent="0.25">
      <c r="B30" s="11" t="s">
        <v>760</v>
      </c>
      <c r="C30" s="10" t="s">
        <v>1341</v>
      </c>
      <c r="N30" s="215"/>
      <c r="O30" s="322"/>
      <c r="P30" s="438"/>
      <c r="Q30" s="438"/>
      <c r="R30" s="438"/>
      <c r="S30" s="402"/>
      <c r="T30" s="402"/>
      <c r="U30" s="313"/>
    </row>
    <row r="31" spans="2:27" s="10" customFormat="1" ht="15.95" customHeight="1" x14ac:dyDescent="0.25">
      <c r="C31" s="10" t="s">
        <v>1342</v>
      </c>
      <c r="O31" s="313"/>
      <c r="P31" s="402"/>
      <c r="Q31" s="402"/>
      <c r="R31" s="402"/>
      <c r="S31" s="402"/>
      <c r="T31" s="402"/>
      <c r="U31" s="313"/>
    </row>
    <row r="32" spans="2:27" s="10" customFormat="1" ht="15.95" customHeight="1" x14ac:dyDescent="0.25">
      <c r="C32" s="10" t="s">
        <v>1343</v>
      </c>
      <c r="O32" s="313"/>
      <c r="P32" s="402"/>
      <c r="Q32" s="402"/>
      <c r="R32" s="402"/>
      <c r="S32" s="402"/>
      <c r="T32" s="402"/>
      <c r="U32" s="313"/>
    </row>
    <row r="33" spans="3:25" s="10" customFormat="1" ht="15.95" customHeight="1" x14ac:dyDescent="0.25">
      <c r="C33" s="10" t="s">
        <v>1344</v>
      </c>
      <c r="O33" s="313"/>
      <c r="P33" s="402"/>
      <c r="Q33" s="402"/>
      <c r="R33" s="402"/>
      <c r="S33" s="402"/>
      <c r="T33" s="402"/>
      <c r="U33" s="313"/>
    </row>
    <row r="34" spans="3:25" s="10" customFormat="1" ht="15.95" customHeight="1" x14ac:dyDescent="0.25">
      <c r="C34" s="10" t="s">
        <v>1345</v>
      </c>
      <c r="O34" s="313"/>
      <c r="P34" s="402"/>
      <c r="Q34" s="402"/>
      <c r="R34" s="402"/>
      <c r="S34" s="402"/>
      <c r="T34" s="402"/>
      <c r="U34" s="313"/>
    </row>
    <row r="35" spans="3:25" s="10" customFormat="1" ht="15.95" customHeight="1" x14ac:dyDescent="0.25">
      <c r="C35" s="10" t="s">
        <v>1346</v>
      </c>
      <c r="O35" s="313"/>
      <c r="P35" s="402"/>
      <c r="Q35" s="402"/>
      <c r="R35" s="402"/>
      <c r="S35" s="402"/>
      <c r="T35" s="402"/>
      <c r="U35" s="313"/>
    </row>
    <row r="36" spans="3:25" s="10" customFormat="1" ht="15.95" customHeight="1" x14ac:dyDescent="0.25">
      <c r="O36" s="313"/>
      <c r="P36" s="402"/>
      <c r="Q36" s="402"/>
      <c r="R36" s="402"/>
      <c r="S36" s="402"/>
      <c r="T36" s="402"/>
      <c r="U36" s="313"/>
    </row>
    <row r="37" spans="3:25" s="10" customFormat="1" ht="5.0999999999999996" customHeight="1" x14ac:dyDescent="0.25">
      <c r="O37" s="313"/>
      <c r="P37" s="402"/>
      <c r="Q37" s="402"/>
      <c r="R37" s="402"/>
      <c r="S37" s="402"/>
      <c r="T37" s="402"/>
      <c r="U37" s="313"/>
    </row>
    <row r="38" spans="3:25" s="10" customFormat="1" ht="15.95" customHeight="1" x14ac:dyDescent="0.25">
      <c r="O38" s="313"/>
      <c r="P38" s="402"/>
      <c r="Q38" s="402"/>
      <c r="R38" s="402"/>
      <c r="S38" s="402"/>
      <c r="T38" s="402"/>
      <c r="U38" s="313"/>
    </row>
    <row r="39" spans="3:25" s="10" customFormat="1" ht="15.95" customHeight="1" x14ac:dyDescent="0.25">
      <c r="O39" s="313"/>
      <c r="P39" s="402"/>
      <c r="Q39" s="402"/>
      <c r="R39" s="402"/>
      <c r="S39" s="402"/>
      <c r="T39" s="402"/>
      <c r="U39" s="313"/>
    </row>
    <row r="40" spans="3:25" s="10" customFormat="1" ht="15" customHeight="1" x14ac:dyDescent="0.25">
      <c r="O40" s="313"/>
      <c r="P40" s="402"/>
      <c r="Q40" s="402"/>
      <c r="R40" s="402"/>
      <c r="S40" s="402"/>
      <c r="T40" s="402"/>
      <c r="U40" s="313"/>
    </row>
    <row r="41" spans="3:25" s="10" customFormat="1" ht="15" customHeight="1" x14ac:dyDescent="0.25">
      <c r="O41" s="313"/>
      <c r="P41" s="402"/>
      <c r="Q41" s="402"/>
      <c r="R41" s="402"/>
      <c r="S41" s="402"/>
      <c r="T41" s="402"/>
      <c r="U41" s="313"/>
    </row>
    <row r="42" spans="3:25" s="10" customFormat="1" ht="15" customHeight="1" x14ac:dyDescent="0.25">
      <c r="O42" s="313"/>
      <c r="P42" s="402"/>
      <c r="Q42" s="402"/>
      <c r="R42" s="402"/>
      <c r="S42" s="402"/>
      <c r="T42" s="402"/>
      <c r="U42" s="313"/>
    </row>
    <row r="43" spans="3:25" s="10" customFormat="1" ht="15" customHeight="1" x14ac:dyDescent="0.25">
      <c r="O43" s="313"/>
      <c r="P43" s="402"/>
      <c r="Q43" s="402"/>
      <c r="R43" s="402"/>
      <c r="S43" s="402"/>
      <c r="T43" s="402"/>
      <c r="U43" s="313"/>
    </row>
    <row r="44" spans="3:25" s="10" customFormat="1" ht="15" customHeight="1" x14ac:dyDescent="0.25">
      <c r="O44" s="313"/>
      <c r="P44" s="402"/>
      <c r="Q44" s="402"/>
      <c r="R44" s="402"/>
      <c r="S44" s="402"/>
      <c r="T44" s="402"/>
      <c r="U44" s="313"/>
    </row>
    <row r="45" spans="3:25" s="10" customFormat="1" ht="15" customHeight="1" x14ac:dyDescent="0.25">
      <c r="O45" s="313"/>
      <c r="P45" s="402"/>
      <c r="Q45" s="402"/>
      <c r="R45" s="402"/>
      <c r="S45" s="402"/>
      <c r="T45" s="402"/>
      <c r="U45" s="313"/>
    </row>
    <row r="46" spans="3:25" s="10" customFormat="1" ht="15" customHeight="1" x14ac:dyDescent="0.25">
      <c r="N46" s="2"/>
      <c r="O46" s="312"/>
      <c r="P46" s="407"/>
      <c r="Q46" s="407"/>
      <c r="R46" s="407"/>
      <c r="S46" s="407"/>
      <c r="T46" s="407"/>
      <c r="U46" s="312"/>
      <c r="V46" s="2"/>
      <c r="W46" s="2"/>
      <c r="X46" s="2"/>
      <c r="Y46" s="2"/>
    </row>
  </sheetData>
  <customSheetViews>
    <customSheetView guid="{B2DDA8C4-3089-41F7-BA6E-A0E09596A2CA}" scale="70" showPageBreaks="1" fitToPage="1" printArea="1">
      <selection activeCell="N1" sqref="N1:R65536"/>
      <pageMargins left="0.75" right="1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pageMargins left="0.75" right="1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selection activeCell="N1" sqref="N1:R65536"/>
      <pageMargins left="0.75" right="1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4">
    <mergeCell ref="C4:K4"/>
    <mergeCell ref="C5:K5"/>
    <mergeCell ref="C6:K6"/>
    <mergeCell ref="P23:R24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7"/>
  <sheetViews>
    <sheetView zoomScale="70" zoomScaleNormal="70" workbookViewId="0">
      <selection activeCell="C1" sqref="C1"/>
    </sheetView>
  </sheetViews>
  <sheetFormatPr defaultRowHeight="12.75" x14ac:dyDescent="0.2"/>
  <cols>
    <col min="1" max="1" width="1.7109375" style="2" customWidth="1"/>
    <col min="2" max="5" width="4.7109375" style="2" customWidth="1"/>
    <col min="6" max="6" width="9.7109375" style="2" customWidth="1"/>
    <col min="7" max="7" width="36.7109375" style="2" customWidth="1"/>
    <col min="8" max="8" width="12.85546875" style="2" customWidth="1"/>
    <col min="9" max="9" width="2.7109375" style="2" customWidth="1"/>
    <col min="10" max="10" width="11.28515625" style="2" customWidth="1"/>
    <col min="11" max="11" width="2.7109375" style="2" customWidth="1"/>
    <col min="12" max="12" width="8.7109375" style="2" customWidth="1"/>
    <col min="13" max="13" width="7.140625" style="312" customWidth="1"/>
    <col min="14" max="14" width="8.7109375" style="407" hidden="1" customWidth="1"/>
    <col min="15" max="15" width="2.7109375" style="407" hidden="1" customWidth="1"/>
    <col min="16" max="16" width="8.7109375" style="407" hidden="1" customWidth="1"/>
    <col min="17" max="17" width="2.7109375" style="407" hidden="1" customWidth="1"/>
    <col min="18" max="18" width="8.7109375" style="407" hidden="1" customWidth="1"/>
    <col min="19" max="19" width="0" style="407" hidden="1" customWidth="1"/>
    <col min="20" max="20" width="13.7109375" style="312" customWidth="1"/>
    <col min="21" max="21" width="10.28515625" style="2" bestFit="1" customWidth="1"/>
    <col min="22" max="16384" width="9.140625" style="2"/>
  </cols>
  <sheetData>
    <row r="1" spans="2:22" ht="28.5" customHeight="1" x14ac:dyDescent="0.2"/>
    <row r="2" spans="2:22" ht="15.95" customHeight="1" x14ac:dyDescent="0.25">
      <c r="B2" s="10" t="s">
        <v>1175</v>
      </c>
      <c r="N2" s="402"/>
      <c r="U2" s="73"/>
    </row>
    <row r="3" spans="2:22" ht="5.0999999999999996" customHeight="1" x14ac:dyDescent="0.25">
      <c r="B3" s="39"/>
      <c r="C3" s="40"/>
      <c r="D3" s="40"/>
      <c r="E3" s="40"/>
      <c r="F3" s="40"/>
      <c r="G3" s="40"/>
      <c r="H3" s="40"/>
      <c r="I3" s="40"/>
      <c r="J3" s="40"/>
      <c r="N3" s="402"/>
      <c r="U3" s="73"/>
    </row>
    <row r="4" spans="2:22" s="10" customFormat="1" ht="15.95" customHeight="1" x14ac:dyDescent="0.25">
      <c r="B4" s="363" t="s">
        <v>708</v>
      </c>
      <c r="C4" s="363"/>
      <c r="D4" s="363"/>
      <c r="E4" s="363"/>
      <c r="F4" s="363"/>
      <c r="G4" s="363"/>
      <c r="H4" s="363"/>
      <c r="I4" s="363"/>
      <c r="J4" s="363"/>
      <c r="M4" s="313"/>
      <c r="N4" s="402"/>
      <c r="O4" s="402"/>
      <c r="P4" s="402"/>
      <c r="Q4" s="402"/>
      <c r="R4" s="402"/>
      <c r="S4" s="402"/>
      <c r="T4" s="218"/>
      <c r="U4" s="26"/>
      <c r="V4" s="26"/>
    </row>
    <row r="5" spans="2:22" s="10" customFormat="1" ht="15.95" customHeight="1" x14ac:dyDescent="0.25">
      <c r="B5" s="363" t="s">
        <v>467</v>
      </c>
      <c r="C5" s="363"/>
      <c r="D5" s="363"/>
      <c r="E5" s="363"/>
      <c r="F5" s="363"/>
      <c r="G5" s="363"/>
      <c r="H5" s="363"/>
      <c r="I5" s="363"/>
      <c r="J5" s="363"/>
      <c r="M5" s="313"/>
      <c r="N5" s="402"/>
      <c r="O5" s="402"/>
      <c r="P5" s="402"/>
      <c r="Q5" s="402"/>
      <c r="R5" s="403"/>
      <c r="S5" s="403"/>
      <c r="T5" s="314"/>
      <c r="U5" s="173"/>
      <c r="V5" s="26"/>
    </row>
    <row r="6" spans="2:22" s="10" customFormat="1" ht="15.95" customHeight="1" x14ac:dyDescent="0.25">
      <c r="B6" s="372" t="s">
        <v>491</v>
      </c>
      <c r="C6" s="372"/>
      <c r="D6" s="372"/>
      <c r="E6" s="372"/>
      <c r="F6" s="372"/>
      <c r="G6" s="372"/>
      <c r="H6" s="372"/>
      <c r="I6" s="372"/>
      <c r="J6" s="372"/>
      <c r="M6" s="313"/>
      <c r="N6" s="402"/>
      <c r="O6" s="402"/>
      <c r="P6" s="402"/>
      <c r="Q6" s="402"/>
      <c r="R6" s="425" t="s">
        <v>1684</v>
      </c>
      <c r="S6" s="402"/>
      <c r="T6" s="313"/>
      <c r="V6" s="26"/>
    </row>
    <row r="7" spans="2:22" s="10" customFormat="1" ht="5.0999999999999996" customHeight="1" x14ac:dyDescent="0.25">
      <c r="J7" s="83"/>
      <c r="M7" s="313"/>
      <c r="N7" s="402"/>
      <c r="O7" s="402"/>
      <c r="P7" s="402"/>
      <c r="Q7" s="402"/>
      <c r="R7" s="402"/>
      <c r="S7" s="402"/>
      <c r="T7" s="313"/>
      <c r="V7" s="26"/>
    </row>
    <row r="8" spans="2:22" s="10" customFormat="1" ht="15.95" customHeight="1" x14ac:dyDescent="0.25">
      <c r="B8" s="10" t="s">
        <v>709</v>
      </c>
      <c r="I8" s="10" t="s">
        <v>337</v>
      </c>
      <c r="J8" s="41">
        <f>R8</f>
        <v>85300</v>
      </c>
      <c r="M8" s="313"/>
      <c r="N8" s="402"/>
      <c r="O8" s="402"/>
      <c r="P8" s="402"/>
      <c r="Q8" s="405" t="s">
        <v>1594</v>
      </c>
      <c r="R8" s="409">
        <v>85300</v>
      </c>
      <c r="S8" s="402"/>
      <c r="T8" s="313"/>
      <c r="V8" s="26"/>
    </row>
    <row r="9" spans="2:22" s="10" customFormat="1" ht="15.95" customHeight="1" x14ac:dyDescent="0.25">
      <c r="B9" s="10" t="s">
        <v>819</v>
      </c>
      <c r="I9" s="10" t="s">
        <v>337</v>
      </c>
      <c r="J9" s="53">
        <f>R19</f>
        <v>50600</v>
      </c>
      <c r="M9" s="313"/>
      <c r="N9" s="403" t="s">
        <v>584</v>
      </c>
      <c r="O9" s="402"/>
      <c r="P9" s="402"/>
      <c r="Q9" s="402"/>
      <c r="R9" s="402"/>
      <c r="S9" s="402"/>
      <c r="T9" s="313"/>
      <c r="V9" s="26"/>
    </row>
    <row r="10" spans="2:22" s="10" customFormat="1" ht="15.95" customHeight="1" x14ac:dyDescent="0.25">
      <c r="B10" s="10" t="s">
        <v>710</v>
      </c>
      <c r="I10" s="10" t="s">
        <v>337</v>
      </c>
      <c r="J10" s="41">
        <f>R10</f>
        <v>34700</v>
      </c>
      <c r="K10" s="29"/>
      <c r="M10" s="313"/>
      <c r="N10" s="402"/>
      <c r="O10" s="402"/>
      <c r="P10" s="402"/>
      <c r="Q10" s="405" t="s">
        <v>1595</v>
      </c>
      <c r="R10" s="409">
        <v>34700</v>
      </c>
      <c r="S10" s="402"/>
      <c r="T10" s="313"/>
      <c r="V10" s="26"/>
    </row>
    <row r="11" spans="2:22" s="10" customFormat="1" ht="15.95" customHeight="1" x14ac:dyDescent="0.25">
      <c r="B11" s="10" t="s">
        <v>820</v>
      </c>
      <c r="I11" s="10" t="s">
        <v>337</v>
      </c>
      <c r="J11" s="53">
        <f>J10-J12</f>
        <v>25500</v>
      </c>
      <c r="L11" s="29"/>
      <c r="M11" s="313"/>
      <c r="N11" s="403" t="s">
        <v>585</v>
      </c>
      <c r="O11" s="402"/>
      <c r="P11" s="402"/>
      <c r="Q11" s="402"/>
      <c r="R11" s="402"/>
      <c r="S11" s="402"/>
      <c r="T11" s="218"/>
      <c r="U11" s="26"/>
      <c r="V11" s="26"/>
    </row>
    <row r="12" spans="2:22" s="10" customFormat="1" ht="15.95" customHeight="1" x14ac:dyDescent="0.25">
      <c r="B12" s="10" t="s">
        <v>711</v>
      </c>
      <c r="I12" s="10" t="s">
        <v>337</v>
      </c>
      <c r="J12" s="64">
        <f>R12</f>
        <v>9200</v>
      </c>
      <c r="M12" s="313"/>
      <c r="N12" s="402"/>
      <c r="O12" s="402"/>
      <c r="P12" s="402"/>
      <c r="Q12" s="405" t="s">
        <v>1596</v>
      </c>
      <c r="R12" s="409">
        <v>9200</v>
      </c>
      <c r="S12" s="402"/>
      <c r="T12" s="313"/>
    </row>
    <row r="13" spans="2:22" s="10" customFormat="1" ht="15.95" customHeight="1" x14ac:dyDescent="0.25">
      <c r="B13" s="10" t="s">
        <v>1660</v>
      </c>
      <c r="J13" s="78"/>
      <c r="M13" s="313"/>
      <c r="N13" s="402"/>
      <c r="O13" s="402"/>
      <c r="P13" s="402"/>
      <c r="Q13" s="402"/>
      <c r="R13" s="402"/>
      <c r="S13" s="402"/>
      <c r="T13" s="313"/>
    </row>
    <row r="14" spans="2:22" s="10" customFormat="1" ht="15.95" customHeight="1" x14ac:dyDescent="0.25">
      <c r="B14" s="69" t="s">
        <v>712</v>
      </c>
      <c r="I14" s="10" t="s">
        <v>337</v>
      </c>
      <c r="J14" s="53">
        <f>R14</f>
        <v>1800</v>
      </c>
      <c r="M14" s="313"/>
      <c r="N14" s="402"/>
      <c r="O14" s="402"/>
      <c r="P14" s="402"/>
      <c r="Q14" s="405" t="s">
        <v>803</v>
      </c>
      <c r="R14" s="409">
        <v>1800</v>
      </c>
      <c r="S14" s="402"/>
      <c r="T14" s="313"/>
    </row>
    <row r="15" spans="2:22" s="10" customFormat="1" ht="15.95" customHeight="1" x14ac:dyDescent="0.25">
      <c r="B15" s="10" t="s">
        <v>713</v>
      </c>
      <c r="I15" s="10" t="s">
        <v>337</v>
      </c>
      <c r="J15" s="64">
        <f>J12-J14</f>
        <v>7400</v>
      </c>
      <c r="M15" s="313"/>
      <c r="N15" s="402"/>
      <c r="O15" s="402"/>
      <c r="P15" s="402"/>
      <c r="Q15" s="402"/>
      <c r="R15" s="402"/>
      <c r="S15" s="402"/>
      <c r="T15" s="313"/>
    </row>
    <row r="16" spans="2:22" s="10" customFormat="1" ht="15.95" customHeight="1" x14ac:dyDescent="0.25">
      <c r="B16" s="10" t="s">
        <v>1661</v>
      </c>
      <c r="I16" s="10" t="s">
        <v>337</v>
      </c>
      <c r="J16" s="53">
        <f>R22</f>
        <v>1110</v>
      </c>
      <c r="M16" s="313"/>
      <c r="N16" s="403" t="s">
        <v>586</v>
      </c>
      <c r="O16" s="402"/>
      <c r="P16" s="402"/>
      <c r="Q16" s="402"/>
      <c r="R16" s="402"/>
      <c r="S16" s="402"/>
      <c r="T16" s="313"/>
    </row>
    <row r="17" spans="2:20" s="10" customFormat="1" ht="15.95" customHeight="1" thickBot="1" x14ac:dyDescent="0.3">
      <c r="B17" s="10" t="s">
        <v>714</v>
      </c>
      <c r="I17" s="10" t="s">
        <v>337</v>
      </c>
      <c r="J17" s="54">
        <f>J15-J16</f>
        <v>6290</v>
      </c>
      <c r="M17" s="313"/>
      <c r="N17" s="435" t="s">
        <v>794</v>
      </c>
      <c r="O17" s="435"/>
      <c r="P17" s="435"/>
      <c r="Q17" s="402"/>
      <c r="R17" s="402"/>
      <c r="S17" s="402"/>
      <c r="T17" s="313"/>
    </row>
    <row r="18" spans="2:20" s="10" customFormat="1" ht="9.9499999999999993" customHeight="1" thickTop="1" x14ac:dyDescent="0.25">
      <c r="B18" s="26"/>
      <c r="C18" s="26"/>
      <c r="D18" s="26"/>
      <c r="E18" s="26"/>
      <c r="F18" s="26"/>
      <c r="G18" s="26"/>
      <c r="H18" s="26"/>
      <c r="I18" s="26"/>
      <c r="J18" s="83"/>
      <c r="K18" s="26"/>
      <c r="L18" s="29"/>
      <c r="M18" s="313"/>
      <c r="N18" s="435"/>
      <c r="O18" s="435"/>
      <c r="P18" s="435"/>
      <c r="Q18" s="402"/>
      <c r="R18" s="402"/>
      <c r="S18" s="402"/>
      <c r="T18" s="313"/>
    </row>
    <row r="19" spans="2:20" s="29" customFormat="1" ht="14.1" customHeight="1" x14ac:dyDescent="0.25">
      <c r="B19" s="25" t="s">
        <v>748</v>
      </c>
      <c r="C19" s="31" t="str">
        <f>CONCATENATE("Cost of goods sold is computed as net sales (",TEXT(N19,"$#,##0"),") minus gross margin (",TEXT(P19,"$#,##0"),").",)</f>
        <v>Cost of goods sold is computed as net sales ($85,300) minus gross margin ($34,700).</v>
      </c>
      <c r="M19" s="313"/>
      <c r="N19" s="410">
        <v>85300</v>
      </c>
      <c r="O19" s="410" t="s">
        <v>1589</v>
      </c>
      <c r="P19" s="410">
        <v>34700</v>
      </c>
      <c r="Q19" s="410" t="s">
        <v>1587</v>
      </c>
      <c r="R19" s="410">
        <f>SUM(N19-P19)</f>
        <v>50600</v>
      </c>
      <c r="S19" s="402" t="s">
        <v>748</v>
      </c>
      <c r="T19" s="313"/>
    </row>
    <row r="20" spans="2:20" s="29" customFormat="1" ht="14.1" customHeight="1" x14ac:dyDescent="0.25">
      <c r="B20" s="25" t="s">
        <v>749</v>
      </c>
      <c r="C20" s="31" t="str">
        <f>CONCATENATE("Operating expenses are computed as gross margin (",TEXT(N20,"$#,##0"),") minus income from operations")</f>
        <v>Operating expenses are computed as gross margin ($34,700) minus income from operations</v>
      </c>
      <c r="L20" s="10"/>
      <c r="M20" s="313"/>
      <c r="N20" s="410">
        <v>34700</v>
      </c>
      <c r="O20" s="410" t="s">
        <v>1589</v>
      </c>
      <c r="P20" s="410">
        <v>9200</v>
      </c>
      <c r="Q20" s="410" t="s">
        <v>1587</v>
      </c>
      <c r="R20" s="410">
        <f>SUM(N20-P20)</f>
        <v>25500</v>
      </c>
      <c r="S20" s="402" t="s">
        <v>749</v>
      </c>
      <c r="T20" s="313"/>
    </row>
    <row r="21" spans="2:20" s="29" customFormat="1" ht="14.1" customHeight="1" x14ac:dyDescent="0.25">
      <c r="B21" s="25"/>
      <c r="C21" s="31" t="str">
        <f>CONCATENATE("(",TEXT(P20,"$#,##0"),").")</f>
        <v>($9,200).</v>
      </c>
      <c r="L21" s="10"/>
      <c r="M21" s="313"/>
      <c r="N21" s="410"/>
      <c r="O21" s="410"/>
      <c r="P21" s="410"/>
      <c r="Q21" s="410"/>
      <c r="R21" s="410"/>
      <c r="S21" s="402"/>
      <c r="T21" s="313"/>
    </row>
    <row r="22" spans="2:20" s="10" customFormat="1" ht="14.1" customHeight="1" x14ac:dyDescent="0.25">
      <c r="B22" s="25" t="s">
        <v>869</v>
      </c>
      <c r="C22" s="31" t="str">
        <f>CONCATENATE(TEXT(N22,"0%"),O22,TEXT(P22,"$#,##0"),Q22,TEXT(R22,"$#,##0"),)</f>
        <v>15% × $7,400 = $1,110</v>
      </c>
      <c r="M22" s="313"/>
      <c r="N22" s="439">
        <v>0.15</v>
      </c>
      <c r="O22" s="410" t="s">
        <v>785</v>
      </c>
      <c r="P22" s="410">
        <f>J15</f>
        <v>7400</v>
      </c>
      <c r="Q22" s="410" t="s">
        <v>1587</v>
      </c>
      <c r="R22" s="410">
        <f>SUM(N22*P22)</f>
        <v>1110</v>
      </c>
      <c r="S22" s="402" t="s">
        <v>869</v>
      </c>
      <c r="T22" s="313"/>
    </row>
    <row r="23" spans="2:20" s="10" customFormat="1" ht="15.95" customHeight="1" x14ac:dyDescent="0.25">
      <c r="M23" s="313"/>
      <c r="N23" s="402"/>
      <c r="O23" s="402"/>
      <c r="P23" s="402"/>
      <c r="Q23" s="402"/>
      <c r="R23" s="402"/>
      <c r="S23" s="402"/>
      <c r="T23" s="313"/>
    </row>
    <row r="24" spans="2:20" s="10" customFormat="1" ht="15.95" customHeight="1" x14ac:dyDescent="0.25">
      <c r="M24" s="313"/>
      <c r="N24" s="402"/>
      <c r="O24" s="402"/>
      <c r="P24" s="402"/>
      <c r="Q24" s="402"/>
      <c r="R24" s="402"/>
      <c r="S24" s="402"/>
      <c r="T24" s="313"/>
    </row>
    <row r="25" spans="2:20" s="10" customFormat="1" ht="15.95" customHeight="1" x14ac:dyDescent="0.25">
      <c r="M25" s="313"/>
      <c r="N25" s="402"/>
      <c r="O25" s="402"/>
      <c r="P25" s="402"/>
      <c r="Q25" s="402"/>
      <c r="R25" s="402"/>
      <c r="S25" s="402"/>
      <c r="T25" s="313"/>
    </row>
    <row r="26" spans="2:20" s="10" customFormat="1" ht="15.95" customHeight="1" x14ac:dyDescent="0.25">
      <c r="M26" s="313"/>
      <c r="N26" s="402"/>
      <c r="O26" s="402"/>
      <c r="P26" s="402"/>
      <c r="Q26" s="402"/>
      <c r="R26" s="402"/>
      <c r="S26" s="402"/>
      <c r="T26" s="313"/>
    </row>
    <row r="27" spans="2:20" s="10" customFormat="1" ht="15.95" customHeight="1" x14ac:dyDescent="0.25">
      <c r="M27" s="313"/>
      <c r="N27" s="402"/>
      <c r="O27" s="402"/>
      <c r="P27" s="402"/>
      <c r="Q27" s="402"/>
      <c r="R27" s="402"/>
      <c r="S27" s="402"/>
      <c r="T27" s="313"/>
    </row>
    <row r="28" spans="2:20" s="10" customFormat="1" ht="15.95" customHeight="1" x14ac:dyDescent="0.25">
      <c r="M28" s="313"/>
      <c r="N28" s="402"/>
      <c r="O28" s="402"/>
      <c r="P28" s="402"/>
      <c r="Q28" s="402"/>
      <c r="R28" s="402"/>
      <c r="S28" s="402"/>
      <c r="T28" s="313"/>
    </row>
    <row r="29" spans="2:20" s="10" customFormat="1" ht="15" customHeight="1" x14ac:dyDescent="0.25">
      <c r="M29" s="313"/>
      <c r="N29" s="402"/>
      <c r="O29" s="402"/>
      <c r="P29" s="402"/>
      <c r="Q29" s="402"/>
      <c r="R29" s="402"/>
      <c r="S29" s="402"/>
      <c r="T29" s="313"/>
    </row>
    <row r="30" spans="2:20" s="10" customFormat="1" ht="15" customHeight="1" x14ac:dyDescent="0.25">
      <c r="M30" s="313"/>
      <c r="N30" s="402"/>
      <c r="O30" s="402"/>
      <c r="P30" s="402"/>
      <c r="Q30" s="402"/>
      <c r="R30" s="402"/>
      <c r="S30" s="402"/>
      <c r="T30" s="313"/>
    </row>
    <row r="31" spans="2:20" s="10" customFormat="1" ht="15" customHeight="1" x14ac:dyDescent="0.25">
      <c r="M31" s="313"/>
      <c r="N31" s="402"/>
      <c r="O31" s="402"/>
      <c r="P31" s="402"/>
      <c r="Q31" s="402"/>
      <c r="R31" s="402"/>
      <c r="S31" s="402"/>
      <c r="T31" s="313"/>
    </row>
    <row r="32" spans="2:20" s="10" customFormat="1" ht="15" customHeight="1" x14ac:dyDescent="0.25">
      <c r="M32" s="313"/>
      <c r="N32" s="402"/>
      <c r="O32" s="402"/>
      <c r="P32" s="402"/>
      <c r="Q32" s="402"/>
      <c r="R32" s="402"/>
      <c r="S32" s="402"/>
      <c r="T32" s="313"/>
    </row>
    <row r="33" spans="12:20" s="10" customFormat="1" ht="15" customHeight="1" x14ac:dyDescent="0.25">
      <c r="M33" s="313"/>
      <c r="N33" s="402"/>
      <c r="O33" s="402"/>
      <c r="P33" s="402"/>
      <c r="Q33" s="402"/>
      <c r="R33" s="402"/>
      <c r="S33" s="402"/>
      <c r="T33" s="313"/>
    </row>
    <row r="34" spans="12:20" s="10" customFormat="1" ht="15" customHeight="1" x14ac:dyDescent="0.25">
      <c r="M34" s="313"/>
      <c r="N34" s="402"/>
      <c r="O34" s="402"/>
      <c r="P34" s="402"/>
      <c r="Q34" s="402"/>
      <c r="R34" s="402"/>
      <c r="S34" s="402"/>
      <c r="T34" s="313"/>
    </row>
    <row r="35" spans="12:20" s="10" customFormat="1" ht="15" customHeight="1" x14ac:dyDescent="0.25">
      <c r="M35" s="313"/>
      <c r="N35" s="402"/>
      <c r="O35" s="402"/>
      <c r="P35" s="402"/>
      <c r="Q35" s="402"/>
      <c r="R35" s="402"/>
      <c r="S35" s="402"/>
      <c r="T35" s="313"/>
    </row>
    <row r="36" spans="12:20" s="10" customFormat="1" ht="15" customHeight="1" x14ac:dyDescent="0.25">
      <c r="M36" s="313"/>
      <c r="N36" s="402"/>
      <c r="O36" s="402"/>
      <c r="P36" s="402"/>
      <c r="Q36" s="402"/>
      <c r="R36" s="402"/>
      <c r="S36" s="402"/>
      <c r="T36" s="313"/>
    </row>
    <row r="37" spans="12:20" s="10" customFormat="1" ht="15" customHeight="1" x14ac:dyDescent="0.25">
      <c r="L37" s="2"/>
      <c r="M37" s="312"/>
      <c r="N37" s="407"/>
      <c r="O37" s="407"/>
      <c r="P37" s="407"/>
      <c r="Q37" s="407"/>
      <c r="R37" s="407"/>
      <c r="S37" s="407"/>
      <c r="T37" s="313"/>
    </row>
  </sheetData>
  <customSheetViews>
    <customSheetView guid="{B2DDA8C4-3089-41F7-BA6E-A0E09596A2CA}" scale="70" showPageBreaks="1" fitToPage="1" printArea="1">
      <pageMargins left="1" right="0.75" top="0.85" bottom="0.8" header="0.5" footer="0.35"/>
      <printOptions horizontalCentered="1"/>
      <pageSetup scale="93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pageMargins left="1" right="0.75" top="0.85" bottom="0.8" header="0.5" footer="0.35"/>
      <printOptions horizontalCentered="1"/>
      <pageSetup scale="92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pageMargins left="1" right="0.75" top="0.85" bottom="0.8" header="0.5" footer="0.35"/>
      <printOptions horizontalCentered="1"/>
      <pageSetup scale="93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4">
    <mergeCell ref="B6:J6"/>
    <mergeCell ref="B4:J4"/>
    <mergeCell ref="B5:J5"/>
    <mergeCell ref="N17:P18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51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5" width="4.7109375" style="2" customWidth="1"/>
    <col min="6" max="6" width="8.42578125" style="2" customWidth="1"/>
    <col min="7" max="7" width="12.5703125" style="2" customWidth="1"/>
    <col min="8" max="8" width="25.5703125" style="2" customWidth="1"/>
    <col min="9" max="9" width="1.5703125" style="2" customWidth="1"/>
    <col min="10" max="10" width="10.7109375" style="2" customWidth="1"/>
    <col min="11" max="11" width="2.7109375" style="2" customWidth="1"/>
    <col min="12" max="12" width="10.85546875" style="2" customWidth="1"/>
    <col min="13" max="13" width="2.7109375" style="2" customWidth="1"/>
    <col min="14" max="14" width="9.140625" style="312"/>
    <col min="15" max="15" width="2.7109375" style="312" customWidth="1"/>
    <col min="16" max="16" width="0" style="407" hidden="1" customWidth="1"/>
    <col min="17" max="17" width="2.7109375" style="407" hidden="1" customWidth="1"/>
    <col min="18" max="18" width="0" style="407" hidden="1" customWidth="1"/>
    <col min="19" max="19" width="2.7109375" style="440" hidden="1" customWidth="1"/>
    <col min="20" max="20" width="9.140625" style="312"/>
    <col min="21" max="21" width="2.7109375" style="312" customWidth="1"/>
    <col min="22" max="24" width="9.140625" style="312"/>
    <col min="25" max="25" width="8.5703125" style="312" customWidth="1"/>
    <col min="26" max="26" width="14" style="312" bestFit="1" customWidth="1"/>
    <col min="27" max="16384" width="9.140625" style="2"/>
  </cols>
  <sheetData>
    <row r="1" spans="2:27" ht="28.5" customHeight="1" x14ac:dyDescent="0.2"/>
    <row r="2" spans="2:27" ht="15.95" customHeight="1" x14ac:dyDescent="0.25">
      <c r="B2" s="10" t="s">
        <v>1176</v>
      </c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2:27" ht="5.0999999999999996" customHeight="1" x14ac:dyDescent="0.25">
      <c r="B3" s="10"/>
      <c r="C3" s="40"/>
      <c r="D3" s="40"/>
      <c r="E3" s="40"/>
      <c r="F3" s="40"/>
      <c r="G3" s="40"/>
      <c r="H3" s="40"/>
      <c r="I3" s="40"/>
      <c r="J3" s="40"/>
      <c r="K3" s="40"/>
      <c r="L3" s="40"/>
      <c r="U3" s="316"/>
      <c r="V3" s="316"/>
      <c r="W3" s="316"/>
      <c r="X3" s="316"/>
      <c r="Y3" s="316"/>
      <c r="Z3" s="316"/>
      <c r="AA3" s="48"/>
    </row>
    <row r="4" spans="2:27" s="10" customFormat="1" ht="15.95" customHeight="1" x14ac:dyDescent="0.25">
      <c r="B4" s="11" t="s">
        <v>758</v>
      </c>
      <c r="C4" s="363" t="s">
        <v>716</v>
      </c>
      <c r="D4" s="363"/>
      <c r="E4" s="363"/>
      <c r="F4" s="363"/>
      <c r="G4" s="363"/>
      <c r="H4" s="363"/>
      <c r="I4" s="363"/>
      <c r="J4" s="363"/>
      <c r="K4" s="363"/>
      <c r="L4" s="363"/>
      <c r="N4" s="313"/>
      <c r="O4" s="313"/>
      <c r="P4" s="402"/>
      <c r="Q4" s="402"/>
      <c r="R4" s="402"/>
      <c r="S4" s="441"/>
      <c r="T4" s="313"/>
      <c r="U4" s="218"/>
      <c r="V4" s="218"/>
      <c r="W4" s="218"/>
      <c r="X4" s="218"/>
      <c r="Y4" s="218"/>
      <c r="Z4" s="218"/>
      <c r="AA4" s="26"/>
    </row>
    <row r="5" spans="2:27" s="10" customFormat="1" ht="15.95" customHeight="1" x14ac:dyDescent="0.25">
      <c r="C5" s="363" t="s">
        <v>467</v>
      </c>
      <c r="D5" s="363"/>
      <c r="E5" s="363"/>
      <c r="F5" s="363"/>
      <c r="G5" s="363"/>
      <c r="H5" s="363"/>
      <c r="I5" s="363"/>
      <c r="J5" s="363"/>
      <c r="K5" s="363"/>
      <c r="L5" s="363"/>
      <c r="N5" s="313"/>
      <c r="O5" s="313"/>
      <c r="P5" s="402"/>
      <c r="Q5" s="402"/>
      <c r="R5" s="402"/>
      <c r="S5" s="441"/>
      <c r="T5" s="313"/>
      <c r="U5" s="218"/>
      <c r="V5" s="314"/>
      <c r="W5" s="314"/>
      <c r="X5" s="314"/>
      <c r="Y5" s="314"/>
      <c r="Z5" s="218"/>
      <c r="AA5" s="26"/>
    </row>
    <row r="6" spans="2:27" s="10" customFormat="1" ht="15.95" customHeight="1" x14ac:dyDescent="0.25">
      <c r="C6" s="372" t="s">
        <v>1118</v>
      </c>
      <c r="D6" s="372"/>
      <c r="E6" s="372"/>
      <c r="F6" s="372"/>
      <c r="G6" s="372"/>
      <c r="H6" s="372"/>
      <c r="I6" s="372"/>
      <c r="J6" s="372"/>
      <c r="K6" s="372"/>
      <c r="L6" s="372"/>
      <c r="N6" s="313"/>
      <c r="O6" s="313"/>
      <c r="P6" s="402"/>
      <c r="Q6" s="402"/>
      <c r="R6" s="402"/>
      <c r="S6" s="441"/>
      <c r="T6" s="313"/>
      <c r="U6" s="313"/>
      <c r="V6" s="313"/>
      <c r="W6" s="218"/>
      <c r="X6" s="218"/>
      <c r="Y6" s="313"/>
      <c r="Z6" s="313"/>
      <c r="AA6" s="26"/>
    </row>
    <row r="7" spans="2:27" s="10" customFormat="1" ht="5.0999999999999996" customHeight="1" x14ac:dyDescent="0.25">
      <c r="C7" s="20"/>
      <c r="D7" s="20"/>
      <c r="E7" s="20"/>
      <c r="F7" s="20"/>
      <c r="G7" s="20"/>
      <c r="H7" s="20"/>
      <c r="I7" s="20"/>
      <c r="J7" s="20"/>
      <c r="K7" s="20"/>
      <c r="L7" s="20"/>
      <c r="N7" s="313"/>
      <c r="O7" s="313"/>
      <c r="P7" s="402"/>
      <c r="Q7" s="402"/>
      <c r="R7" s="402"/>
      <c r="S7" s="441"/>
      <c r="T7" s="313"/>
      <c r="U7" s="313"/>
      <c r="V7" s="313"/>
      <c r="W7" s="218"/>
      <c r="X7" s="218"/>
      <c r="Y7" s="313"/>
      <c r="Z7" s="313"/>
      <c r="AA7" s="26"/>
    </row>
    <row r="8" spans="2:27" s="10" customFormat="1" ht="15.95" customHeight="1" x14ac:dyDescent="0.25">
      <c r="C8" s="10" t="s">
        <v>469</v>
      </c>
      <c r="J8" s="26"/>
      <c r="N8" s="313"/>
      <c r="O8" s="313"/>
      <c r="P8" s="402"/>
      <c r="Q8" s="402"/>
      <c r="R8" s="425" t="s">
        <v>1685</v>
      </c>
      <c r="S8" s="441"/>
      <c r="T8" s="313"/>
      <c r="U8" s="313"/>
      <c r="V8" s="313"/>
      <c r="W8" s="218"/>
      <c r="X8" s="218"/>
      <c r="Y8" s="313"/>
      <c r="Z8" s="313"/>
      <c r="AA8" s="26"/>
    </row>
    <row r="9" spans="2:27" s="10" customFormat="1" ht="15.95" customHeight="1" x14ac:dyDescent="0.25">
      <c r="C9" s="69" t="s">
        <v>717</v>
      </c>
      <c r="I9" s="10" t="s">
        <v>337</v>
      </c>
      <c r="J9" s="26" t="s">
        <v>337</v>
      </c>
      <c r="L9" s="298">
        <f>R9</f>
        <v>585600</v>
      </c>
      <c r="N9" s="313"/>
      <c r="O9" s="313"/>
      <c r="P9" s="402"/>
      <c r="Q9" s="405" t="s">
        <v>322</v>
      </c>
      <c r="R9" s="409">
        <v>585600</v>
      </c>
      <c r="S9" s="442" t="s">
        <v>906</v>
      </c>
      <c r="T9" s="313"/>
      <c r="U9" s="313"/>
      <c r="V9" s="313"/>
      <c r="W9" s="218"/>
      <c r="X9" s="218"/>
      <c r="Y9" s="313"/>
      <c r="Z9" s="313"/>
      <c r="AA9" s="26"/>
    </row>
    <row r="10" spans="2:27" s="10" customFormat="1" ht="15.95" customHeight="1" x14ac:dyDescent="0.25">
      <c r="C10" s="10" t="s">
        <v>719</v>
      </c>
      <c r="J10" s="26"/>
      <c r="N10" s="313"/>
      <c r="O10" s="313"/>
      <c r="P10" s="402"/>
      <c r="Q10" s="402"/>
      <c r="R10" s="402"/>
      <c r="S10" s="441"/>
      <c r="T10" s="313"/>
      <c r="U10" s="313"/>
      <c r="V10" s="313"/>
      <c r="W10" s="218"/>
      <c r="X10" s="218"/>
      <c r="Y10" s="313"/>
      <c r="Z10" s="313"/>
      <c r="AA10" s="26"/>
    </row>
    <row r="11" spans="2:27" s="10" customFormat="1" ht="15.95" customHeight="1" x14ac:dyDescent="0.25">
      <c r="C11" s="69" t="s">
        <v>720</v>
      </c>
      <c r="D11" s="69"/>
      <c r="I11" s="10" t="s">
        <v>337</v>
      </c>
      <c r="J11" s="295">
        <f t="shared" ref="J11:J17" si="0">R11</f>
        <v>292000</v>
      </c>
      <c r="N11" s="313"/>
      <c r="O11" s="313"/>
      <c r="P11" s="402"/>
      <c r="Q11" s="405" t="s">
        <v>1499</v>
      </c>
      <c r="R11" s="409">
        <v>292000</v>
      </c>
      <c r="S11" s="441"/>
      <c r="T11" s="313"/>
      <c r="U11" s="313"/>
      <c r="V11" s="313"/>
      <c r="W11" s="218"/>
      <c r="X11" s="218"/>
      <c r="Y11" s="313"/>
      <c r="Z11" s="313"/>
      <c r="AA11" s="26"/>
    </row>
    <row r="12" spans="2:27" s="10" customFormat="1" ht="15.95" customHeight="1" x14ac:dyDescent="0.25">
      <c r="C12" s="69" t="s">
        <v>722</v>
      </c>
      <c r="D12" s="69"/>
      <c r="I12" s="10" t="s">
        <v>337</v>
      </c>
      <c r="J12" s="296">
        <f t="shared" si="0"/>
        <v>96750</v>
      </c>
      <c r="N12" s="313"/>
      <c r="O12" s="313"/>
      <c r="P12" s="402"/>
      <c r="Q12" s="405" t="s">
        <v>308</v>
      </c>
      <c r="R12" s="409">
        <v>96750</v>
      </c>
      <c r="S12" s="441"/>
      <c r="T12" s="313"/>
      <c r="U12" s="313"/>
      <c r="V12" s="313"/>
      <c r="W12" s="218"/>
      <c r="X12" s="218"/>
      <c r="Y12" s="313"/>
      <c r="Z12" s="313"/>
      <c r="AA12" s="26"/>
    </row>
    <row r="13" spans="2:27" s="10" customFormat="1" ht="15.95" customHeight="1" x14ac:dyDescent="0.25">
      <c r="C13" s="69" t="s">
        <v>307</v>
      </c>
      <c r="D13" s="69"/>
      <c r="I13" s="10" t="s">
        <v>337</v>
      </c>
      <c r="J13" s="296">
        <f t="shared" si="0"/>
        <v>33800</v>
      </c>
      <c r="N13" s="313"/>
      <c r="O13" s="313"/>
      <c r="P13" s="402"/>
      <c r="Q13" s="405" t="s">
        <v>723</v>
      </c>
      <c r="R13" s="409">
        <v>33800</v>
      </c>
      <c r="S13" s="441"/>
      <c r="T13" s="313"/>
      <c r="U13" s="313"/>
      <c r="V13" s="313"/>
      <c r="W13" s="218"/>
      <c r="X13" s="218"/>
      <c r="Y13" s="313"/>
      <c r="Z13" s="313"/>
      <c r="AA13" s="26"/>
    </row>
    <row r="14" spans="2:27" s="10" customFormat="1" ht="15.95" customHeight="1" x14ac:dyDescent="0.25">
      <c r="C14" s="69" t="s">
        <v>309</v>
      </c>
      <c r="D14" s="69"/>
      <c r="I14" s="10" t="s">
        <v>337</v>
      </c>
      <c r="J14" s="296">
        <f t="shared" si="0"/>
        <v>31250</v>
      </c>
      <c r="N14" s="313"/>
      <c r="O14" s="313"/>
      <c r="P14" s="402"/>
      <c r="Q14" s="405" t="s">
        <v>473</v>
      </c>
      <c r="R14" s="409">
        <v>31250</v>
      </c>
      <c r="S14" s="441"/>
      <c r="T14" s="313"/>
      <c r="U14" s="313"/>
      <c r="V14" s="313"/>
      <c r="W14" s="218"/>
      <c r="X14" s="218"/>
      <c r="Y14" s="313"/>
      <c r="Z14" s="313"/>
      <c r="AA14" s="26"/>
    </row>
    <row r="15" spans="2:27" s="10" customFormat="1" ht="15.95" customHeight="1" x14ac:dyDescent="0.25">
      <c r="C15" s="69" t="s">
        <v>310</v>
      </c>
      <c r="D15" s="69"/>
      <c r="I15" s="10" t="s">
        <v>337</v>
      </c>
      <c r="J15" s="296">
        <f t="shared" si="0"/>
        <v>21000</v>
      </c>
      <c r="N15" s="313"/>
      <c r="O15" s="313"/>
      <c r="P15" s="402"/>
      <c r="Q15" s="405" t="s">
        <v>721</v>
      </c>
      <c r="R15" s="409">
        <v>21000</v>
      </c>
      <c r="S15" s="441"/>
      <c r="T15" s="313"/>
      <c r="U15" s="218"/>
      <c r="V15" s="218"/>
      <c r="W15" s="218"/>
      <c r="X15" s="218"/>
      <c r="Y15" s="218"/>
      <c r="Z15" s="218"/>
      <c r="AA15" s="26"/>
    </row>
    <row r="16" spans="2:27" s="10" customFormat="1" ht="15.95" customHeight="1" x14ac:dyDescent="0.25">
      <c r="C16" s="69" t="s">
        <v>700</v>
      </c>
      <c r="D16" s="69"/>
      <c r="I16" s="10" t="s">
        <v>337</v>
      </c>
      <c r="J16" s="296">
        <f t="shared" si="0"/>
        <v>2400</v>
      </c>
      <c r="N16" s="313"/>
      <c r="O16" s="313"/>
      <c r="P16" s="402"/>
      <c r="Q16" s="405" t="s">
        <v>474</v>
      </c>
      <c r="R16" s="409">
        <v>2400</v>
      </c>
      <c r="S16" s="441"/>
      <c r="T16" s="313"/>
      <c r="U16" s="218"/>
      <c r="V16" s="218"/>
      <c r="W16" s="218"/>
      <c r="X16" s="218"/>
      <c r="Y16" s="218"/>
      <c r="Z16" s="218"/>
      <c r="AA16" s="26"/>
    </row>
    <row r="17" spans="2:26" s="10" customFormat="1" ht="15.95" customHeight="1" x14ac:dyDescent="0.25">
      <c r="C17" s="69" t="s">
        <v>306</v>
      </c>
      <c r="D17" s="69"/>
      <c r="I17" s="10" t="s">
        <v>337</v>
      </c>
      <c r="J17" s="297">
        <f t="shared" si="0"/>
        <v>32520</v>
      </c>
      <c r="N17" s="313"/>
      <c r="O17" s="313"/>
      <c r="P17" s="402"/>
      <c r="Q17" s="405" t="s">
        <v>718</v>
      </c>
      <c r="R17" s="409">
        <v>32520</v>
      </c>
      <c r="S17" s="441"/>
      <c r="T17" s="313"/>
      <c r="U17" s="313"/>
      <c r="V17" s="313"/>
      <c r="W17" s="313"/>
      <c r="X17" s="313"/>
      <c r="Y17" s="313"/>
      <c r="Z17" s="313"/>
    </row>
    <row r="18" spans="2:26" s="10" customFormat="1" ht="15.95" customHeight="1" x14ac:dyDescent="0.25">
      <c r="C18" s="158" t="s">
        <v>672</v>
      </c>
      <c r="D18" s="69"/>
      <c r="I18" s="10" t="s">
        <v>337</v>
      </c>
      <c r="J18" s="26" t="s">
        <v>337</v>
      </c>
      <c r="L18" s="297">
        <f>SUM(J11:J17)</f>
        <v>509720</v>
      </c>
      <c r="N18" s="313"/>
      <c r="O18" s="313"/>
      <c r="P18" s="402"/>
      <c r="Q18" s="402"/>
      <c r="R18" s="402"/>
      <c r="S18" s="441"/>
      <c r="T18" s="313"/>
      <c r="U18" s="313"/>
      <c r="V18" s="313"/>
      <c r="W18" s="313"/>
      <c r="X18" s="313"/>
      <c r="Y18" s="313"/>
      <c r="Z18" s="313"/>
    </row>
    <row r="19" spans="2:26" s="10" customFormat="1" ht="15.95" customHeight="1" thickBot="1" x14ac:dyDescent="0.3">
      <c r="C19" s="26" t="s">
        <v>673</v>
      </c>
      <c r="D19" s="26"/>
      <c r="E19" s="26"/>
      <c r="F19" s="26"/>
      <c r="G19" s="26"/>
      <c r="H19" s="26"/>
      <c r="I19" s="26" t="s">
        <v>337</v>
      </c>
      <c r="J19" s="26" t="s">
        <v>337</v>
      </c>
      <c r="K19" s="26"/>
      <c r="L19" s="299">
        <f>L9-L18</f>
        <v>75880</v>
      </c>
      <c r="N19" s="313"/>
      <c r="O19" s="313"/>
      <c r="P19" s="402"/>
      <c r="Q19" s="402"/>
      <c r="R19" s="402"/>
      <c r="S19" s="441"/>
      <c r="T19" s="313"/>
      <c r="U19" s="313"/>
      <c r="V19" s="313"/>
      <c r="W19" s="313"/>
      <c r="X19" s="313"/>
      <c r="Y19" s="313"/>
      <c r="Z19" s="313"/>
    </row>
    <row r="20" spans="2:26" s="10" customFormat="1" ht="9.9499999999999993" customHeight="1" thickTop="1" x14ac:dyDescent="0.25">
      <c r="C20" s="39"/>
      <c r="D20" s="39"/>
      <c r="E20" s="39"/>
      <c r="F20" s="39"/>
      <c r="G20" s="39"/>
      <c r="H20" s="39"/>
      <c r="I20" s="39"/>
      <c r="J20" s="39"/>
      <c r="K20" s="39"/>
      <c r="L20" s="39"/>
      <c r="N20" s="313"/>
      <c r="O20" s="313"/>
      <c r="P20" s="402"/>
      <c r="Q20" s="402"/>
      <c r="R20" s="402"/>
      <c r="S20" s="441"/>
      <c r="T20" s="313"/>
      <c r="U20" s="313"/>
      <c r="V20" s="313"/>
      <c r="W20" s="313"/>
      <c r="X20" s="313"/>
      <c r="Y20" s="313"/>
      <c r="Z20" s="313"/>
    </row>
    <row r="21" spans="2:26" s="10" customFormat="1" ht="15.95" customHeight="1" x14ac:dyDescent="0.25">
      <c r="B21" s="11" t="s">
        <v>759</v>
      </c>
      <c r="C21" s="363" t="s">
        <v>716</v>
      </c>
      <c r="D21" s="363"/>
      <c r="E21" s="363"/>
      <c r="F21" s="363"/>
      <c r="G21" s="363"/>
      <c r="H21" s="363"/>
      <c r="I21" s="363"/>
      <c r="J21" s="363"/>
      <c r="K21" s="363"/>
      <c r="L21" s="363"/>
      <c r="N21" s="313"/>
      <c r="O21" s="313"/>
      <c r="P21" s="402"/>
      <c r="Q21" s="402"/>
      <c r="R21" s="402"/>
      <c r="S21" s="441"/>
      <c r="T21" s="313"/>
      <c r="U21" s="313"/>
      <c r="V21" s="313"/>
      <c r="W21" s="313"/>
      <c r="X21" s="313"/>
      <c r="Y21" s="313"/>
      <c r="Z21" s="313"/>
    </row>
    <row r="22" spans="2:26" s="10" customFormat="1" ht="15.95" customHeight="1" x14ac:dyDescent="0.25">
      <c r="C22" s="363" t="s">
        <v>467</v>
      </c>
      <c r="D22" s="363"/>
      <c r="E22" s="363"/>
      <c r="F22" s="363"/>
      <c r="G22" s="363"/>
      <c r="H22" s="363"/>
      <c r="I22" s="363"/>
      <c r="J22" s="363"/>
      <c r="K22" s="363"/>
      <c r="L22" s="363"/>
      <c r="N22" s="313"/>
      <c r="O22" s="313"/>
      <c r="P22" s="402"/>
      <c r="Q22" s="402"/>
      <c r="R22" s="402"/>
      <c r="S22" s="441"/>
      <c r="T22" s="313"/>
      <c r="U22" s="313"/>
      <c r="V22" s="313"/>
      <c r="W22" s="313"/>
      <c r="X22" s="313"/>
      <c r="Y22" s="313"/>
      <c r="Z22" s="313"/>
    </row>
    <row r="23" spans="2:26" s="10" customFormat="1" ht="15.95" customHeight="1" x14ac:dyDescent="0.25">
      <c r="C23" s="372" t="s">
        <v>1118</v>
      </c>
      <c r="D23" s="372"/>
      <c r="E23" s="372"/>
      <c r="F23" s="372"/>
      <c r="G23" s="372"/>
      <c r="H23" s="372"/>
      <c r="I23" s="372"/>
      <c r="J23" s="372"/>
      <c r="K23" s="372"/>
      <c r="L23" s="372"/>
      <c r="N23" s="313"/>
      <c r="O23" s="313"/>
      <c r="P23" s="402"/>
      <c r="Q23" s="402"/>
      <c r="R23" s="402"/>
      <c r="S23" s="441"/>
      <c r="T23" s="313"/>
      <c r="U23" s="209"/>
      <c r="V23" s="323"/>
      <c r="W23" s="313"/>
      <c r="X23" s="313"/>
      <c r="Y23" s="313"/>
      <c r="Z23" s="313"/>
    </row>
    <row r="24" spans="2:26" s="10" customFormat="1" ht="5.0999999999999996" customHeight="1" x14ac:dyDescent="0.25">
      <c r="C24" s="20"/>
      <c r="D24" s="20"/>
      <c r="E24" s="20"/>
      <c r="F24" s="20"/>
      <c r="G24" s="20"/>
      <c r="H24" s="20"/>
      <c r="I24" s="20"/>
      <c r="J24" s="20"/>
      <c r="K24" s="20"/>
      <c r="L24" s="20"/>
      <c r="N24" s="313"/>
      <c r="O24" s="313"/>
      <c r="P24" s="402"/>
      <c r="Q24" s="402"/>
      <c r="R24" s="402"/>
      <c r="S24" s="441"/>
      <c r="T24" s="313"/>
      <c r="U24" s="313"/>
      <c r="V24" s="313"/>
      <c r="W24" s="313"/>
      <c r="X24" s="313"/>
      <c r="Y24" s="313"/>
      <c r="Z24" s="313"/>
    </row>
    <row r="25" spans="2:26" s="10" customFormat="1" ht="15.95" customHeight="1" x14ac:dyDescent="0.25">
      <c r="C25" s="10" t="s">
        <v>674</v>
      </c>
      <c r="I25" s="10" t="s">
        <v>337</v>
      </c>
      <c r="J25" s="26" t="s">
        <v>337</v>
      </c>
      <c r="L25" s="298">
        <f>R9</f>
        <v>585600</v>
      </c>
      <c r="N25" s="313"/>
      <c r="O25" s="313"/>
      <c r="P25" s="402"/>
      <c r="Q25" s="402"/>
      <c r="R25" s="402"/>
      <c r="S25" s="441"/>
      <c r="T25" s="313"/>
      <c r="U25" s="313"/>
      <c r="V25" s="313"/>
      <c r="W25" s="313"/>
      <c r="X25" s="313"/>
      <c r="Y25" s="313"/>
      <c r="Z25" s="313"/>
    </row>
    <row r="26" spans="2:26" s="10" customFormat="1" ht="15.95" customHeight="1" x14ac:dyDescent="0.25">
      <c r="C26" s="10" t="s">
        <v>1664</v>
      </c>
      <c r="I26" s="10" t="s">
        <v>337</v>
      </c>
      <c r="J26" s="26" t="s">
        <v>337</v>
      </c>
      <c r="L26" s="297">
        <f>R11</f>
        <v>292000</v>
      </c>
      <c r="N26" s="313"/>
      <c r="O26" s="313"/>
      <c r="P26" s="402"/>
      <c r="Q26" s="402"/>
      <c r="R26" s="402"/>
      <c r="S26" s="441"/>
      <c r="T26" s="313"/>
      <c r="U26" s="313"/>
      <c r="V26" s="313"/>
      <c r="W26" s="313"/>
      <c r="X26" s="313"/>
      <c r="Y26" s="313"/>
      <c r="Z26" s="313"/>
    </row>
    <row r="27" spans="2:26" s="10" customFormat="1" ht="15.95" customHeight="1" x14ac:dyDescent="0.25">
      <c r="C27" s="10" t="s">
        <v>675</v>
      </c>
      <c r="I27" s="10" t="s">
        <v>337</v>
      </c>
      <c r="J27" s="26" t="s">
        <v>337</v>
      </c>
      <c r="L27" s="298">
        <f>L25-L26</f>
        <v>293600</v>
      </c>
      <c r="N27" s="313"/>
      <c r="O27" s="313"/>
      <c r="P27" s="402"/>
      <c r="Q27" s="402"/>
      <c r="R27" s="402"/>
      <c r="S27" s="441"/>
      <c r="T27" s="313"/>
      <c r="U27" s="313"/>
      <c r="V27" s="313"/>
      <c r="W27" s="313"/>
      <c r="X27" s="313"/>
      <c r="Y27" s="313"/>
      <c r="Z27" s="313"/>
    </row>
    <row r="28" spans="2:26" s="10" customFormat="1" ht="15.95" customHeight="1" x14ac:dyDescent="0.25">
      <c r="C28" s="10" t="s">
        <v>1662</v>
      </c>
      <c r="J28" s="26"/>
      <c r="N28" s="313"/>
      <c r="O28" s="313"/>
      <c r="P28" s="402"/>
      <c r="Q28" s="402"/>
      <c r="R28" s="402"/>
      <c r="S28" s="441"/>
      <c r="T28" s="313"/>
      <c r="U28" s="313"/>
      <c r="V28" s="313"/>
      <c r="W28" s="313"/>
      <c r="X28" s="313"/>
      <c r="Y28" s="313"/>
      <c r="Z28" s="313"/>
    </row>
    <row r="29" spans="2:26" s="10" customFormat="1" ht="15.95" customHeight="1" x14ac:dyDescent="0.25">
      <c r="C29" s="69" t="s">
        <v>676</v>
      </c>
      <c r="I29" s="10" t="s">
        <v>337</v>
      </c>
      <c r="J29" s="300">
        <f>R12</f>
        <v>96750</v>
      </c>
      <c r="N29" s="313"/>
      <c r="O29" s="313"/>
      <c r="P29" s="402"/>
      <c r="Q29" s="402"/>
      <c r="R29" s="402"/>
      <c r="S29" s="441"/>
      <c r="T29" s="313"/>
      <c r="U29" s="313"/>
      <c r="V29" s="313"/>
      <c r="W29" s="313"/>
      <c r="X29" s="313"/>
      <c r="Y29" s="313"/>
      <c r="Z29" s="313"/>
    </row>
    <row r="30" spans="2:26" s="10" customFormat="1" ht="15.95" customHeight="1" x14ac:dyDescent="0.25">
      <c r="C30" s="69" t="s">
        <v>677</v>
      </c>
      <c r="I30" s="10" t="s">
        <v>337</v>
      </c>
      <c r="J30" s="296">
        <f>R13</f>
        <v>33800</v>
      </c>
      <c r="K30" s="50"/>
      <c r="L30" s="50"/>
      <c r="N30" s="313"/>
      <c r="O30" s="313"/>
      <c r="P30" s="402"/>
      <c r="Q30" s="402"/>
      <c r="R30" s="402"/>
      <c r="S30" s="441"/>
      <c r="T30" s="313"/>
      <c r="U30" s="313"/>
      <c r="V30" s="313"/>
      <c r="W30" s="313"/>
      <c r="X30" s="313"/>
      <c r="Y30" s="313"/>
      <c r="Z30" s="313"/>
    </row>
    <row r="31" spans="2:26" s="10" customFormat="1" ht="15.95" customHeight="1" x14ac:dyDescent="0.25">
      <c r="C31" s="69" t="s">
        <v>678</v>
      </c>
      <c r="I31" s="10" t="s">
        <v>337</v>
      </c>
      <c r="J31" s="296">
        <f>R14</f>
        <v>31250</v>
      </c>
      <c r="K31" s="50"/>
      <c r="L31" s="50"/>
      <c r="N31" s="313"/>
      <c r="O31" s="313"/>
      <c r="P31" s="402"/>
      <c r="Q31" s="402"/>
      <c r="R31" s="402"/>
      <c r="S31" s="441"/>
      <c r="T31" s="313"/>
      <c r="U31" s="313"/>
      <c r="V31" s="313"/>
      <c r="W31" s="313"/>
      <c r="X31" s="313"/>
      <c r="Y31" s="313"/>
      <c r="Z31" s="313"/>
    </row>
    <row r="32" spans="2:26" s="10" customFormat="1" ht="15.95" customHeight="1" x14ac:dyDescent="0.25">
      <c r="C32" s="69" t="s">
        <v>679</v>
      </c>
      <c r="I32" s="10" t="s">
        <v>337</v>
      </c>
      <c r="J32" s="297">
        <f>R15</f>
        <v>21000</v>
      </c>
      <c r="K32" s="50"/>
      <c r="L32" s="297">
        <f>SUM(J29:J32)</f>
        <v>182800</v>
      </c>
      <c r="N32" s="313"/>
      <c r="O32" s="313"/>
      <c r="P32" s="402"/>
      <c r="Q32" s="402"/>
      <c r="R32" s="402"/>
      <c r="S32" s="441"/>
      <c r="T32" s="313"/>
      <c r="U32" s="313"/>
      <c r="V32" s="313"/>
      <c r="W32" s="313"/>
      <c r="X32" s="313"/>
      <c r="Y32" s="313"/>
      <c r="Z32" s="313"/>
    </row>
    <row r="33" spans="2:26" s="10" customFormat="1" ht="15.95" customHeight="1" x14ac:dyDescent="0.25">
      <c r="C33" s="10" t="s">
        <v>680</v>
      </c>
      <c r="I33" s="10" t="s">
        <v>337</v>
      </c>
      <c r="J33" s="26" t="s">
        <v>337</v>
      </c>
      <c r="L33" s="298">
        <f>L27-L32</f>
        <v>110800</v>
      </c>
      <c r="N33" s="313"/>
      <c r="O33" s="313"/>
      <c r="P33" s="402"/>
      <c r="Q33" s="402"/>
      <c r="R33" s="402"/>
      <c r="S33" s="441"/>
      <c r="T33" s="313"/>
      <c r="U33" s="313"/>
      <c r="V33" s="313"/>
      <c r="W33" s="313"/>
      <c r="X33" s="313"/>
      <c r="Y33" s="313"/>
      <c r="Z33" s="313"/>
    </row>
    <row r="34" spans="2:26" s="10" customFormat="1" ht="15.95" customHeight="1" x14ac:dyDescent="0.25">
      <c r="C34" s="10" t="s">
        <v>1660</v>
      </c>
      <c r="J34" s="26"/>
      <c r="N34" s="313"/>
      <c r="O34" s="313"/>
      <c r="P34" s="402"/>
      <c r="Q34" s="402"/>
      <c r="R34" s="402"/>
      <c r="S34" s="441"/>
      <c r="T34" s="313"/>
      <c r="U34" s="313"/>
      <c r="V34" s="313"/>
      <c r="W34" s="313"/>
      <c r="X34" s="313"/>
      <c r="Y34" s="313"/>
      <c r="Z34" s="313"/>
    </row>
    <row r="35" spans="2:26" s="10" customFormat="1" ht="15.95" customHeight="1" x14ac:dyDescent="0.25">
      <c r="C35" s="69" t="s">
        <v>681</v>
      </c>
      <c r="I35" s="10" t="s">
        <v>337</v>
      </c>
      <c r="J35" s="26" t="s">
        <v>337</v>
      </c>
      <c r="L35" s="297">
        <f>R16</f>
        <v>2400</v>
      </c>
      <c r="N35" s="313"/>
      <c r="O35" s="313"/>
      <c r="P35" s="402"/>
      <c r="Q35" s="402"/>
      <c r="R35" s="402"/>
      <c r="S35" s="441"/>
      <c r="T35" s="313"/>
      <c r="U35" s="313"/>
      <c r="V35" s="313"/>
      <c r="W35" s="313"/>
      <c r="X35" s="313"/>
      <c r="Y35" s="313"/>
      <c r="Z35" s="313"/>
    </row>
    <row r="36" spans="2:26" s="10" customFormat="1" ht="15.95" customHeight="1" x14ac:dyDescent="0.25">
      <c r="C36" s="10" t="s">
        <v>682</v>
      </c>
      <c r="I36" s="10" t="s">
        <v>337</v>
      </c>
      <c r="J36" s="26" t="s">
        <v>337</v>
      </c>
      <c r="L36" s="298">
        <f>L33-L35</f>
        <v>108400</v>
      </c>
      <c r="N36" s="313"/>
      <c r="O36" s="313"/>
      <c r="P36" s="402"/>
      <c r="Q36" s="402"/>
      <c r="R36" s="402"/>
      <c r="S36" s="441"/>
      <c r="T36" s="313"/>
      <c r="U36" s="313"/>
      <c r="V36" s="313"/>
      <c r="W36" s="313"/>
      <c r="X36" s="313"/>
      <c r="Y36" s="313"/>
      <c r="Z36" s="313"/>
    </row>
    <row r="37" spans="2:26" s="10" customFormat="1" ht="15.95" customHeight="1" x14ac:dyDescent="0.25">
      <c r="C37" s="10" t="s">
        <v>1663</v>
      </c>
      <c r="G37" s="16"/>
      <c r="I37" s="10" t="s">
        <v>337</v>
      </c>
      <c r="J37" s="26" t="s">
        <v>337</v>
      </c>
      <c r="L37" s="297">
        <f>R17</f>
        <v>32520</v>
      </c>
      <c r="N37" s="313"/>
      <c r="O37" s="313"/>
      <c r="P37" s="402"/>
      <c r="Q37" s="402"/>
      <c r="R37" s="402"/>
      <c r="S37" s="441"/>
      <c r="T37" s="313"/>
      <c r="U37" s="313"/>
      <c r="V37" s="313"/>
      <c r="W37" s="313"/>
      <c r="X37" s="313"/>
      <c r="Y37" s="313"/>
      <c r="Z37" s="313"/>
    </row>
    <row r="38" spans="2:26" s="10" customFormat="1" ht="15.95" customHeight="1" thickBot="1" x14ac:dyDescent="0.3">
      <c r="C38" s="10" t="s">
        <v>683</v>
      </c>
      <c r="I38" s="10" t="s">
        <v>337</v>
      </c>
      <c r="J38" s="26" t="s">
        <v>337</v>
      </c>
      <c r="L38" s="301">
        <f>L36-L37</f>
        <v>75880</v>
      </c>
      <c r="N38" s="313"/>
      <c r="O38" s="313"/>
      <c r="P38" s="402"/>
      <c r="Q38" s="402"/>
      <c r="R38" s="402"/>
      <c r="S38" s="441"/>
      <c r="T38" s="313"/>
      <c r="U38" s="313"/>
      <c r="V38" s="313"/>
      <c r="W38" s="313"/>
      <c r="X38" s="313"/>
      <c r="Y38" s="313"/>
      <c r="Z38" s="313"/>
    </row>
    <row r="39" spans="2:26" s="10" customFormat="1" ht="9.9499999999999993" customHeight="1" thickTop="1" x14ac:dyDescent="0.25">
      <c r="C39" s="26"/>
      <c r="D39" s="26"/>
      <c r="E39" s="26"/>
      <c r="F39" s="26"/>
      <c r="G39" s="26"/>
      <c r="H39" s="26"/>
      <c r="I39" s="26"/>
      <c r="J39" s="26"/>
      <c r="K39" s="26"/>
      <c r="L39" s="26"/>
      <c r="N39" s="313"/>
      <c r="O39" s="313"/>
      <c r="P39" s="402"/>
      <c r="Q39" s="402"/>
      <c r="R39" s="402"/>
      <c r="S39" s="441"/>
      <c r="T39" s="313"/>
      <c r="U39" s="313"/>
      <c r="V39" s="313"/>
      <c r="W39" s="313"/>
      <c r="X39" s="313"/>
      <c r="Y39" s="313"/>
      <c r="Z39" s="313"/>
    </row>
    <row r="40" spans="2:26" s="10" customFormat="1" ht="15.95" customHeight="1" x14ac:dyDescent="0.25">
      <c r="B40" s="11" t="s">
        <v>760</v>
      </c>
      <c r="C40" s="71" t="s">
        <v>1665</v>
      </c>
      <c r="N40" s="313"/>
      <c r="O40" s="313"/>
      <c r="P40" s="402"/>
      <c r="Q40" s="402"/>
      <c r="R40" s="402"/>
      <c r="S40" s="441"/>
      <c r="T40" s="313"/>
      <c r="U40" s="313"/>
      <c r="V40" s="313"/>
      <c r="W40" s="313"/>
      <c r="X40" s="313"/>
      <c r="Y40" s="313"/>
      <c r="Z40" s="313"/>
    </row>
    <row r="41" spans="2:26" s="10" customFormat="1" ht="15.95" customHeight="1" x14ac:dyDescent="0.25">
      <c r="C41" s="71" t="s">
        <v>1666</v>
      </c>
      <c r="N41" s="313"/>
      <c r="O41" s="313"/>
      <c r="P41" s="402"/>
      <c r="Q41" s="402"/>
      <c r="R41" s="402"/>
      <c r="S41" s="441"/>
      <c r="T41" s="313"/>
      <c r="U41" s="313"/>
      <c r="V41" s="313"/>
      <c r="W41" s="313"/>
      <c r="X41" s="313"/>
      <c r="Y41" s="313"/>
      <c r="Z41" s="313"/>
    </row>
    <row r="42" spans="2:26" s="10" customFormat="1" ht="15.95" customHeight="1" x14ac:dyDescent="0.25">
      <c r="C42" s="10" t="s">
        <v>299</v>
      </c>
      <c r="N42" s="313"/>
      <c r="O42" s="313"/>
      <c r="P42" s="402"/>
      <c r="Q42" s="402"/>
      <c r="R42" s="402"/>
      <c r="S42" s="441"/>
      <c r="T42" s="313"/>
      <c r="U42" s="313"/>
      <c r="V42" s="313"/>
      <c r="W42" s="313"/>
      <c r="X42" s="313"/>
      <c r="Y42" s="313"/>
      <c r="Z42" s="313"/>
    </row>
    <row r="43" spans="2:26" s="10" customFormat="1" ht="15.95" customHeight="1" x14ac:dyDescent="0.25">
      <c r="C43" s="10" t="s">
        <v>300</v>
      </c>
      <c r="N43" s="313"/>
      <c r="O43" s="313"/>
      <c r="P43" s="402"/>
      <c r="Q43" s="402"/>
      <c r="R43" s="402"/>
      <c r="S43" s="441"/>
      <c r="T43" s="313"/>
      <c r="U43" s="313"/>
      <c r="V43" s="313"/>
      <c r="W43" s="313"/>
      <c r="X43" s="313"/>
      <c r="Y43" s="313"/>
      <c r="Z43" s="313"/>
    </row>
    <row r="44" spans="2:26" s="10" customFormat="1" ht="15.95" customHeight="1" x14ac:dyDescent="0.25">
      <c r="C44" s="10" t="s">
        <v>301</v>
      </c>
      <c r="N44" s="313"/>
      <c r="O44" s="313"/>
      <c r="P44" s="402"/>
      <c r="Q44" s="402"/>
      <c r="R44" s="402"/>
      <c r="S44" s="441"/>
      <c r="T44" s="313"/>
      <c r="U44" s="313"/>
      <c r="V44" s="313"/>
      <c r="W44" s="313"/>
      <c r="X44" s="313"/>
      <c r="Y44" s="313"/>
      <c r="Z44" s="313"/>
    </row>
    <row r="45" spans="2:26" s="10" customFormat="1" ht="15.95" customHeight="1" x14ac:dyDescent="0.25">
      <c r="C45" s="10" t="s">
        <v>302</v>
      </c>
      <c r="N45" s="313"/>
      <c r="O45" s="313"/>
      <c r="P45" s="402"/>
      <c r="Q45" s="402"/>
      <c r="R45" s="402"/>
      <c r="S45" s="441"/>
      <c r="T45" s="313"/>
      <c r="U45" s="313"/>
      <c r="V45" s="313"/>
      <c r="W45" s="313"/>
      <c r="X45" s="313"/>
      <c r="Y45" s="313"/>
      <c r="Z45" s="313"/>
    </row>
    <row r="46" spans="2:26" s="10" customFormat="1" ht="15.95" customHeight="1" x14ac:dyDescent="0.25">
      <c r="C46" s="10" t="s">
        <v>303</v>
      </c>
      <c r="N46" s="313"/>
      <c r="O46" s="313"/>
      <c r="P46" s="402"/>
      <c r="Q46" s="402"/>
      <c r="R46" s="402"/>
      <c r="S46" s="441"/>
      <c r="T46" s="313"/>
      <c r="U46" s="313"/>
      <c r="V46" s="313"/>
      <c r="W46" s="313"/>
      <c r="X46" s="313"/>
      <c r="Y46" s="313"/>
      <c r="Z46" s="313"/>
    </row>
    <row r="47" spans="2:26" s="10" customFormat="1" ht="5.0999999999999996" customHeight="1" x14ac:dyDescent="0.25">
      <c r="N47" s="313"/>
      <c r="O47" s="313"/>
      <c r="P47" s="402"/>
      <c r="Q47" s="402"/>
      <c r="R47" s="402"/>
      <c r="S47" s="441"/>
      <c r="T47" s="313"/>
      <c r="U47" s="313"/>
      <c r="V47" s="313"/>
      <c r="W47" s="313"/>
      <c r="X47" s="313"/>
      <c r="Y47" s="313"/>
      <c r="Z47" s="313"/>
    </row>
    <row r="48" spans="2:26" s="10" customFormat="1" ht="15.95" customHeight="1" x14ac:dyDescent="0.25">
      <c r="N48" s="313"/>
      <c r="O48" s="313"/>
      <c r="P48" s="402"/>
      <c r="Q48" s="402"/>
      <c r="R48" s="402"/>
      <c r="S48" s="441"/>
      <c r="T48" s="313"/>
      <c r="U48" s="313"/>
      <c r="V48" s="313"/>
      <c r="W48" s="313"/>
      <c r="X48" s="313"/>
      <c r="Y48" s="313"/>
      <c r="Z48" s="313"/>
    </row>
    <row r="49" spans="22:25" ht="15.95" customHeight="1" x14ac:dyDescent="0.2">
      <c r="V49" s="313"/>
      <c r="W49" s="313"/>
      <c r="X49" s="313"/>
      <c r="Y49" s="313"/>
    </row>
    <row r="50" spans="22:25" ht="15.95" customHeight="1" x14ac:dyDescent="0.2"/>
    <row r="51" spans="22:25" ht="15.95" customHeight="1" x14ac:dyDescent="0.2"/>
  </sheetData>
  <customSheetViews>
    <customSheetView guid="{B2DDA8C4-3089-41F7-BA6E-A0E09596A2CA}" scale="70" showPageBreaks="1" fitToPage="1" printArea="1">
      <pageMargins left="0.75" right="1" top="0.85" bottom="0.8" header="0.5" footer="0.35"/>
      <printOptions horizontalCentered="1"/>
      <pageSetup scale="96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34">
      <selection activeCell="A34" sqref="A34"/>
      <pageMargins left="0.75" right="1" top="0.85" bottom="0.8" header="0.5" footer="0.35"/>
      <printOptions horizontalCentered="1"/>
      <pageSetup scale="95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0.75" right="1" top="0.85" bottom="0.8" header="0.5" footer="0.35"/>
      <printOptions horizontalCentered="1"/>
      <pageSetup scale="95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pageMargins left="0.75" right="1" top="0.85" bottom="0.8" header="0.5" footer="0.35"/>
      <printOptions horizontalCentered="1"/>
      <pageSetup scale="95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pageMargins left="0.75" right="1" top="0.85" bottom="0.8" header="0.5" footer="0.35"/>
      <printOptions horizontalCentered="1"/>
      <pageSetup scale="96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6">
    <mergeCell ref="C22:L22"/>
    <mergeCell ref="C23:L23"/>
    <mergeCell ref="C4:L4"/>
    <mergeCell ref="C5:L5"/>
    <mergeCell ref="C6:L6"/>
    <mergeCell ref="C21:L21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2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2" width="4.7109375" style="2" customWidth="1"/>
    <col min="3" max="3" width="3.85546875" style="2" customWidth="1"/>
    <col min="4" max="5" width="4.7109375" style="2" customWidth="1"/>
    <col min="6" max="6" width="9.7109375" style="2" customWidth="1"/>
    <col min="7" max="7" width="11.7109375" style="2" customWidth="1"/>
    <col min="8" max="8" width="25" style="2" customWidth="1"/>
    <col min="9" max="9" width="1.5703125" style="2" customWidth="1"/>
    <col min="10" max="10" width="12.140625" style="2" customWidth="1"/>
    <col min="11" max="11" width="1.42578125" style="2" customWidth="1"/>
    <col min="12" max="12" width="12.7109375" style="2" customWidth="1"/>
    <col min="13" max="13" width="2.7109375" style="312" customWidth="1"/>
    <col min="14" max="14" width="0" style="407" hidden="1" customWidth="1"/>
    <col min="15" max="15" width="2.7109375" style="407" hidden="1" customWidth="1"/>
    <col min="16" max="16" width="0" style="407" hidden="1" customWidth="1"/>
    <col min="17" max="17" width="2.7109375" style="407" hidden="1" customWidth="1"/>
    <col min="18" max="18" width="0" style="407" hidden="1" customWidth="1"/>
    <col min="19" max="19" width="2.7109375" style="407" hidden="1" customWidth="1"/>
    <col min="20" max="20" width="0" style="407" hidden="1" customWidth="1"/>
    <col min="21" max="21" width="2.7109375" style="407" hidden="1" customWidth="1"/>
    <col min="22" max="23" width="0" style="407" hidden="1" customWidth="1"/>
    <col min="24" max="24" width="9.140625" style="312"/>
    <col min="25" max="25" width="10.5703125" style="312" bestFit="1" customWidth="1"/>
    <col min="26" max="26" width="9.140625" style="312"/>
    <col min="27" max="27" width="14.140625" style="2" bestFit="1" customWidth="1"/>
    <col min="28" max="28" width="11.5703125" style="2" bestFit="1" customWidth="1"/>
    <col min="29" max="16384" width="9.140625" style="2"/>
  </cols>
  <sheetData>
    <row r="1" spans="1:28" ht="28.5" customHeight="1" x14ac:dyDescent="0.2">
      <c r="A1" s="210"/>
    </row>
    <row r="2" spans="1:28" ht="15.95" customHeight="1" x14ac:dyDescent="0.25">
      <c r="B2" s="10" t="s">
        <v>1177</v>
      </c>
      <c r="O2" s="412" t="s">
        <v>794</v>
      </c>
      <c r="W2" s="418" t="s">
        <v>1682</v>
      </c>
    </row>
    <row r="3" spans="1:28" s="10" customFormat="1" ht="15.95" customHeight="1" x14ac:dyDescent="0.25">
      <c r="B3" s="11" t="s">
        <v>758</v>
      </c>
      <c r="C3" s="10" t="s">
        <v>1599</v>
      </c>
      <c r="I3" s="10" t="s">
        <v>337</v>
      </c>
      <c r="J3" s="253">
        <f>N3</f>
        <v>18240</v>
      </c>
      <c r="M3" s="313"/>
      <c r="N3" s="410">
        <f>W3</f>
        <v>18240</v>
      </c>
      <c r="O3" s="402"/>
      <c r="P3" s="402"/>
      <c r="Q3" s="402"/>
      <c r="R3" s="402"/>
      <c r="S3" s="402"/>
      <c r="T3" s="402"/>
      <c r="U3" s="402"/>
      <c r="V3" s="405" t="s">
        <v>1497</v>
      </c>
      <c r="W3" s="409">
        <v>18240</v>
      </c>
      <c r="X3" s="313"/>
      <c r="Y3" s="313"/>
      <c r="Z3" s="313"/>
    </row>
    <row r="4" spans="1:28" s="10" customFormat="1" ht="15.95" customHeight="1" x14ac:dyDescent="0.25">
      <c r="C4" s="10" t="s">
        <v>685</v>
      </c>
      <c r="D4" s="10" t="str">
        <f>CONCATENATE("Net income (",TEXT(N4,"$#,##0"),O4,TEXT(P4,"$#,##0"),") …………………..…………...……………………………………………………………………..…………...…………………………………………..",)</f>
        <v>Net income ($837,400 – $792,100) …………………..…………...……………………………………………………………………..…………...…………………………………………..</v>
      </c>
      <c r="I4" s="10" t="s">
        <v>337</v>
      </c>
      <c r="J4" s="50">
        <f>R4</f>
        <v>45300</v>
      </c>
      <c r="M4" s="313"/>
      <c r="N4" s="410">
        <f>W4</f>
        <v>837400</v>
      </c>
      <c r="O4" s="410" t="s">
        <v>1589</v>
      </c>
      <c r="P4" s="410">
        <f>W5</f>
        <v>792100</v>
      </c>
      <c r="Q4" s="410" t="s">
        <v>1587</v>
      </c>
      <c r="R4" s="410">
        <f>SUM(N4-P4)</f>
        <v>45300</v>
      </c>
      <c r="S4" s="402"/>
      <c r="T4" s="402"/>
      <c r="U4" s="402"/>
      <c r="V4" s="405" t="s">
        <v>1498</v>
      </c>
      <c r="W4" s="409">
        <v>837400</v>
      </c>
      <c r="X4" s="218"/>
      <c r="Y4" s="218"/>
      <c r="Z4" s="218"/>
      <c r="AA4" s="26"/>
      <c r="AB4" s="26"/>
    </row>
    <row r="5" spans="1:28" s="10" customFormat="1" ht="15.95" customHeight="1" x14ac:dyDescent="0.25">
      <c r="C5" s="10" t="s">
        <v>320</v>
      </c>
      <c r="D5" s="10" t="s">
        <v>1597</v>
      </c>
      <c r="I5" s="10" t="s">
        <v>337</v>
      </c>
      <c r="J5" s="51">
        <f>N5</f>
        <v>-38650</v>
      </c>
      <c r="M5" s="313"/>
      <c r="N5" s="410">
        <f>-W6</f>
        <v>-38650</v>
      </c>
      <c r="O5" s="402"/>
      <c r="P5" s="402"/>
      <c r="Q5" s="402"/>
      <c r="R5" s="402"/>
      <c r="S5" s="402"/>
      <c r="T5" s="402"/>
      <c r="U5" s="402"/>
      <c r="V5" s="405" t="s">
        <v>687</v>
      </c>
      <c r="W5" s="409">
        <v>792100</v>
      </c>
      <c r="X5" s="314"/>
      <c r="Y5" s="218"/>
      <c r="Z5" s="218"/>
      <c r="AA5" s="26"/>
      <c r="AB5" s="26"/>
    </row>
    <row r="6" spans="1:28" s="10" customFormat="1" ht="15.95" customHeight="1" thickBot="1" x14ac:dyDescent="0.3">
      <c r="C6" s="10" t="s">
        <v>686</v>
      </c>
      <c r="D6" s="10" t="s">
        <v>1598</v>
      </c>
      <c r="I6" s="10" t="s">
        <v>337</v>
      </c>
      <c r="J6" s="252">
        <f>SUM(J3:J5)</f>
        <v>24890</v>
      </c>
      <c r="M6" s="313"/>
      <c r="N6" s="402"/>
      <c r="O6" s="402"/>
      <c r="P6" s="402"/>
      <c r="Q6" s="402"/>
      <c r="R6" s="402"/>
      <c r="S6" s="402"/>
      <c r="T6" s="402"/>
      <c r="U6" s="402"/>
      <c r="V6" s="405" t="s">
        <v>688</v>
      </c>
      <c r="W6" s="409">
        <v>38650</v>
      </c>
      <c r="X6" s="313"/>
      <c r="Y6" s="313"/>
      <c r="Z6" s="218"/>
      <c r="AA6" s="26"/>
      <c r="AB6" s="26"/>
    </row>
    <row r="7" spans="1:28" s="10" customFormat="1" ht="9.9499999999999993" customHeight="1" thickTop="1" x14ac:dyDescent="0.25">
      <c r="M7" s="313"/>
      <c r="N7" s="402"/>
      <c r="O7" s="402"/>
      <c r="P7" s="402"/>
      <c r="Q7" s="402"/>
      <c r="R7" s="402"/>
      <c r="S7" s="402"/>
      <c r="T7" s="402"/>
      <c r="U7" s="402"/>
      <c r="V7" s="402"/>
      <c r="W7" s="402"/>
      <c r="X7" s="313"/>
      <c r="Y7" s="313"/>
      <c r="Z7" s="218"/>
      <c r="AA7" s="26"/>
      <c r="AB7" s="26"/>
    </row>
    <row r="8" spans="1:28" s="10" customFormat="1" ht="15.95" customHeight="1" x14ac:dyDescent="0.25">
      <c r="B8" s="11" t="s">
        <v>759</v>
      </c>
      <c r="C8" s="71" t="str">
        <f>CONCATENATE("Sherwood is paying ",TEXT(R8,"0%")," (",TEXT(N8,"$#,##0"),O8,TEXT(P8,"$#,##0"),") of its income to its shareholders")</f>
        <v>Sherwood is paying 85% ($38,650 / $45,300) of its income to its shareholders</v>
      </c>
      <c r="M8" s="313"/>
      <c r="N8" s="410">
        <f>W6</f>
        <v>38650</v>
      </c>
      <c r="O8" s="410" t="s">
        <v>1314</v>
      </c>
      <c r="P8" s="410">
        <f>R4</f>
        <v>45300</v>
      </c>
      <c r="Q8" s="410" t="s">
        <v>1587</v>
      </c>
      <c r="R8" s="439">
        <f>SUM(N8/P8)</f>
        <v>0.85320088300220753</v>
      </c>
      <c r="S8" s="402"/>
      <c r="T8" s="402"/>
      <c r="U8" s="402"/>
      <c r="V8" s="402"/>
      <c r="W8" s="402"/>
      <c r="X8" s="313"/>
      <c r="Y8" s="313"/>
      <c r="Z8" s="218"/>
      <c r="AA8" s="26"/>
      <c r="AB8" s="26"/>
    </row>
    <row r="9" spans="1:28" s="10" customFormat="1" ht="15.95" customHeight="1" x14ac:dyDescent="0.25">
      <c r="C9" s="71" t="s">
        <v>609</v>
      </c>
      <c r="M9" s="313"/>
      <c r="N9" s="402"/>
      <c r="O9" s="402"/>
      <c r="P9" s="402"/>
      <c r="Q9" s="402"/>
      <c r="R9" s="402"/>
      <c r="S9" s="402"/>
      <c r="T9" s="402"/>
      <c r="U9" s="402"/>
      <c r="V9" s="402"/>
      <c r="W9" s="402"/>
      <c r="X9" s="313"/>
      <c r="Y9" s="313"/>
      <c r="Z9" s="218"/>
      <c r="AA9" s="26"/>
      <c r="AB9" s="26"/>
    </row>
    <row r="10" spans="1:28" s="10" customFormat="1" ht="15.95" customHeight="1" x14ac:dyDescent="0.25">
      <c r="C10" s="71" t="s">
        <v>610</v>
      </c>
      <c r="M10" s="313"/>
      <c r="N10" s="402"/>
      <c r="O10" s="402"/>
      <c r="P10" s="402"/>
      <c r="Q10" s="402"/>
      <c r="R10" s="402"/>
      <c r="S10" s="402"/>
      <c r="T10" s="402"/>
      <c r="U10" s="402"/>
      <c r="V10" s="402"/>
      <c r="W10" s="402"/>
      <c r="X10" s="218"/>
      <c r="Y10" s="313"/>
      <c r="Z10" s="218"/>
      <c r="AA10" s="26"/>
      <c r="AB10" s="26"/>
    </row>
    <row r="11" spans="1:28" s="10" customFormat="1" ht="15.95" customHeight="1" x14ac:dyDescent="0.25">
      <c r="C11" s="71" t="s">
        <v>611</v>
      </c>
      <c r="M11" s="313"/>
      <c r="N11" s="402"/>
      <c r="O11" s="402"/>
      <c r="P11" s="402"/>
      <c r="Q11" s="402"/>
      <c r="R11" s="402"/>
      <c r="S11" s="402"/>
      <c r="T11" s="402"/>
      <c r="U11" s="402"/>
      <c r="V11" s="402"/>
      <c r="W11" s="402"/>
      <c r="X11" s="218"/>
      <c r="Y11" s="218"/>
      <c r="Z11" s="218"/>
      <c r="AA11" s="26"/>
      <c r="AB11" s="26"/>
    </row>
    <row r="12" spans="1:28" s="10" customFormat="1" ht="15.95" customHeight="1" x14ac:dyDescent="0.25">
      <c r="C12" s="10" t="s">
        <v>612</v>
      </c>
      <c r="M12" s="313"/>
      <c r="N12" s="402"/>
      <c r="O12" s="402"/>
      <c r="P12" s="402"/>
      <c r="Q12" s="402"/>
      <c r="R12" s="402"/>
      <c r="S12" s="402"/>
      <c r="T12" s="402"/>
      <c r="U12" s="402"/>
      <c r="V12" s="402"/>
      <c r="W12" s="402"/>
      <c r="X12" s="218"/>
      <c r="Y12" s="218"/>
      <c r="Z12" s="218"/>
      <c r="AA12" s="26"/>
      <c r="AB12" s="26"/>
    </row>
    <row r="13" spans="1:28" s="10" customFormat="1" ht="15.95" customHeight="1" x14ac:dyDescent="0.25">
      <c r="C13" s="10" t="s">
        <v>613</v>
      </c>
      <c r="M13" s="313"/>
      <c r="N13" s="402"/>
      <c r="O13" s="402"/>
      <c r="P13" s="402"/>
      <c r="Q13" s="402"/>
      <c r="R13" s="402"/>
      <c r="S13" s="402"/>
      <c r="T13" s="402"/>
      <c r="U13" s="402"/>
      <c r="V13" s="402"/>
      <c r="W13" s="402"/>
      <c r="X13" s="218"/>
      <c r="Y13" s="218"/>
      <c r="Z13" s="218"/>
      <c r="AA13" s="26"/>
      <c r="AB13" s="26"/>
    </row>
    <row r="14" spans="1:28" s="10" customFormat="1" ht="15.95" customHeight="1" x14ac:dyDescent="0.25">
      <c r="C14" s="10" t="s">
        <v>614</v>
      </c>
      <c r="M14" s="313"/>
      <c r="N14" s="402"/>
      <c r="O14" s="402"/>
      <c r="P14" s="402"/>
      <c r="Q14" s="402"/>
      <c r="R14" s="402"/>
      <c r="S14" s="402"/>
      <c r="T14" s="402"/>
      <c r="U14" s="402"/>
      <c r="V14" s="402"/>
      <c r="W14" s="402"/>
      <c r="X14" s="218"/>
      <c r="Y14" s="218"/>
      <c r="Z14" s="218"/>
      <c r="AA14" s="26"/>
      <c r="AB14" s="26"/>
    </row>
    <row r="15" spans="1:28" s="10" customFormat="1" ht="15.95" customHeight="1" x14ac:dyDescent="0.25">
      <c r="M15" s="313"/>
      <c r="N15" s="402"/>
      <c r="O15" s="402"/>
      <c r="P15" s="402"/>
      <c r="Q15" s="402"/>
      <c r="R15" s="402"/>
      <c r="S15" s="402"/>
      <c r="T15" s="402"/>
      <c r="U15" s="402"/>
      <c r="V15" s="402"/>
      <c r="W15" s="402"/>
      <c r="X15" s="218"/>
      <c r="Y15" s="218"/>
      <c r="Z15" s="218"/>
      <c r="AA15" s="26"/>
      <c r="AB15" s="26"/>
    </row>
    <row r="16" spans="1:28" s="10" customFormat="1" ht="15.95" customHeight="1" x14ac:dyDescent="0.25">
      <c r="B16" s="10" t="s">
        <v>1178</v>
      </c>
      <c r="M16" s="313"/>
      <c r="N16" s="402"/>
      <c r="O16" s="402"/>
      <c r="P16" s="402"/>
      <c r="Q16" s="402"/>
      <c r="R16" s="402"/>
      <c r="S16" s="402"/>
      <c r="T16" s="402"/>
      <c r="U16" s="402"/>
      <c r="V16" s="403"/>
      <c r="W16" s="403"/>
      <c r="X16" s="314"/>
      <c r="Y16" s="314"/>
      <c r="Z16" s="314"/>
      <c r="AA16" s="173"/>
      <c r="AB16" s="26"/>
    </row>
    <row r="17" spans="2:28" s="10" customFormat="1" ht="15.95" customHeight="1" x14ac:dyDescent="0.25">
      <c r="B17" s="11" t="s">
        <v>758</v>
      </c>
      <c r="C17" s="10" t="s">
        <v>607</v>
      </c>
      <c r="J17" s="26"/>
      <c r="K17" s="26"/>
      <c r="M17" s="313"/>
      <c r="N17" s="402"/>
      <c r="O17" s="402"/>
      <c r="P17" s="402"/>
      <c r="Q17" s="402"/>
      <c r="R17" s="402"/>
      <c r="S17" s="402"/>
      <c r="T17" s="418" t="s">
        <v>1682</v>
      </c>
      <c r="U17" s="402"/>
      <c r="V17" s="402"/>
      <c r="W17" s="402"/>
      <c r="X17" s="218"/>
      <c r="Y17" s="218"/>
      <c r="Z17" s="218"/>
      <c r="AB17" s="26"/>
    </row>
    <row r="18" spans="2:28" s="10" customFormat="1" ht="15.95" customHeight="1" x14ac:dyDescent="0.25">
      <c r="C18" s="69" t="s">
        <v>1083</v>
      </c>
      <c r="I18" s="10" t="s">
        <v>337</v>
      </c>
      <c r="J18" s="88">
        <f>T18</f>
        <v>139800</v>
      </c>
      <c r="K18" s="26"/>
      <c r="M18" s="313"/>
      <c r="N18" s="402"/>
      <c r="O18" s="402"/>
      <c r="P18" s="402"/>
      <c r="Q18" s="402"/>
      <c r="R18" s="402"/>
      <c r="S18" s="405" t="s">
        <v>1088</v>
      </c>
      <c r="T18" s="409">
        <v>139800</v>
      </c>
      <c r="U18" s="402"/>
      <c r="V18" s="402"/>
      <c r="W18" s="402"/>
      <c r="X18" s="218"/>
      <c r="Y18" s="218"/>
      <c r="Z18" s="218"/>
      <c r="AB18" s="26"/>
    </row>
    <row r="19" spans="2:28" s="10" customFormat="1" ht="15.95" customHeight="1" x14ac:dyDescent="0.25">
      <c r="C19" s="69" t="s">
        <v>1085</v>
      </c>
      <c r="I19" s="10" t="s">
        <v>337</v>
      </c>
      <c r="J19" s="89">
        <f>-T19</f>
        <v>-34200</v>
      </c>
      <c r="K19" s="26"/>
      <c r="M19" s="313"/>
      <c r="N19" s="402"/>
      <c r="O19" s="402"/>
      <c r="P19" s="402"/>
      <c r="Q19" s="402"/>
      <c r="R19" s="402"/>
      <c r="S19" s="405" t="s">
        <v>1086</v>
      </c>
      <c r="T19" s="409">
        <v>34200</v>
      </c>
      <c r="U19" s="402"/>
      <c r="V19" s="402"/>
      <c r="W19" s="402"/>
      <c r="X19" s="218"/>
      <c r="Y19" s="218"/>
      <c r="Z19" s="218"/>
      <c r="AB19" s="26"/>
    </row>
    <row r="20" spans="2:28" s="10" customFormat="1" ht="15.95" customHeight="1" x14ac:dyDescent="0.25">
      <c r="C20" s="69" t="s">
        <v>1087</v>
      </c>
      <c r="I20" s="10" t="s">
        <v>337</v>
      </c>
      <c r="J20" s="89">
        <f>-T20</f>
        <v>-46400</v>
      </c>
      <c r="K20" s="26"/>
      <c r="M20" s="313"/>
      <c r="N20" s="402"/>
      <c r="O20" s="402"/>
      <c r="P20" s="402"/>
      <c r="Q20" s="402"/>
      <c r="R20" s="402"/>
      <c r="S20" s="405" t="s">
        <v>1092</v>
      </c>
      <c r="T20" s="409">
        <v>46400</v>
      </c>
      <c r="U20" s="402"/>
      <c r="V20" s="402"/>
      <c r="W20" s="402"/>
      <c r="X20" s="218"/>
      <c r="Y20" s="218"/>
      <c r="Z20" s="218"/>
      <c r="AB20" s="26"/>
    </row>
    <row r="21" spans="2:28" s="10" customFormat="1" ht="15.95" customHeight="1" x14ac:dyDescent="0.25">
      <c r="C21" s="69" t="s">
        <v>1089</v>
      </c>
      <c r="I21" s="10" t="s">
        <v>337</v>
      </c>
      <c r="J21" s="90">
        <f>-T21</f>
        <v>-28700</v>
      </c>
      <c r="K21" s="26"/>
      <c r="M21" s="313"/>
      <c r="N21" s="402"/>
      <c r="O21" s="402"/>
      <c r="P21" s="402"/>
      <c r="Q21" s="402"/>
      <c r="R21" s="402"/>
      <c r="S21" s="405" t="s">
        <v>1096</v>
      </c>
      <c r="T21" s="409">
        <v>28700</v>
      </c>
      <c r="U21" s="402"/>
      <c r="V21" s="402"/>
      <c r="W21" s="402"/>
      <c r="X21" s="218"/>
      <c r="Y21" s="218"/>
      <c r="Z21" s="218"/>
      <c r="AB21" s="26"/>
    </row>
    <row r="22" spans="2:28" s="10" customFormat="1" ht="15.95" customHeight="1" x14ac:dyDescent="0.25">
      <c r="C22" s="69" t="s">
        <v>1091</v>
      </c>
      <c r="I22" s="10" t="s">
        <v>337</v>
      </c>
      <c r="J22" s="26" t="s">
        <v>337</v>
      </c>
      <c r="K22" s="26"/>
      <c r="L22" s="254">
        <f>SUM(J18:J21)</f>
        <v>30500</v>
      </c>
      <c r="M22" s="313"/>
      <c r="N22" s="402"/>
      <c r="O22" s="402"/>
      <c r="P22" s="402"/>
      <c r="Q22" s="402"/>
      <c r="R22" s="402"/>
      <c r="S22" s="402"/>
      <c r="T22" s="402"/>
      <c r="U22" s="402"/>
      <c r="V22" s="402"/>
      <c r="W22" s="402"/>
      <c r="X22" s="218"/>
      <c r="Y22" s="218"/>
      <c r="Z22" s="218"/>
      <c r="AB22" s="26"/>
    </row>
    <row r="23" spans="2:28" s="10" customFormat="1" ht="5.0999999999999996" customHeight="1" x14ac:dyDescent="0.25">
      <c r="J23" s="26"/>
      <c r="K23" s="26"/>
      <c r="M23" s="313"/>
      <c r="N23" s="402"/>
      <c r="O23" s="402"/>
      <c r="P23" s="402"/>
      <c r="Q23" s="402"/>
      <c r="R23" s="402"/>
      <c r="S23" s="402"/>
      <c r="T23" s="402"/>
      <c r="U23" s="402"/>
      <c r="V23" s="405"/>
      <c r="W23" s="402"/>
      <c r="X23" s="218"/>
      <c r="Y23" s="218"/>
      <c r="Z23" s="218"/>
      <c r="AB23" s="26"/>
    </row>
    <row r="24" spans="2:28" s="10" customFormat="1" ht="15.95" customHeight="1" x14ac:dyDescent="0.25">
      <c r="C24" s="10" t="s">
        <v>1093</v>
      </c>
      <c r="J24" s="26"/>
      <c r="K24" s="26"/>
      <c r="M24" s="313"/>
      <c r="N24" s="402"/>
      <c r="O24" s="402"/>
      <c r="P24" s="402"/>
      <c r="Q24" s="402"/>
      <c r="R24" s="402"/>
      <c r="S24" s="402"/>
      <c r="T24" s="402"/>
      <c r="U24" s="402"/>
      <c r="V24" s="402"/>
      <c r="W24" s="402"/>
      <c r="X24" s="218"/>
      <c r="Y24" s="218"/>
      <c r="Z24" s="218"/>
      <c r="AB24" s="26"/>
    </row>
    <row r="25" spans="2:28" s="10" customFormat="1" ht="15.95" customHeight="1" x14ac:dyDescent="0.25">
      <c r="C25" s="69" t="s">
        <v>1095</v>
      </c>
      <c r="I25" s="10" t="s">
        <v>337</v>
      </c>
      <c r="J25" s="88">
        <f>-T25</f>
        <v>-128700</v>
      </c>
      <c r="K25" s="26"/>
      <c r="M25" s="313"/>
      <c r="N25" s="402"/>
      <c r="O25" s="402"/>
      <c r="P25" s="402"/>
      <c r="Q25" s="402"/>
      <c r="R25" s="402"/>
      <c r="S25" s="405" t="s">
        <v>1084</v>
      </c>
      <c r="T25" s="409">
        <v>128700</v>
      </c>
      <c r="U25" s="402"/>
      <c r="V25" s="402"/>
      <c r="W25" s="402"/>
      <c r="X25" s="218"/>
      <c r="Y25" s="218"/>
      <c r="Z25" s="218"/>
      <c r="AB25" s="26"/>
    </row>
    <row r="26" spans="2:28" s="10" customFormat="1" ht="15.95" customHeight="1" x14ac:dyDescent="0.25">
      <c r="C26" s="69" t="s">
        <v>1097</v>
      </c>
      <c r="I26" s="10" t="s">
        <v>337</v>
      </c>
      <c r="J26" s="90">
        <f>-T26</f>
        <v>-32000</v>
      </c>
      <c r="K26" s="26"/>
      <c r="M26" s="313"/>
      <c r="N26" s="402"/>
      <c r="O26" s="402"/>
      <c r="P26" s="402"/>
      <c r="Q26" s="402"/>
      <c r="R26" s="402"/>
      <c r="S26" s="405" t="s">
        <v>1090</v>
      </c>
      <c r="T26" s="409">
        <v>32000</v>
      </c>
      <c r="U26" s="402"/>
      <c r="V26" s="402"/>
      <c r="W26" s="402"/>
      <c r="X26" s="218"/>
      <c r="Y26" s="218"/>
      <c r="Z26" s="218"/>
      <c r="AA26" s="26"/>
      <c r="AB26" s="26"/>
    </row>
    <row r="27" spans="2:28" s="10" customFormat="1" ht="15.95" customHeight="1" x14ac:dyDescent="0.25">
      <c r="C27" s="69" t="s">
        <v>1256</v>
      </c>
      <c r="I27" s="10" t="s">
        <v>337</v>
      </c>
      <c r="J27" s="26" t="s">
        <v>337</v>
      </c>
      <c r="K27" s="26"/>
      <c r="L27" s="89">
        <f>SUM(J25:J26)</f>
        <v>-160700</v>
      </c>
      <c r="M27" s="313"/>
      <c r="N27" s="402"/>
      <c r="O27" s="402"/>
      <c r="P27" s="402"/>
      <c r="Q27" s="402"/>
      <c r="R27" s="402"/>
      <c r="S27" s="402"/>
      <c r="T27" s="402"/>
      <c r="U27" s="402"/>
      <c r="V27" s="402"/>
      <c r="W27" s="402"/>
      <c r="X27" s="218"/>
      <c r="Y27" s="218"/>
      <c r="Z27" s="218"/>
      <c r="AA27" s="26"/>
      <c r="AB27" s="26"/>
    </row>
    <row r="28" spans="2:28" s="10" customFormat="1" ht="5.0999999999999996" customHeight="1" x14ac:dyDescent="0.25">
      <c r="J28" s="26"/>
      <c r="K28" s="26"/>
      <c r="M28" s="313"/>
      <c r="N28" s="402"/>
      <c r="O28" s="402"/>
      <c r="P28" s="402"/>
      <c r="Q28" s="402"/>
      <c r="R28" s="402"/>
      <c r="S28" s="402"/>
      <c r="T28" s="402"/>
      <c r="U28" s="402"/>
      <c r="V28" s="402"/>
      <c r="W28" s="402"/>
      <c r="X28" s="218"/>
      <c r="Y28" s="218"/>
      <c r="Z28" s="218"/>
      <c r="AA28" s="26"/>
      <c r="AB28" s="26"/>
    </row>
    <row r="29" spans="2:28" s="10" customFormat="1" ht="15.95" customHeight="1" x14ac:dyDescent="0.25">
      <c r="C29" s="10" t="s">
        <v>1098</v>
      </c>
      <c r="J29" s="26"/>
      <c r="K29" s="26"/>
      <c r="M29" s="313"/>
      <c r="N29" s="402"/>
      <c r="O29" s="402"/>
      <c r="P29" s="402"/>
      <c r="Q29" s="402"/>
      <c r="R29" s="402"/>
      <c r="S29" s="402"/>
      <c r="T29" s="402"/>
      <c r="U29" s="402"/>
      <c r="V29" s="402"/>
      <c r="W29" s="402"/>
      <c r="X29" s="313"/>
      <c r="Y29" s="313"/>
      <c r="Z29" s="313"/>
    </row>
    <row r="30" spans="2:28" s="10" customFormat="1" ht="15.95" customHeight="1" x14ac:dyDescent="0.25">
      <c r="C30" s="69" t="s">
        <v>1099</v>
      </c>
      <c r="I30" s="10" t="s">
        <v>337</v>
      </c>
      <c r="J30" s="88">
        <f>T30</f>
        <v>201500</v>
      </c>
      <c r="K30" s="26"/>
      <c r="M30" s="313"/>
      <c r="N30" s="402"/>
      <c r="O30" s="402"/>
      <c r="P30" s="402"/>
      <c r="Q30" s="402"/>
      <c r="R30" s="402"/>
      <c r="S30" s="405" t="s">
        <v>1082</v>
      </c>
      <c r="T30" s="409">
        <v>201500</v>
      </c>
      <c r="U30" s="402"/>
      <c r="V30" s="402"/>
      <c r="W30" s="402"/>
      <c r="X30" s="313"/>
      <c r="Y30" s="313"/>
      <c r="Z30" s="313"/>
    </row>
    <row r="31" spans="2:28" s="10" customFormat="1" ht="15.95" customHeight="1" x14ac:dyDescent="0.25">
      <c r="C31" s="69" t="s">
        <v>1100</v>
      </c>
      <c r="I31" s="10" t="s">
        <v>337</v>
      </c>
      <c r="J31" s="90">
        <f>-T31</f>
        <v>-37500</v>
      </c>
      <c r="K31" s="26"/>
      <c r="L31" s="176"/>
      <c r="M31" s="313"/>
      <c r="N31" s="402"/>
      <c r="O31" s="402"/>
      <c r="P31" s="402"/>
      <c r="Q31" s="402"/>
      <c r="R31" s="402"/>
      <c r="S31" s="405" t="s">
        <v>1094</v>
      </c>
      <c r="T31" s="409">
        <v>37500</v>
      </c>
      <c r="U31" s="402"/>
      <c r="V31" s="402"/>
      <c r="W31" s="402"/>
      <c r="X31" s="313"/>
      <c r="Y31" s="313"/>
      <c r="Z31" s="313"/>
    </row>
    <row r="32" spans="2:28" s="10" customFormat="1" ht="15.95" customHeight="1" x14ac:dyDescent="0.25">
      <c r="C32" s="69" t="s">
        <v>1101</v>
      </c>
      <c r="I32" s="10" t="s">
        <v>337</v>
      </c>
      <c r="J32" s="26" t="s">
        <v>337</v>
      </c>
      <c r="K32" s="26"/>
      <c r="L32" s="89">
        <f>SUM(J30:J31)</f>
        <v>164000</v>
      </c>
      <c r="M32" s="313"/>
      <c r="N32" s="402"/>
      <c r="O32" s="402"/>
      <c r="P32" s="402"/>
      <c r="Q32" s="402"/>
      <c r="R32" s="402"/>
      <c r="S32" s="402"/>
      <c r="T32" s="402"/>
      <c r="U32" s="402"/>
      <c r="V32" s="402"/>
      <c r="W32" s="402"/>
      <c r="X32" s="313"/>
      <c r="Y32" s="313"/>
      <c r="Z32" s="313"/>
    </row>
    <row r="33" spans="2:26" s="10" customFormat="1" ht="9.9499999999999993" customHeight="1" x14ac:dyDescent="0.25">
      <c r="J33" s="26"/>
      <c r="K33" s="26"/>
      <c r="M33" s="313"/>
      <c r="N33" s="402"/>
      <c r="O33" s="402"/>
      <c r="P33" s="402"/>
      <c r="Q33" s="402"/>
      <c r="R33" s="402"/>
      <c r="S33" s="402"/>
      <c r="T33" s="402"/>
      <c r="U33" s="402"/>
      <c r="V33" s="402"/>
      <c r="W33" s="402"/>
      <c r="X33" s="313"/>
      <c r="Y33" s="313"/>
      <c r="Z33" s="313"/>
    </row>
    <row r="34" spans="2:26" s="10" customFormat="1" ht="15.95" customHeight="1" x14ac:dyDescent="0.25">
      <c r="B34" s="11" t="s">
        <v>759</v>
      </c>
      <c r="C34" s="71" t="s">
        <v>615</v>
      </c>
      <c r="M34" s="313"/>
      <c r="N34" s="402"/>
      <c r="O34" s="402"/>
      <c r="P34" s="402"/>
      <c r="Q34" s="402"/>
      <c r="R34" s="402"/>
      <c r="S34" s="402"/>
      <c r="T34" s="402"/>
      <c r="U34" s="402"/>
      <c r="V34" s="402"/>
      <c r="W34" s="402"/>
      <c r="X34" s="313"/>
      <c r="Y34" s="313"/>
      <c r="Z34" s="313"/>
    </row>
    <row r="35" spans="2:26" s="10" customFormat="1" ht="15.95" customHeight="1" x14ac:dyDescent="0.25">
      <c r="C35" s="71" t="s">
        <v>616</v>
      </c>
      <c r="M35" s="313"/>
      <c r="N35" s="402"/>
      <c r="O35" s="402"/>
      <c r="P35" s="402"/>
      <c r="Q35" s="402"/>
      <c r="R35" s="402"/>
      <c r="S35" s="402"/>
      <c r="T35" s="402"/>
      <c r="U35" s="402"/>
      <c r="V35" s="402"/>
      <c r="W35" s="402"/>
      <c r="X35" s="313"/>
      <c r="Y35" s="313"/>
      <c r="Z35" s="313"/>
    </row>
    <row r="36" spans="2:26" s="10" customFormat="1" ht="15.95" customHeight="1" x14ac:dyDescent="0.25">
      <c r="C36" s="71" t="s">
        <v>617</v>
      </c>
      <c r="M36" s="313"/>
      <c r="N36" s="402"/>
      <c r="O36" s="402"/>
      <c r="P36" s="402"/>
      <c r="Q36" s="402"/>
      <c r="R36" s="402"/>
      <c r="S36" s="402"/>
      <c r="T36" s="402"/>
      <c r="U36" s="402"/>
      <c r="V36" s="402"/>
      <c r="W36" s="402"/>
      <c r="X36" s="313"/>
      <c r="Y36" s="313"/>
      <c r="Z36" s="313"/>
    </row>
    <row r="37" spans="2:26" s="10" customFormat="1" ht="15.95" customHeight="1" x14ac:dyDescent="0.25">
      <c r="C37" s="10" t="s">
        <v>618</v>
      </c>
      <c r="M37" s="313"/>
      <c r="N37" s="402"/>
      <c r="O37" s="402"/>
      <c r="P37" s="402"/>
      <c r="Q37" s="402"/>
      <c r="R37" s="402"/>
      <c r="S37" s="402"/>
      <c r="T37" s="402"/>
      <c r="U37" s="402"/>
      <c r="V37" s="402"/>
      <c r="W37" s="402"/>
      <c r="X37" s="313"/>
      <c r="Y37" s="313"/>
      <c r="Z37" s="313"/>
    </row>
    <row r="38" spans="2:26" s="10" customFormat="1" ht="15.95" customHeight="1" x14ac:dyDescent="0.25">
      <c r="C38" s="10" t="s">
        <v>620</v>
      </c>
      <c r="M38" s="313"/>
      <c r="N38" s="402"/>
      <c r="O38" s="402"/>
      <c r="P38" s="402"/>
      <c r="Q38" s="402"/>
      <c r="R38" s="402"/>
      <c r="S38" s="402"/>
      <c r="T38" s="402"/>
      <c r="U38" s="402"/>
      <c r="V38" s="402"/>
      <c r="W38" s="402"/>
      <c r="X38" s="313"/>
      <c r="Y38" s="313"/>
      <c r="Z38" s="313"/>
    </row>
    <row r="39" spans="2:26" s="10" customFormat="1" ht="15.95" customHeight="1" x14ac:dyDescent="0.25">
      <c r="C39" s="10" t="s">
        <v>619</v>
      </c>
      <c r="M39" s="313"/>
      <c r="N39" s="402"/>
      <c r="O39" s="402"/>
      <c r="P39" s="402"/>
      <c r="Q39" s="402"/>
      <c r="R39" s="402"/>
      <c r="S39" s="402"/>
      <c r="T39" s="402"/>
      <c r="U39" s="402"/>
      <c r="V39" s="402"/>
      <c r="W39" s="402"/>
      <c r="X39" s="313"/>
      <c r="Y39" s="313"/>
      <c r="Z39" s="313"/>
    </row>
    <row r="40" spans="2:26" s="10" customFormat="1" ht="5.0999999999999996" customHeight="1" x14ac:dyDescent="0.25">
      <c r="M40" s="313"/>
      <c r="N40" s="402"/>
      <c r="O40" s="402"/>
      <c r="P40" s="402"/>
      <c r="Q40" s="402"/>
      <c r="R40" s="402"/>
      <c r="S40" s="402"/>
      <c r="T40" s="402"/>
      <c r="U40" s="402"/>
      <c r="V40" s="402"/>
      <c r="W40" s="402"/>
      <c r="X40" s="313"/>
      <c r="Y40" s="313"/>
      <c r="Z40" s="313"/>
    </row>
    <row r="41" spans="2:26" s="10" customFormat="1" ht="15.95" customHeight="1" x14ac:dyDescent="0.25">
      <c r="C41" s="10" t="s">
        <v>337</v>
      </c>
      <c r="M41" s="313"/>
      <c r="N41" s="402"/>
      <c r="O41" s="402"/>
      <c r="P41" s="402"/>
      <c r="Q41" s="402"/>
      <c r="R41" s="402"/>
      <c r="S41" s="402"/>
      <c r="T41" s="402"/>
      <c r="U41" s="402"/>
      <c r="V41" s="402"/>
      <c r="W41" s="402"/>
      <c r="X41" s="313"/>
      <c r="Y41" s="313"/>
      <c r="Z41" s="313"/>
    </row>
    <row r="42" spans="2:26" s="10" customFormat="1" ht="15.95" customHeight="1" x14ac:dyDescent="0.25">
      <c r="M42" s="313"/>
      <c r="N42" s="402"/>
      <c r="O42" s="402"/>
      <c r="P42" s="402"/>
      <c r="Q42" s="402"/>
      <c r="R42" s="402"/>
      <c r="S42" s="402"/>
      <c r="T42" s="402"/>
      <c r="U42" s="402"/>
      <c r="V42" s="402"/>
      <c r="W42" s="402"/>
      <c r="X42" s="313"/>
      <c r="Y42" s="313"/>
      <c r="Z42" s="313"/>
    </row>
    <row r="43" spans="2:26" s="10" customFormat="1" ht="15.95" customHeight="1" x14ac:dyDescent="0.25">
      <c r="M43" s="313"/>
      <c r="N43" s="402"/>
      <c r="O43" s="402"/>
      <c r="P43" s="402"/>
      <c r="Q43" s="402"/>
      <c r="R43" s="402"/>
      <c r="S43" s="402"/>
      <c r="T43" s="402"/>
      <c r="U43" s="402"/>
      <c r="V43" s="402"/>
      <c r="W43" s="402"/>
      <c r="X43" s="313"/>
      <c r="Y43" s="313"/>
      <c r="Z43" s="313"/>
    </row>
    <row r="44" spans="2:26" s="10" customFormat="1" ht="15" customHeight="1" x14ac:dyDescent="0.25">
      <c r="M44" s="313"/>
      <c r="N44" s="402"/>
      <c r="O44" s="402"/>
      <c r="P44" s="402"/>
      <c r="Q44" s="402"/>
      <c r="R44" s="402"/>
      <c r="S44" s="402"/>
      <c r="T44" s="402"/>
      <c r="U44" s="402"/>
      <c r="V44" s="402"/>
      <c r="W44" s="402"/>
      <c r="X44" s="313"/>
      <c r="Y44" s="313"/>
      <c r="Z44" s="313"/>
    </row>
    <row r="45" spans="2:26" s="10" customFormat="1" ht="15" customHeight="1" x14ac:dyDescent="0.25">
      <c r="M45" s="313"/>
      <c r="N45" s="402"/>
      <c r="O45" s="402"/>
      <c r="P45" s="402"/>
      <c r="Q45" s="402"/>
      <c r="R45" s="402"/>
      <c r="S45" s="402"/>
      <c r="T45" s="402"/>
      <c r="U45" s="402"/>
      <c r="V45" s="402"/>
      <c r="W45" s="402"/>
      <c r="X45" s="313"/>
      <c r="Y45" s="313"/>
      <c r="Z45" s="313"/>
    </row>
    <row r="46" spans="2:26" s="10" customFormat="1" ht="15" customHeight="1" x14ac:dyDescent="0.25">
      <c r="M46" s="313"/>
      <c r="N46" s="402"/>
      <c r="O46" s="402"/>
      <c r="P46" s="402"/>
      <c r="Q46" s="402"/>
      <c r="R46" s="402"/>
      <c r="S46" s="402"/>
      <c r="T46" s="402"/>
      <c r="U46" s="402"/>
      <c r="V46" s="402"/>
      <c r="W46" s="402"/>
      <c r="X46" s="313"/>
      <c r="Y46" s="313"/>
      <c r="Z46" s="313"/>
    </row>
    <row r="47" spans="2:26" s="10" customFormat="1" ht="15" customHeight="1" x14ac:dyDescent="0.25">
      <c r="M47" s="313"/>
      <c r="N47" s="402"/>
      <c r="O47" s="402"/>
      <c r="P47" s="402"/>
      <c r="Q47" s="402"/>
      <c r="R47" s="402"/>
      <c r="S47" s="402"/>
      <c r="T47" s="402"/>
      <c r="U47" s="402"/>
      <c r="V47" s="402"/>
      <c r="W47" s="402"/>
      <c r="X47" s="313"/>
      <c r="Y47" s="313"/>
      <c r="Z47" s="313"/>
    </row>
    <row r="48" spans="2:26" s="10" customFormat="1" ht="15" customHeight="1" x14ac:dyDescent="0.25">
      <c r="M48" s="313"/>
      <c r="N48" s="402"/>
      <c r="O48" s="402"/>
      <c r="P48" s="402"/>
      <c r="Q48" s="402"/>
      <c r="R48" s="402"/>
      <c r="S48" s="402"/>
      <c r="T48" s="402"/>
      <c r="U48" s="402"/>
      <c r="V48" s="402"/>
      <c r="W48" s="402"/>
      <c r="X48" s="313"/>
      <c r="Y48" s="313"/>
      <c r="Z48" s="313"/>
    </row>
    <row r="49" spans="13:28" s="10" customFormat="1" ht="15" customHeight="1" x14ac:dyDescent="0.25">
      <c r="M49" s="313"/>
      <c r="N49" s="402"/>
      <c r="O49" s="402"/>
      <c r="P49" s="402"/>
      <c r="Q49" s="402"/>
      <c r="R49" s="402"/>
      <c r="S49" s="402"/>
      <c r="T49" s="402"/>
      <c r="U49" s="402"/>
      <c r="V49" s="402"/>
      <c r="W49" s="402"/>
      <c r="X49" s="313"/>
      <c r="Y49" s="313"/>
      <c r="Z49" s="313"/>
    </row>
    <row r="50" spans="13:28" s="10" customFormat="1" ht="15" customHeight="1" x14ac:dyDescent="0.25">
      <c r="M50" s="313"/>
      <c r="N50" s="402"/>
      <c r="O50" s="402"/>
      <c r="P50" s="402"/>
      <c r="Q50" s="402"/>
      <c r="R50" s="402"/>
      <c r="S50" s="402"/>
      <c r="T50" s="402"/>
      <c r="U50" s="402"/>
      <c r="V50" s="402"/>
      <c r="W50" s="402"/>
      <c r="X50" s="313"/>
      <c r="Y50" s="313"/>
      <c r="Z50" s="313"/>
    </row>
    <row r="51" spans="13:28" s="10" customFormat="1" ht="15" customHeight="1" x14ac:dyDescent="0.25">
      <c r="M51" s="313"/>
      <c r="N51" s="402"/>
      <c r="O51" s="402"/>
      <c r="P51" s="402"/>
      <c r="Q51" s="402"/>
      <c r="R51" s="402"/>
      <c r="S51" s="402"/>
      <c r="T51" s="402"/>
      <c r="U51" s="402"/>
      <c r="V51" s="402"/>
      <c r="W51" s="402"/>
      <c r="X51" s="313"/>
      <c r="Y51" s="313"/>
      <c r="Z51" s="313"/>
    </row>
    <row r="52" spans="13:28" ht="15.75" x14ac:dyDescent="0.25">
      <c r="V52" s="402"/>
      <c r="W52" s="402"/>
      <c r="X52" s="313"/>
      <c r="Y52" s="313"/>
      <c r="Z52" s="313"/>
      <c r="AB52" s="10"/>
    </row>
  </sheetData>
  <customSheetViews>
    <customSheetView guid="{B2DDA8C4-3089-41F7-BA6E-A0E09596A2CA}" scale="70" showPageBreaks="1" fitToPage="1" printArea="1"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zoomScale="70" zoomScaleNormal="70" workbookViewId="0">
      <selection activeCell="C1" sqref="C1"/>
    </sheetView>
  </sheetViews>
  <sheetFormatPr defaultRowHeight="12.75" x14ac:dyDescent="0.2"/>
  <cols>
    <col min="1" max="1" width="1.7109375" style="2" customWidth="1"/>
    <col min="2" max="4" width="4.7109375" style="2" customWidth="1"/>
    <col min="5" max="5" width="1" style="2" customWidth="1"/>
    <col min="6" max="6" width="4.7109375" style="2" customWidth="1"/>
    <col min="7" max="7" width="8.28515625" style="2" customWidth="1"/>
    <col min="8" max="8" width="3.5703125" style="2" customWidth="1"/>
    <col min="9" max="9" width="6" style="2" customWidth="1"/>
    <col min="10" max="11" width="3.42578125" style="2" customWidth="1"/>
    <col min="12" max="12" width="4" style="2" customWidth="1"/>
    <col min="13" max="13" width="12.140625" style="2" customWidth="1"/>
    <col min="14" max="14" width="1.42578125" style="2" customWidth="1"/>
    <col min="15" max="15" width="12.7109375" style="2" customWidth="1"/>
    <col min="16" max="16" width="1.7109375" style="2" customWidth="1"/>
    <col min="17" max="17" width="12.7109375" style="2" customWidth="1"/>
    <col min="18" max="18" width="12.7109375" style="312" customWidth="1"/>
    <col min="19" max="19" width="2.7109375" style="312" customWidth="1"/>
    <col min="20" max="20" width="8.7109375" style="407" hidden="1" customWidth="1"/>
    <col min="21" max="21" width="2.7109375" style="407" hidden="1" customWidth="1"/>
    <col min="22" max="22" width="8.7109375" style="407" hidden="1" customWidth="1"/>
    <col min="23" max="23" width="2.7109375" style="407" hidden="1" customWidth="1"/>
    <col min="24" max="24" width="9.85546875" style="407" hidden="1" customWidth="1"/>
    <col min="25" max="25" width="2.7109375" style="407" hidden="1" customWidth="1"/>
    <col min="26" max="26" width="8.7109375" style="407" hidden="1" customWidth="1"/>
    <col min="27" max="27" width="2.7109375" style="407" hidden="1" customWidth="1"/>
    <col min="28" max="28" width="8.7109375" style="407" hidden="1" customWidth="1"/>
    <col min="29" max="29" width="9.140625" style="312"/>
    <col min="30" max="30" width="7.28515625" style="312" customWidth="1"/>
    <col min="31" max="31" width="16.28515625" style="312" customWidth="1"/>
    <col min="32" max="32" width="12.7109375" style="312" bestFit="1" customWidth="1"/>
    <col min="33" max="16384" width="9.140625" style="2"/>
  </cols>
  <sheetData>
    <row r="1" spans="2:33" ht="28.5" customHeight="1" x14ac:dyDescent="0.2"/>
    <row r="2" spans="2:33" ht="15.95" customHeight="1" x14ac:dyDescent="0.25">
      <c r="B2" s="10" t="s">
        <v>1179</v>
      </c>
      <c r="C2" s="10"/>
      <c r="Z2" s="443" t="s">
        <v>1681</v>
      </c>
      <c r="AA2" s="423"/>
      <c r="AC2" s="316"/>
      <c r="AD2" s="316"/>
      <c r="AE2" s="316"/>
      <c r="AF2" s="316"/>
      <c r="AG2" s="48"/>
    </row>
    <row r="3" spans="2:33" s="10" customFormat="1" ht="15.95" customHeight="1" x14ac:dyDescent="0.25">
      <c r="B3" s="10" t="s">
        <v>1103</v>
      </c>
      <c r="R3" s="313"/>
      <c r="S3" s="313"/>
      <c r="T3" s="402"/>
      <c r="U3" s="402"/>
      <c r="V3" s="402"/>
      <c r="W3" s="444" t="s">
        <v>1600</v>
      </c>
      <c r="X3" s="402"/>
      <c r="Y3" s="402"/>
      <c r="Z3" s="403"/>
      <c r="AA3" s="403"/>
      <c r="AB3" s="403"/>
      <c r="AC3" s="314"/>
      <c r="AD3" s="314"/>
      <c r="AE3" s="314"/>
      <c r="AF3" s="218"/>
      <c r="AG3" s="26"/>
    </row>
    <row r="4" spans="2:33" s="10" customFormat="1" ht="15.95" customHeight="1" x14ac:dyDescent="0.25">
      <c r="B4" s="69" t="s">
        <v>608</v>
      </c>
      <c r="P4" s="10" t="s">
        <v>337</v>
      </c>
      <c r="Q4" s="255">
        <f>X4</f>
        <v>892250</v>
      </c>
      <c r="R4" s="324"/>
      <c r="S4" s="313"/>
      <c r="T4" s="402"/>
      <c r="U4" s="402"/>
      <c r="V4" s="402"/>
      <c r="W4" s="405" t="s">
        <v>1601</v>
      </c>
      <c r="X4" s="409">
        <v>892250</v>
      </c>
      <c r="Y4" s="402"/>
      <c r="Z4" s="402"/>
      <c r="AA4" s="405" t="s">
        <v>1026</v>
      </c>
      <c r="AB4" s="409">
        <v>105600</v>
      </c>
      <c r="AC4" s="218"/>
      <c r="AD4" s="218"/>
      <c r="AE4" s="313"/>
      <c r="AF4" s="218"/>
      <c r="AG4" s="26"/>
    </row>
    <row r="5" spans="2:33" s="10" customFormat="1" ht="15.95" customHeight="1" x14ac:dyDescent="0.25">
      <c r="B5" s="69" t="s">
        <v>1104</v>
      </c>
      <c r="P5" s="10" t="s">
        <v>337</v>
      </c>
      <c r="Q5" s="89">
        <f>X5</f>
        <v>-990300</v>
      </c>
      <c r="R5" s="325"/>
      <c r="S5" s="313"/>
      <c r="T5" s="402"/>
      <c r="U5" s="402"/>
      <c r="V5" s="402"/>
      <c r="W5" s="405" t="s">
        <v>1602</v>
      </c>
      <c r="X5" s="409">
        <v>-990300</v>
      </c>
      <c r="Y5" s="402"/>
      <c r="Z5" s="402"/>
      <c r="AA5" s="405" t="s">
        <v>1604</v>
      </c>
      <c r="AB5" s="409">
        <v>650100</v>
      </c>
      <c r="AC5" s="218"/>
      <c r="AD5" s="218"/>
      <c r="AE5" s="313"/>
      <c r="AF5" s="218"/>
      <c r="AG5" s="26"/>
    </row>
    <row r="6" spans="2:33" s="10" customFormat="1" ht="15.95" customHeight="1" x14ac:dyDescent="0.25">
      <c r="B6" s="69" t="s">
        <v>1105</v>
      </c>
      <c r="P6" s="10" t="s">
        <v>337</v>
      </c>
      <c r="Q6" s="43">
        <f>X6</f>
        <v>108400</v>
      </c>
      <c r="R6" s="326"/>
      <c r="S6" s="313"/>
      <c r="T6" s="402"/>
      <c r="U6" s="402"/>
      <c r="V6" s="402"/>
      <c r="W6" s="405" t="s">
        <v>1603</v>
      </c>
      <c r="X6" s="409">
        <v>108400</v>
      </c>
      <c r="Y6" s="402"/>
      <c r="Z6" s="402"/>
      <c r="AA6" s="405" t="s">
        <v>1605</v>
      </c>
      <c r="AB6" s="409">
        <v>578600</v>
      </c>
      <c r="AC6" s="218"/>
      <c r="AD6" s="218"/>
      <c r="AE6" s="313"/>
      <c r="AF6" s="218"/>
      <c r="AG6" s="26"/>
    </row>
    <row r="7" spans="2:33" s="10" customFormat="1" ht="15.95" customHeight="1" x14ac:dyDescent="0.25">
      <c r="B7" s="69" t="s">
        <v>1106</v>
      </c>
      <c r="P7" s="10" t="s">
        <v>337</v>
      </c>
      <c r="Q7" s="254">
        <f>SUM(Q4:Q6)</f>
        <v>10350</v>
      </c>
      <c r="R7" s="327"/>
      <c r="S7" s="313"/>
      <c r="T7" s="402"/>
      <c r="U7" s="402"/>
      <c r="V7" s="402"/>
      <c r="W7" s="402"/>
      <c r="X7" s="402"/>
      <c r="Y7" s="402"/>
      <c r="Z7" s="402"/>
      <c r="AA7" s="405" t="s">
        <v>938</v>
      </c>
      <c r="AB7" s="409">
        <v>30000</v>
      </c>
      <c r="AC7" s="218"/>
      <c r="AD7" s="218"/>
      <c r="AE7" s="313"/>
      <c r="AF7" s="218"/>
      <c r="AG7" s="26"/>
    </row>
    <row r="8" spans="2:33" s="10" customFormat="1" ht="15.95" customHeight="1" x14ac:dyDescent="0.25">
      <c r="B8" s="69" t="s">
        <v>1160</v>
      </c>
      <c r="P8" s="10" t="s">
        <v>337</v>
      </c>
      <c r="Q8" s="43">
        <f>V8</f>
        <v>20400</v>
      </c>
      <c r="R8" s="326"/>
      <c r="S8" s="313"/>
      <c r="T8" s="402"/>
      <c r="U8" s="445" t="s">
        <v>1166</v>
      </c>
      <c r="V8" s="409">
        <v>20400</v>
      </c>
      <c r="W8" s="446"/>
      <c r="X8" s="402"/>
      <c r="Y8" s="402"/>
      <c r="Z8" s="402"/>
      <c r="AA8" s="402"/>
      <c r="AB8" s="402"/>
      <c r="AC8" s="218"/>
      <c r="AD8" s="218"/>
      <c r="AE8" s="313"/>
      <c r="AF8" s="218"/>
      <c r="AG8" s="26"/>
    </row>
    <row r="9" spans="2:33" s="10" customFormat="1" ht="17.25" customHeight="1" thickBot="1" x14ac:dyDescent="0.3">
      <c r="B9" s="69" t="s">
        <v>1161</v>
      </c>
      <c r="P9" s="10" t="s">
        <v>337</v>
      </c>
      <c r="Q9" s="287">
        <f>SUM(Q7:Q8)</f>
        <v>30750</v>
      </c>
      <c r="R9" s="327"/>
      <c r="S9" s="313"/>
      <c r="T9" s="402"/>
      <c r="U9" s="402"/>
      <c r="V9" s="402"/>
      <c r="W9" s="402"/>
      <c r="X9" s="402"/>
      <c r="Y9" s="402"/>
      <c r="Z9" s="402"/>
      <c r="AA9" s="402"/>
      <c r="AB9" s="402"/>
      <c r="AC9" s="218"/>
      <c r="AD9" s="218"/>
      <c r="AE9" s="313"/>
      <c r="AF9" s="218"/>
      <c r="AG9" s="26"/>
    </row>
    <row r="10" spans="2:33" s="10" customFormat="1" ht="9.9499999999999993" customHeight="1" thickTop="1" x14ac:dyDescent="0.25">
      <c r="Q10" s="26"/>
      <c r="R10" s="218"/>
      <c r="S10" s="313"/>
      <c r="T10" s="402"/>
      <c r="U10" s="402"/>
      <c r="V10" s="402"/>
      <c r="W10" s="402"/>
      <c r="X10" s="402"/>
      <c r="Y10" s="402"/>
      <c r="Z10" s="402"/>
      <c r="AA10" s="402"/>
      <c r="AB10" s="402"/>
      <c r="AC10" s="218"/>
      <c r="AD10" s="218"/>
      <c r="AE10" s="313"/>
      <c r="AF10" s="218"/>
      <c r="AG10" s="26"/>
    </row>
    <row r="11" spans="2:33" s="10" customFormat="1" ht="15.95" customHeight="1" x14ac:dyDescent="0.25">
      <c r="B11" s="10" t="s">
        <v>1162</v>
      </c>
      <c r="Q11" s="26"/>
      <c r="R11" s="218"/>
      <c r="S11" s="313"/>
      <c r="T11" s="402"/>
      <c r="U11" s="402"/>
      <c r="V11" s="402"/>
      <c r="W11" s="402"/>
      <c r="X11" s="402"/>
      <c r="Y11" s="402"/>
      <c r="Z11" s="402"/>
      <c r="AA11" s="402"/>
      <c r="AB11" s="402"/>
      <c r="AC11" s="218"/>
      <c r="AD11" s="218"/>
      <c r="AE11" s="313"/>
      <c r="AF11" s="218"/>
      <c r="AG11" s="26"/>
    </row>
    <row r="12" spans="2:33" s="10" customFormat="1" ht="15.95" customHeight="1" x14ac:dyDescent="0.25">
      <c r="B12" s="69" t="s">
        <v>1163</v>
      </c>
      <c r="P12" s="10" t="s">
        <v>337</v>
      </c>
      <c r="Q12" s="255">
        <f>T12</f>
        <v>105600</v>
      </c>
      <c r="R12" s="324"/>
      <c r="S12" s="313"/>
      <c r="T12" s="410">
        <f>AB4</f>
        <v>105600</v>
      </c>
      <c r="U12" s="446" t="s">
        <v>1674</v>
      </c>
      <c r="V12" s="402"/>
      <c r="W12" s="402"/>
      <c r="X12" s="402"/>
      <c r="Y12" s="402"/>
      <c r="Z12" s="402"/>
      <c r="AA12" s="402"/>
      <c r="AB12" s="402"/>
      <c r="AC12" s="218"/>
      <c r="AD12" s="218"/>
      <c r="AE12" s="218"/>
      <c r="AF12" s="218"/>
      <c r="AG12" s="26"/>
    </row>
    <row r="13" spans="2:33" s="10" customFormat="1" ht="15.95" customHeight="1" x14ac:dyDescent="0.25">
      <c r="B13" s="69" t="str">
        <f>CONCATENATE("Add: 2013 net income (",TEXT(T13,"$#,##0"),U13,TEXT(V13,"$#,##0"),")….…………………….…………………………………………………………………….……………………………………………………..")</f>
        <v>Add: 2013 net income ($650,100 – $578,600)….…………………….…………………………………………………………………….……………………………………………………..</v>
      </c>
      <c r="P13" s="10" t="s">
        <v>337</v>
      </c>
      <c r="Q13" s="42">
        <f>X13</f>
        <v>71500</v>
      </c>
      <c r="R13" s="326"/>
      <c r="S13" s="313"/>
      <c r="T13" s="410">
        <f>AB5</f>
        <v>650100</v>
      </c>
      <c r="U13" s="410" t="s">
        <v>1589</v>
      </c>
      <c r="V13" s="410">
        <f>AB6</f>
        <v>578600</v>
      </c>
      <c r="W13" s="410" t="s">
        <v>1587</v>
      </c>
      <c r="X13" s="410">
        <f>SUM(T13-V13)</f>
        <v>71500</v>
      </c>
      <c r="Y13" s="446" t="s">
        <v>1675</v>
      </c>
      <c r="Z13" s="402"/>
      <c r="AA13" s="402"/>
      <c r="AB13" s="402"/>
      <c r="AC13" s="313"/>
      <c r="AD13" s="218"/>
      <c r="AE13" s="218"/>
      <c r="AF13" s="218"/>
      <c r="AG13" s="26"/>
    </row>
    <row r="14" spans="2:33" s="10" customFormat="1" ht="15.95" customHeight="1" x14ac:dyDescent="0.25">
      <c r="B14" s="69" t="s">
        <v>1164</v>
      </c>
      <c r="P14" s="10" t="s">
        <v>337</v>
      </c>
      <c r="Q14" s="89">
        <f>T14</f>
        <v>-30000</v>
      </c>
      <c r="R14" s="325"/>
      <c r="S14" s="313"/>
      <c r="T14" s="410">
        <f>-AB7</f>
        <v>-30000</v>
      </c>
      <c r="U14" s="446" t="s">
        <v>1674</v>
      </c>
      <c r="V14" s="402"/>
      <c r="W14" s="402"/>
      <c r="X14" s="402"/>
      <c r="Y14" s="402"/>
      <c r="Z14" s="402"/>
      <c r="AA14" s="402"/>
      <c r="AB14" s="402"/>
      <c r="AC14" s="218"/>
      <c r="AD14" s="218"/>
      <c r="AE14" s="218"/>
      <c r="AF14" s="218"/>
      <c r="AG14" s="26"/>
    </row>
    <row r="15" spans="2:33" s="10" customFormat="1" ht="15.95" customHeight="1" thickBot="1" x14ac:dyDescent="0.3">
      <c r="B15" s="69" t="s">
        <v>1165</v>
      </c>
      <c r="P15" s="10" t="s">
        <v>337</v>
      </c>
      <c r="Q15" s="256">
        <f>SUM(Q12:Q14)</f>
        <v>147100</v>
      </c>
      <c r="R15" s="324"/>
      <c r="S15" s="313"/>
      <c r="T15" s="402"/>
      <c r="U15" s="402"/>
      <c r="V15" s="402"/>
      <c r="W15" s="402"/>
      <c r="X15" s="402"/>
      <c r="Y15" s="402"/>
      <c r="Z15" s="402"/>
      <c r="AA15" s="402"/>
      <c r="AB15" s="402"/>
      <c r="AC15" s="218"/>
      <c r="AD15" s="218"/>
      <c r="AE15" s="218"/>
      <c r="AF15" s="218"/>
      <c r="AG15" s="26"/>
    </row>
    <row r="16" spans="2:33" s="10" customFormat="1" ht="15.95" customHeight="1" thickTop="1" x14ac:dyDescent="0.25">
      <c r="Q16" s="26"/>
      <c r="R16" s="218"/>
      <c r="S16" s="313"/>
      <c r="T16" s="402"/>
      <c r="U16" s="402"/>
      <c r="V16" s="402"/>
      <c r="W16" s="402"/>
      <c r="X16" s="402"/>
      <c r="Y16" s="402"/>
      <c r="Z16" s="417" t="s">
        <v>1681</v>
      </c>
      <c r="AA16" s="402"/>
      <c r="AB16" s="402"/>
      <c r="AC16" s="218"/>
      <c r="AD16" s="218"/>
      <c r="AE16" s="218"/>
      <c r="AF16" s="218"/>
      <c r="AG16" s="26"/>
    </row>
    <row r="17" spans="1:33" s="10" customFormat="1" ht="15.95" customHeight="1" x14ac:dyDescent="0.25">
      <c r="B17" s="10" t="s">
        <v>1180</v>
      </c>
      <c r="R17" s="313"/>
      <c r="S17" s="313"/>
      <c r="T17" s="402"/>
      <c r="U17" s="402"/>
      <c r="V17" s="402"/>
      <c r="W17" s="413" t="s">
        <v>1608</v>
      </c>
      <c r="X17" s="402"/>
      <c r="Y17" s="402"/>
      <c r="Z17" s="402"/>
      <c r="AA17" s="413" t="s">
        <v>1606</v>
      </c>
      <c r="AB17" s="402"/>
      <c r="AC17" s="218"/>
      <c r="AD17" s="218"/>
      <c r="AE17" s="218"/>
      <c r="AF17" s="218"/>
      <c r="AG17" s="26"/>
    </row>
    <row r="18" spans="1:33" s="10" customFormat="1" ht="15.95" customHeight="1" x14ac:dyDescent="0.25">
      <c r="B18" s="10" t="s">
        <v>907</v>
      </c>
      <c r="R18" s="313"/>
      <c r="S18" s="313"/>
      <c r="T18" s="402"/>
      <c r="U18" s="402"/>
      <c r="V18" s="402"/>
      <c r="W18" s="445" t="s">
        <v>1127</v>
      </c>
      <c r="X18" s="409">
        <v>82400</v>
      </c>
      <c r="Y18" s="402"/>
      <c r="Z18" s="402"/>
      <c r="AA18" s="445" t="s">
        <v>1127</v>
      </c>
      <c r="AB18" s="409">
        <v>50000</v>
      </c>
      <c r="AC18" s="218"/>
      <c r="AD18" s="218"/>
      <c r="AE18" s="218"/>
      <c r="AF18" s="218"/>
      <c r="AG18" s="26"/>
    </row>
    <row r="19" spans="1:33" s="10" customFormat="1" ht="15.95" customHeight="1" x14ac:dyDescent="0.25">
      <c r="B19" s="10" t="s">
        <v>908</v>
      </c>
      <c r="R19" s="313"/>
      <c r="S19" s="313"/>
      <c r="T19" s="402"/>
      <c r="U19" s="402"/>
      <c r="V19" s="402"/>
      <c r="W19" s="445" t="s">
        <v>1128</v>
      </c>
      <c r="X19" s="409">
        <v>88500</v>
      </c>
      <c r="Y19" s="402"/>
      <c r="Z19" s="402"/>
      <c r="AA19" s="445" t="s">
        <v>1128</v>
      </c>
      <c r="AB19" s="409">
        <v>50000</v>
      </c>
      <c r="AC19" s="313"/>
      <c r="AD19" s="313"/>
      <c r="AE19" s="218"/>
      <c r="AF19" s="313"/>
      <c r="AG19" s="26"/>
    </row>
    <row r="20" spans="1:33" s="10" customFormat="1" ht="5.0999999999999996" customHeight="1" x14ac:dyDescent="0.25">
      <c r="R20" s="313"/>
      <c r="S20" s="313"/>
      <c r="T20" s="402"/>
      <c r="U20" s="402"/>
      <c r="V20" s="402"/>
      <c r="W20" s="402"/>
      <c r="X20" s="402"/>
      <c r="Y20" s="402"/>
      <c r="Z20" s="402"/>
      <c r="AA20" s="405"/>
      <c r="AB20" s="447"/>
      <c r="AC20" s="313"/>
      <c r="AD20" s="313"/>
      <c r="AE20" s="218"/>
      <c r="AF20" s="313"/>
      <c r="AG20" s="26"/>
    </row>
    <row r="21" spans="1:33" s="10" customFormat="1" ht="15.95" customHeight="1" x14ac:dyDescent="0.25">
      <c r="E21" s="357" t="s">
        <v>909</v>
      </c>
      <c r="F21" s="357"/>
      <c r="G21" s="357"/>
      <c r="H21" s="91" t="s">
        <v>111</v>
      </c>
      <c r="I21" s="357" t="s">
        <v>1491</v>
      </c>
      <c r="J21" s="357"/>
      <c r="K21" s="357"/>
      <c r="L21" s="14" t="s">
        <v>1504</v>
      </c>
      <c r="M21" s="92" t="s">
        <v>1505</v>
      </c>
      <c r="N21" s="92"/>
      <c r="R21" s="313"/>
      <c r="S21" s="313"/>
      <c r="T21" s="402"/>
      <c r="U21" s="402"/>
      <c r="V21" s="402"/>
      <c r="W21" s="413" t="s">
        <v>1607</v>
      </c>
      <c r="X21" s="402"/>
      <c r="Y21" s="402"/>
      <c r="Z21" s="402"/>
      <c r="AA21" s="402"/>
      <c r="AB21" s="402"/>
      <c r="AC21" s="313"/>
      <c r="AD21" s="313"/>
      <c r="AE21" s="218"/>
      <c r="AF21" s="313"/>
      <c r="AG21" s="26"/>
    </row>
    <row r="22" spans="1:33" s="10" customFormat="1" ht="15.95" customHeight="1" x14ac:dyDescent="0.25">
      <c r="D22" s="38" t="s">
        <v>1127</v>
      </c>
      <c r="E22" s="387">
        <f>X18</f>
        <v>82400</v>
      </c>
      <c r="F22" s="387"/>
      <c r="G22" s="387"/>
      <c r="H22" s="91" t="s">
        <v>111</v>
      </c>
      <c r="I22" s="387">
        <f>X22</f>
        <v>9200</v>
      </c>
      <c r="J22" s="387"/>
      <c r="K22" s="387"/>
      <c r="L22" s="14" t="s">
        <v>1504</v>
      </c>
      <c r="M22" s="15" t="str">
        <f>CONCATENATE("(",TEXT(AB19,"$#,##0")," + Retained Earnings)",)</f>
        <v>($50,000 + Retained Earnings)</v>
      </c>
      <c r="N22" s="15"/>
      <c r="R22" s="313"/>
      <c r="S22" s="313"/>
      <c r="T22" s="402"/>
      <c r="U22" s="402"/>
      <c r="V22" s="402"/>
      <c r="W22" s="445" t="s">
        <v>1127</v>
      </c>
      <c r="X22" s="409">
        <v>9200</v>
      </c>
      <c r="Y22" s="402"/>
      <c r="Z22" s="402"/>
      <c r="AA22" s="405" t="s">
        <v>1167</v>
      </c>
      <c r="AB22" s="409">
        <v>19500</v>
      </c>
      <c r="AC22" s="313"/>
      <c r="AD22" s="313"/>
      <c r="AE22" s="218"/>
      <c r="AF22" s="313"/>
      <c r="AG22" s="26"/>
    </row>
    <row r="23" spans="1:33" s="10" customFormat="1" ht="15.95" customHeight="1" x14ac:dyDescent="0.25">
      <c r="D23" s="38" t="s">
        <v>1128</v>
      </c>
      <c r="E23" s="387">
        <f>X19</f>
        <v>88500</v>
      </c>
      <c r="F23" s="387"/>
      <c r="G23" s="387"/>
      <c r="H23" s="91" t="s">
        <v>111</v>
      </c>
      <c r="I23" s="387">
        <f>X23</f>
        <v>11300</v>
      </c>
      <c r="J23" s="387"/>
      <c r="K23" s="387"/>
      <c r="L23" s="14" t="s">
        <v>1504</v>
      </c>
      <c r="M23" s="15" t="str">
        <f>CONCATENATE("(",TEXT(AB19,"$#,##0")," + Retained Earnings)",)</f>
        <v>($50,000 + Retained Earnings)</v>
      </c>
      <c r="N23" s="15"/>
      <c r="R23" s="313"/>
      <c r="S23" s="313"/>
      <c r="T23" s="402"/>
      <c r="U23" s="402"/>
      <c r="V23" s="402"/>
      <c r="W23" s="445" t="s">
        <v>1128</v>
      </c>
      <c r="X23" s="409">
        <v>11300</v>
      </c>
      <c r="Y23" s="402"/>
      <c r="Z23" s="402"/>
      <c r="AA23" s="402"/>
      <c r="AB23" s="402"/>
      <c r="AC23" s="313"/>
      <c r="AD23" s="313"/>
      <c r="AE23" s="218"/>
      <c r="AF23" s="313"/>
      <c r="AG23" s="26"/>
    </row>
    <row r="24" spans="1:33" s="10" customFormat="1" ht="9.9499999999999993" customHeight="1" x14ac:dyDescent="0.25">
      <c r="D24" s="93"/>
      <c r="E24" s="93"/>
      <c r="F24" s="93"/>
      <c r="G24" s="21"/>
      <c r="H24" s="21"/>
      <c r="I24" s="21"/>
      <c r="J24" s="14"/>
      <c r="K24" s="14"/>
      <c r="L24" s="21"/>
      <c r="M24" s="14"/>
      <c r="N24" s="14"/>
      <c r="R24" s="313"/>
      <c r="S24" s="313"/>
      <c r="T24" s="402"/>
      <c r="U24" s="402"/>
      <c r="V24" s="402"/>
      <c r="W24" s="402"/>
      <c r="X24" s="402"/>
      <c r="Y24" s="402"/>
      <c r="Z24" s="405"/>
      <c r="AA24" s="405"/>
      <c r="AB24" s="448"/>
      <c r="AC24" s="313"/>
      <c r="AD24" s="313"/>
      <c r="AE24" s="218"/>
      <c r="AF24" s="313"/>
      <c r="AG24" s="26"/>
    </row>
    <row r="25" spans="1:33" s="10" customFormat="1" ht="15.95" customHeight="1" x14ac:dyDescent="0.25">
      <c r="B25" s="10" t="s">
        <v>910</v>
      </c>
      <c r="R25" s="313"/>
      <c r="S25" s="313"/>
      <c r="T25" s="402"/>
      <c r="U25" s="402"/>
      <c r="V25" s="402"/>
      <c r="W25" s="402"/>
      <c r="X25" s="402"/>
      <c r="Y25" s="402"/>
      <c r="Z25" s="402"/>
      <c r="AA25" s="402"/>
      <c r="AB25" s="402"/>
      <c r="AC25" s="313"/>
      <c r="AD25" s="313"/>
      <c r="AE25" s="218"/>
      <c r="AF25" s="313"/>
      <c r="AG25" s="26"/>
    </row>
    <row r="26" spans="1:33" s="10" customFormat="1" ht="5.0999999999999996" customHeight="1" x14ac:dyDescent="0.25">
      <c r="R26" s="313"/>
      <c r="S26" s="313"/>
      <c r="T26" s="402"/>
      <c r="U26" s="402"/>
      <c r="V26" s="402"/>
      <c r="W26" s="402"/>
      <c r="X26" s="402"/>
      <c r="Y26" s="402"/>
      <c r="Z26" s="405"/>
      <c r="AA26" s="405"/>
      <c r="AB26" s="448"/>
      <c r="AC26" s="313"/>
      <c r="AD26" s="313"/>
      <c r="AE26" s="218"/>
      <c r="AF26" s="313"/>
      <c r="AG26" s="26"/>
    </row>
    <row r="27" spans="1:33" s="10" customFormat="1" ht="15.95" customHeight="1" x14ac:dyDescent="0.25">
      <c r="A27" s="25"/>
      <c r="B27" s="25"/>
      <c r="C27" s="25"/>
      <c r="D27" s="38" t="s">
        <v>1127</v>
      </c>
      <c r="F27" s="354" t="s">
        <v>327</v>
      </c>
      <c r="G27" s="354"/>
      <c r="H27" s="354"/>
      <c r="I27" s="354"/>
      <c r="J27" s="14" t="s">
        <v>111</v>
      </c>
      <c r="K27" s="10" t="s">
        <v>911</v>
      </c>
      <c r="R27" s="313"/>
      <c r="S27" s="313"/>
      <c r="T27" s="402"/>
      <c r="U27" s="412" t="s">
        <v>1610</v>
      </c>
      <c r="V27" s="402"/>
      <c r="W27" s="412" t="s">
        <v>1609</v>
      </c>
      <c r="X27" s="402"/>
      <c r="Y27" s="402"/>
      <c r="Z27" s="405"/>
      <c r="AA27" s="405"/>
      <c r="AB27" s="402"/>
      <c r="AC27" s="313"/>
      <c r="AD27" s="313"/>
      <c r="AE27" s="218"/>
      <c r="AF27" s="313"/>
      <c r="AG27" s="26"/>
    </row>
    <row r="28" spans="1:33" s="10" customFormat="1" ht="15.95" customHeight="1" x14ac:dyDescent="0.25">
      <c r="F28" s="354"/>
      <c r="G28" s="354"/>
      <c r="H28" s="354"/>
      <c r="I28" s="354"/>
      <c r="J28" s="14" t="s">
        <v>111</v>
      </c>
      <c r="K28" s="28" t="str">
        <f>CONCATENATE("$",TEXT(X18,"#,##0")," – ",TEXT(X22,"$#,##0")," – ","$",TEXT(AB18,"#,##0"),)</f>
        <v>$82,400 – $9,200 – $50,000</v>
      </c>
      <c r="R28" s="313"/>
      <c r="S28" s="313"/>
      <c r="T28" s="410">
        <f>X18</f>
        <v>82400</v>
      </c>
      <c r="U28" s="410" t="s">
        <v>1589</v>
      </c>
      <c r="V28" s="410">
        <f>X22</f>
        <v>9200</v>
      </c>
      <c r="W28" s="410" t="s">
        <v>1589</v>
      </c>
      <c r="X28" s="410">
        <f>AB18</f>
        <v>50000</v>
      </c>
      <c r="Y28" s="410" t="s">
        <v>1587</v>
      </c>
      <c r="Z28" s="410">
        <f>SUM(T28-V28-X28)</f>
        <v>23200</v>
      </c>
      <c r="AA28" s="402"/>
      <c r="AB28" s="402"/>
      <c r="AC28" s="313"/>
      <c r="AD28" s="313"/>
      <c r="AE28" s="218"/>
      <c r="AF28" s="313"/>
      <c r="AG28" s="26"/>
    </row>
    <row r="29" spans="1:33" s="10" customFormat="1" ht="15.95" customHeight="1" x14ac:dyDescent="0.25">
      <c r="F29" s="354"/>
      <c r="G29" s="354"/>
      <c r="H29" s="354"/>
      <c r="I29" s="354"/>
      <c r="J29" s="14" t="s">
        <v>111</v>
      </c>
      <c r="K29" s="28" t="str">
        <f>CONCATENATE(TEXT(Z28,"$#,##0"),)</f>
        <v>$23,200</v>
      </c>
      <c r="L29" s="28"/>
      <c r="M29" s="28"/>
      <c r="N29" s="28"/>
      <c r="O29" s="28"/>
      <c r="P29" s="28"/>
      <c r="Q29" s="28"/>
      <c r="R29" s="328"/>
      <c r="S29" s="313"/>
      <c r="T29" s="402"/>
      <c r="U29" s="402"/>
      <c r="V29" s="402"/>
      <c r="W29" s="402"/>
      <c r="X29" s="402"/>
      <c r="Y29" s="402"/>
      <c r="Z29" s="402"/>
      <c r="AA29" s="402"/>
      <c r="AB29" s="402"/>
      <c r="AC29" s="218"/>
      <c r="AD29" s="218"/>
      <c r="AE29" s="218"/>
      <c r="AF29" s="218"/>
      <c r="AG29" s="26"/>
    </row>
    <row r="30" spans="1:33" s="10" customFormat="1" ht="5.0999999999999996" customHeight="1" x14ac:dyDescent="0.25">
      <c r="J30" s="13"/>
      <c r="R30" s="313"/>
      <c r="S30" s="313"/>
      <c r="T30" s="402"/>
      <c r="U30" s="402"/>
      <c r="V30" s="402"/>
      <c r="W30" s="402"/>
      <c r="X30" s="402"/>
      <c r="Y30" s="402"/>
      <c r="Z30" s="402"/>
      <c r="AA30" s="402"/>
      <c r="AB30" s="402"/>
      <c r="AC30" s="218"/>
      <c r="AD30" s="218"/>
      <c r="AE30" s="218"/>
      <c r="AF30" s="218"/>
      <c r="AG30" s="26"/>
    </row>
    <row r="31" spans="1:33" s="10" customFormat="1" ht="15.95" customHeight="1" x14ac:dyDescent="0.25">
      <c r="A31" s="25"/>
      <c r="B31" s="25"/>
      <c r="C31" s="25"/>
      <c r="D31" s="38" t="s">
        <v>1128</v>
      </c>
      <c r="F31" s="354" t="s">
        <v>327</v>
      </c>
      <c r="G31" s="354"/>
      <c r="H31" s="354"/>
      <c r="I31" s="354"/>
      <c r="J31" s="14" t="s">
        <v>111</v>
      </c>
      <c r="K31" s="10" t="s">
        <v>911</v>
      </c>
      <c r="R31" s="313"/>
      <c r="S31" s="313"/>
      <c r="T31" s="402"/>
      <c r="U31" s="412" t="s">
        <v>1610</v>
      </c>
      <c r="V31" s="402"/>
      <c r="W31" s="412" t="s">
        <v>1609</v>
      </c>
      <c r="X31" s="402"/>
      <c r="Y31" s="402"/>
      <c r="Z31" s="402"/>
      <c r="AA31" s="402"/>
      <c r="AB31" s="402"/>
      <c r="AC31" s="218"/>
      <c r="AD31" s="218"/>
      <c r="AE31" s="218"/>
      <c r="AF31" s="218"/>
      <c r="AG31" s="26"/>
    </row>
    <row r="32" spans="1:33" s="10" customFormat="1" ht="15.95" customHeight="1" x14ac:dyDescent="0.25">
      <c r="F32" s="354"/>
      <c r="G32" s="354"/>
      <c r="H32" s="354"/>
      <c r="I32" s="354"/>
      <c r="J32" s="14" t="s">
        <v>111</v>
      </c>
      <c r="K32" s="28" t="str">
        <f>CONCATENATE("$",TEXT(X19,"#,##0")," – ",TEXT(X23,"$#,##0")," – ","$",TEXT(AB19,"#,##0"),)</f>
        <v>$88,500 – $11,300 – $50,000</v>
      </c>
      <c r="R32" s="313"/>
      <c r="S32" s="313"/>
      <c r="T32" s="410">
        <f>X19</f>
        <v>88500</v>
      </c>
      <c r="U32" s="410" t="s">
        <v>1589</v>
      </c>
      <c r="V32" s="410">
        <f>X23</f>
        <v>11300</v>
      </c>
      <c r="W32" s="410" t="s">
        <v>1589</v>
      </c>
      <c r="X32" s="410">
        <f>AB19</f>
        <v>50000</v>
      </c>
      <c r="Y32" s="410" t="s">
        <v>1587</v>
      </c>
      <c r="Z32" s="410">
        <f>SUM(T32-V32-X32)</f>
        <v>27200</v>
      </c>
      <c r="AA32" s="402"/>
      <c r="AB32" s="402"/>
      <c r="AC32" s="313"/>
      <c r="AD32" s="313"/>
      <c r="AE32" s="313"/>
      <c r="AF32" s="313"/>
    </row>
    <row r="33" spans="2:32" s="10" customFormat="1" ht="15.95" customHeight="1" x14ac:dyDescent="0.25">
      <c r="F33" s="354"/>
      <c r="G33" s="354"/>
      <c r="H33" s="354"/>
      <c r="I33" s="354"/>
      <c r="J33" s="14" t="s">
        <v>111</v>
      </c>
      <c r="K33" s="28" t="str">
        <f>CONCATENATE(TEXT(Z32,"$#,##0"),)</f>
        <v>$27,200</v>
      </c>
      <c r="L33" s="28"/>
      <c r="M33" s="28"/>
      <c r="N33" s="28"/>
      <c r="O33" s="28"/>
      <c r="P33" s="28"/>
      <c r="Q33" s="28"/>
      <c r="R33" s="328"/>
      <c r="S33" s="313"/>
      <c r="T33" s="402"/>
      <c r="U33" s="402"/>
      <c r="V33" s="402"/>
      <c r="W33" s="402"/>
      <c r="X33" s="402"/>
      <c r="Y33" s="402"/>
      <c r="Z33" s="402"/>
      <c r="AA33" s="402"/>
      <c r="AB33" s="449"/>
      <c r="AC33" s="313"/>
      <c r="AD33" s="313"/>
      <c r="AE33" s="313"/>
      <c r="AF33" s="313"/>
    </row>
    <row r="34" spans="2:32" s="10" customFormat="1" ht="9.9499999999999993" customHeight="1" x14ac:dyDescent="0.25">
      <c r="J34" s="14"/>
      <c r="K34" s="14"/>
      <c r="L34" s="28"/>
      <c r="R34" s="313"/>
      <c r="S34" s="313"/>
      <c r="T34" s="402"/>
      <c r="U34" s="402"/>
      <c r="V34" s="402"/>
      <c r="W34" s="402"/>
      <c r="X34" s="402"/>
      <c r="Y34" s="402"/>
      <c r="Z34" s="402"/>
      <c r="AA34" s="402"/>
      <c r="AB34" s="449"/>
      <c r="AC34" s="313"/>
      <c r="AD34" s="313"/>
      <c r="AE34" s="313"/>
      <c r="AF34" s="313"/>
    </row>
    <row r="35" spans="2:32" s="10" customFormat="1" ht="15.95" customHeight="1" x14ac:dyDescent="0.25">
      <c r="B35" s="10" t="s">
        <v>304</v>
      </c>
      <c r="R35" s="313"/>
      <c r="S35" s="313"/>
      <c r="T35" s="402"/>
      <c r="U35" s="402"/>
      <c r="V35" s="402"/>
      <c r="W35" s="402"/>
      <c r="X35" s="402"/>
      <c r="Y35" s="402"/>
      <c r="Z35" s="402"/>
      <c r="AA35" s="402"/>
      <c r="AB35" s="402"/>
      <c r="AC35" s="313"/>
      <c r="AD35" s="313"/>
      <c r="AE35" s="313"/>
      <c r="AF35" s="313"/>
    </row>
    <row r="36" spans="2:32" s="10" customFormat="1" ht="15.95" customHeight="1" x14ac:dyDescent="0.25">
      <c r="B36" s="10" t="s">
        <v>1062</v>
      </c>
      <c r="R36" s="313"/>
      <c r="S36" s="313"/>
      <c r="T36" s="402"/>
      <c r="U36" s="402"/>
      <c r="V36" s="402"/>
      <c r="W36" s="402"/>
      <c r="X36" s="402"/>
      <c r="Y36" s="402"/>
      <c r="Z36" s="402"/>
      <c r="AA36" s="402"/>
      <c r="AB36" s="402"/>
      <c r="AC36" s="313"/>
      <c r="AD36" s="313"/>
      <c r="AE36" s="313"/>
      <c r="AF36" s="313"/>
    </row>
    <row r="37" spans="2:32" s="10" customFormat="1" ht="5.0999999999999996" customHeight="1" x14ac:dyDescent="0.25">
      <c r="R37" s="313"/>
      <c r="S37" s="313"/>
      <c r="T37" s="402"/>
      <c r="U37" s="402"/>
      <c r="V37" s="402"/>
      <c r="W37" s="402"/>
      <c r="X37" s="402"/>
      <c r="Y37" s="402"/>
      <c r="Z37" s="402"/>
      <c r="AA37" s="402"/>
      <c r="AB37" s="402"/>
      <c r="AC37" s="313"/>
      <c r="AD37" s="313"/>
      <c r="AE37" s="313"/>
      <c r="AF37" s="313"/>
    </row>
    <row r="38" spans="2:32" s="10" customFormat="1" ht="15.95" customHeight="1" x14ac:dyDescent="0.25">
      <c r="B38" s="10" t="s">
        <v>912</v>
      </c>
      <c r="N38" s="10" t="s">
        <v>337</v>
      </c>
      <c r="O38" s="21">
        <f>Z28</f>
        <v>23200</v>
      </c>
      <c r="P38" s="21"/>
      <c r="R38" s="313"/>
      <c r="S38" s="313"/>
      <c r="T38" s="446" t="s">
        <v>1675</v>
      </c>
      <c r="U38" s="402"/>
      <c r="V38" s="402"/>
      <c r="W38" s="402"/>
      <c r="X38" s="402"/>
      <c r="Y38" s="402"/>
      <c r="Z38" s="402"/>
      <c r="AA38" s="402"/>
      <c r="AB38" s="402"/>
      <c r="AC38" s="313"/>
      <c r="AD38" s="313"/>
      <c r="AE38" s="313"/>
      <c r="AF38" s="313"/>
    </row>
    <row r="39" spans="2:32" s="10" customFormat="1" ht="15.95" customHeight="1" x14ac:dyDescent="0.25">
      <c r="B39" s="11" t="s">
        <v>1504</v>
      </c>
      <c r="C39" s="10" t="s">
        <v>913</v>
      </c>
      <c r="N39" s="10" t="s">
        <v>337</v>
      </c>
      <c r="O39" s="50">
        <f>AB22</f>
        <v>19500</v>
      </c>
      <c r="P39" s="50"/>
      <c r="R39" s="313"/>
      <c r="S39" s="313"/>
      <c r="T39" s="402"/>
      <c r="U39" s="402"/>
      <c r="V39" s="402"/>
      <c r="W39" s="402"/>
      <c r="X39" s="402"/>
      <c r="Y39" s="402"/>
      <c r="Z39" s="402"/>
      <c r="AA39" s="402"/>
      <c r="AB39" s="402"/>
      <c r="AC39" s="313"/>
      <c r="AD39" s="313"/>
      <c r="AE39" s="313"/>
      <c r="AF39" s="313"/>
    </row>
    <row r="40" spans="2:32" s="10" customFormat="1" ht="15.95" customHeight="1" x14ac:dyDescent="0.25">
      <c r="B40" s="10" t="s">
        <v>914</v>
      </c>
      <c r="C40" s="10" t="s">
        <v>915</v>
      </c>
      <c r="N40" s="10" t="s">
        <v>337</v>
      </c>
      <c r="O40" s="38" t="s">
        <v>305</v>
      </c>
      <c r="P40" s="38"/>
      <c r="R40" s="313"/>
      <c r="S40" s="313"/>
      <c r="T40" s="402"/>
      <c r="U40" s="402"/>
      <c r="V40" s="402"/>
      <c r="W40" s="402"/>
      <c r="X40" s="402"/>
      <c r="Y40" s="402"/>
      <c r="Z40" s="402"/>
      <c r="AA40" s="402"/>
      <c r="AB40" s="402"/>
      <c r="AC40" s="313"/>
      <c r="AD40" s="313"/>
      <c r="AE40" s="313"/>
      <c r="AF40" s="313"/>
    </row>
    <row r="41" spans="2:32" s="10" customFormat="1" ht="15.95" customHeight="1" thickBot="1" x14ac:dyDescent="0.3">
      <c r="B41" s="10" t="s">
        <v>686</v>
      </c>
      <c r="C41" s="10" t="s">
        <v>916</v>
      </c>
      <c r="N41" s="10" t="s">
        <v>337</v>
      </c>
      <c r="O41" s="52">
        <f>Z32</f>
        <v>27200</v>
      </c>
      <c r="P41" s="45"/>
      <c r="R41" s="313"/>
      <c r="S41" s="313"/>
      <c r="T41" s="402"/>
      <c r="U41" s="412" t="s">
        <v>1610</v>
      </c>
      <c r="V41" s="402"/>
      <c r="W41" s="412" t="s">
        <v>1609</v>
      </c>
      <c r="X41" s="402"/>
      <c r="Y41" s="402"/>
      <c r="Z41" s="402"/>
      <c r="AA41" s="402"/>
      <c r="AB41" s="402"/>
      <c r="AC41" s="313"/>
      <c r="AD41" s="313"/>
      <c r="AE41" s="313"/>
      <c r="AF41" s="313"/>
    </row>
    <row r="42" spans="2:32" s="10" customFormat="1" ht="9.9499999999999993" customHeight="1" thickTop="1" x14ac:dyDescent="0.25">
      <c r="R42" s="313"/>
      <c r="S42" s="313"/>
      <c r="T42" s="402"/>
      <c r="U42" s="402"/>
      <c r="V42" s="402"/>
      <c r="W42" s="402"/>
      <c r="X42" s="402"/>
      <c r="Y42" s="402"/>
      <c r="Z42" s="402"/>
      <c r="AA42" s="402"/>
      <c r="AB42" s="402"/>
      <c r="AC42" s="313"/>
      <c r="AD42" s="313"/>
      <c r="AE42" s="313"/>
      <c r="AF42" s="313"/>
    </row>
    <row r="43" spans="2:32" s="10" customFormat="1" ht="15.95" customHeight="1" x14ac:dyDescent="0.25">
      <c r="B43" s="10" t="str">
        <f>CONCATENATE("Dividends = ",TEXT(Z43,"$##,##0"))</f>
        <v>Dividends = $15,500</v>
      </c>
      <c r="R43" s="313"/>
      <c r="S43" s="313"/>
      <c r="T43" s="410">
        <f>O38</f>
        <v>23200</v>
      </c>
      <c r="U43" s="410" t="s">
        <v>1588</v>
      </c>
      <c r="V43" s="410">
        <f>AB22</f>
        <v>19500</v>
      </c>
      <c r="W43" s="410" t="s">
        <v>1589</v>
      </c>
      <c r="X43" s="410">
        <f>Z32</f>
        <v>27200</v>
      </c>
      <c r="Y43" s="410" t="s">
        <v>1587</v>
      </c>
      <c r="Z43" s="410">
        <f>SUM(T43+V43-X43)</f>
        <v>15500</v>
      </c>
      <c r="AA43" s="402"/>
      <c r="AB43" s="402"/>
      <c r="AC43" s="313"/>
      <c r="AD43" s="313"/>
      <c r="AE43" s="313"/>
      <c r="AF43" s="313"/>
    </row>
    <row r="44" spans="2:32" s="10" customFormat="1" ht="5.0999999999999996" customHeight="1" x14ac:dyDescent="0.25">
      <c r="R44" s="313"/>
      <c r="S44" s="313"/>
      <c r="T44" s="402"/>
      <c r="U44" s="402"/>
      <c r="V44" s="402"/>
      <c r="W44" s="402"/>
      <c r="X44" s="402"/>
      <c r="Y44" s="402"/>
      <c r="Z44" s="402"/>
      <c r="AA44" s="402"/>
      <c r="AB44" s="402"/>
      <c r="AC44" s="313"/>
      <c r="AD44" s="313"/>
      <c r="AE44" s="313"/>
      <c r="AF44" s="313"/>
    </row>
    <row r="45" spans="2:32" s="10" customFormat="1" ht="15.95" customHeight="1" x14ac:dyDescent="0.25">
      <c r="R45" s="313"/>
      <c r="S45" s="313"/>
      <c r="T45" s="402"/>
      <c r="U45" s="402"/>
      <c r="V45" s="402"/>
      <c r="W45" s="402"/>
      <c r="X45" s="402"/>
      <c r="Y45" s="402"/>
      <c r="Z45" s="402"/>
      <c r="AA45" s="402"/>
      <c r="AB45" s="402"/>
      <c r="AC45" s="313"/>
      <c r="AD45" s="313"/>
      <c r="AE45" s="313"/>
      <c r="AF45" s="313"/>
    </row>
    <row r="46" spans="2:32" s="10" customFormat="1" ht="15.95" customHeight="1" x14ac:dyDescent="0.25">
      <c r="R46" s="313"/>
      <c r="S46" s="313"/>
      <c r="T46" s="402"/>
      <c r="U46" s="402"/>
      <c r="V46" s="402"/>
      <c r="W46" s="402"/>
      <c r="X46" s="402"/>
      <c r="Y46" s="402"/>
      <c r="Z46" s="402"/>
      <c r="AA46" s="402"/>
      <c r="AB46" s="402"/>
      <c r="AC46" s="313"/>
      <c r="AD46" s="313"/>
      <c r="AE46" s="313"/>
      <c r="AF46" s="313"/>
    </row>
    <row r="47" spans="2:32" s="10" customFormat="1" ht="15.95" customHeight="1" x14ac:dyDescent="0.25">
      <c r="R47" s="313"/>
      <c r="S47" s="313"/>
      <c r="T47" s="402"/>
      <c r="U47" s="402"/>
      <c r="V47" s="402"/>
      <c r="W47" s="402"/>
      <c r="X47" s="402"/>
      <c r="Y47" s="402"/>
      <c r="Z47" s="402"/>
      <c r="AA47" s="402"/>
      <c r="AB47" s="402"/>
      <c r="AC47" s="313"/>
      <c r="AD47" s="313"/>
      <c r="AE47" s="313"/>
      <c r="AF47" s="313"/>
    </row>
    <row r="48" spans="2:32" s="10" customFormat="1" ht="15.95" customHeight="1" x14ac:dyDescent="0.25">
      <c r="R48" s="313"/>
      <c r="S48" s="313"/>
      <c r="T48" s="402"/>
      <c r="U48" s="402"/>
      <c r="V48" s="402"/>
      <c r="W48" s="402"/>
      <c r="X48" s="402"/>
      <c r="Y48" s="402"/>
      <c r="Z48" s="402"/>
      <c r="AA48" s="402"/>
      <c r="AB48" s="402"/>
      <c r="AC48" s="313"/>
      <c r="AD48" s="313"/>
      <c r="AE48" s="313"/>
      <c r="AF48" s="313"/>
    </row>
    <row r="49" spans="1:32" s="10" customFormat="1" ht="15.95" customHeight="1" x14ac:dyDescent="0.25">
      <c r="R49" s="313"/>
      <c r="S49" s="313"/>
      <c r="T49" s="402"/>
      <c r="U49" s="402"/>
      <c r="V49" s="402"/>
      <c r="W49" s="402"/>
      <c r="X49" s="402"/>
      <c r="Y49" s="402"/>
      <c r="Z49" s="402"/>
      <c r="AA49" s="402"/>
      <c r="AB49" s="402"/>
      <c r="AC49" s="313"/>
      <c r="AD49" s="313"/>
      <c r="AE49" s="313"/>
      <c r="AF49" s="313"/>
    </row>
    <row r="50" spans="1:32" s="10" customFormat="1" ht="15.95" customHeight="1" x14ac:dyDescent="0.25">
      <c r="R50" s="313"/>
      <c r="S50" s="313"/>
      <c r="T50" s="402"/>
      <c r="U50" s="402"/>
      <c r="V50" s="402"/>
      <c r="W50" s="402"/>
      <c r="X50" s="402"/>
      <c r="Y50" s="402"/>
      <c r="Z50" s="402"/>
      <c r="AA50" s="402"/>
      <c r="AB50" s="402"/>
      <c r="AC50" s="313"/>
      <c r="AD50" s="313"/>
      <c r="AE50" s="313"/>
      <c r="AF50" s="313"/>
    </row>
    <row r="51" spans="1:32" ht="15.95" customHeight="1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313"/>
      <c r="S51" s="313"/>
      <c r="AC51" s="313"/>
      <c r="AD51" s="313"/>
      <c r="AE51" s="313"/>
      <c r="AF51" s="313"/>
    </row>
    <row r="52" spans="1:32" x14ac:dyDescent="0.2">
      <c r="AC52" s="313"/>
      <c r="AD52" s="313"/>
      <c r="AE52" s="313"/>
      <c r="AF52" s="313"/>
    </row>
  </sheetData>
  <customSheetViews>
    <customSheetView guid="{B2DDA8C4-3089-41F7-BA6E-A0E09596A2CA}" scale="70" showPageBreaks="1" fitToPage="1" printArea="1">
      <pageMargins left="0.75" right="1" top="0.85" bottom="0.8" header="0.5" footer="0.35"/>
      <printOptions horizontalCentered="1"/>
      <pageSetup scale="93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pageMargins left="0.75" right="1" top="0.85" bottom="0.8" header="0.5" footer="0.35"/>
      <printOptions horizontalCentered="1"/>
      <pageSetup scale="92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pageMargins left="0.75" right="1" top="0.85" bottom="0.8" header="0.5" footer="0.35"/>
      <printOptions horizontalCentered="1"/>
      <pageSetup scale="93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2">
    <mergeCell ref="E22:G22"/>
    <mergeCell ref="E21:G21"/>
    <mergeCell ref="I21:K21"/>
    <mergeCell ref="I22:K22"/>
    <mergeCell ref="F33:I33"/>
    <mergeCell ref="E23:G23"/>
    <mergeCell ref="I23:K23"/>
    <mergeCell ref="F27:I27"/>
    <mergeCell ref="F28:I28"/>
    <mergeCell ref="F29:I29"/>
    <mergeCell ref="F31:I31"/>
    <mergeCell ref="F32:I32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drawing r:id="rId7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3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3" width="4.7109375" style="2" customWidth="1"/>
    <col min="4" max="4" width="6" style="2" customWidth="1"/>
    <col min="5" max="5" width="12" style="2" customWidth="1"/>
    <col min="6" max="6" width="3.28515625" style="2" customWidth="1"/>
    <col min="7" max="7" width="8.5703125" style="2" customWidth="1"/>
    <col min="8" max="8" width="3.42578125" style="2" customWidth="1"/>
    <col min="9" max="9" width="2.28515625" style="2" customWidth="1"/>
    <col min="10" max="10" width="11.5703125" style="2" customWidth="1"/>
    <col min="11" max="11" width="14.85546875" style="2" customWidth="1"/>
    <col min="12" max="12" width="13" style="2" customWidth="1"/>
    <col min="13" max="13" width="2.7109375" style="2" customWidth="1"/>
    <col min="14" max="14" width="8.7109375" style="407" hidden="1" customWidth="1"/>
    <col min="15" max="15" width="2.7109375" style="407" hidden="1" customWidth="1"/>
    <col min="16" max="16" width="0" style="407" hidden="1" customWidth="1"/>
    <col min="17" max="17" width="2.7109375" style="407" hidden="1" customWidth="1"/>
    <col min="18" max="18" width="0" style="407" hidden="1" customWidth="1"/>
    <col min="19" max="19" width="2.7109375" style="407" hidden="1" customWidth="1"/>
    <col min="20" max="20" width="0" style="407" hidden="1" customWidth="1"/>
    <col min="21" max="21" width="2.7109375" style="407" hidden="1" customWidth="1"/>
    <col min="22" max="22" width="0" style="407" hidden="1" customWidth="1"/>
    <col min="23" max="23" width="2.7109375" style="312" customWidth="1"/>
    <col min="24" max="24" width="9.140625" style="312"/>
    <col min="25" max="25" width="2.7109375" style="312" customWidth="1"/>
    <col min="26" max="26" width="10.140625" style="312" bestFit="1" customWidth="1"/>
    <col min="27" max="28" width="11" style="2" bestFit="1" customWidth="1"/>
    <col min="29" max="16384" width="9.140625" style="2"/>
  </cols>
  <sheetData>
    <row r="1" spans="1:28" ht="28.5" customHeight="1" x14ac:dyDescent="0.2">
      <c r="T1" s="417" t="s">
        <v>1676</v>
      </c>
    </row>
    <row r="2" spans="1:28" ht="15.95" customHeight="1" x14ac:dyDescent="0.25">
      <c r="B2" s="10" t="s">
        <v>1181</v>
      </c>
      <c r="C2" s="10"/>
      <c r="Q2" s="413" t="s">
        <v>1608</v>
      </c>
      <c r="R2" s="402"/>
      <c r="S2" s="402"/>
      <c r="T2" s="402"/>
      <c r="U2" s="413" t="s">
        <v>1606</v>
      </c>
      <c r="V2" s="402"/>
    </row>
    <row r="3" spans="1:28" ht="15.95" customHeight="1" x14ac:dyDescent="0.25">
      <c r="A3" s="10"/>
      <c r="B3" s="10" t="s">
        <v>701</v>
      </c>
      <c r="C3" s="10"/>
      <c r="E3" s="10"/>
      <c r="F3" s="10"/>
      <c r="G3" s="10"/>
      <c r="H3" s="10"/>
      <c r="I3" s="10"/>
      <c r="J3" s="10"/>
      <c r="K3" s="10"/>
      <c r="L3" s="10"/>
      <c r="Q3" s="445" t="s">
        <v>1127</v>
      </c>
      <c r="R3" s="409">
        <v>152200</v>
      </c>
      <c r="S3" s="402"/>
      <c r="T3" s="402"/>
      <c r="U3" s="445" t="s">
        <v>1127</v>
      </c>
      <c r="V3" s="409">
        <v>60000</v>
      </c>
      <c r="W3" s="316"/>
      <c r="X3" s="218"/>
      <c r="Y3" s="218"/>
      <c r="Z3" s="316"/>
      <c r="AA3" s="48"/>
      <c r="AB3" s="48"/>
    </row>
    <row r="4" spans="1:28" ht="15.95" customHeight="1" x14ac:dyDescent="0.25">
      <c r="A4" s="10"/>
      <c r="B4" s="10" t="s">
        <v>908</v>
      </c>
      <c r="C4" s="10"/>
      <c r="E4" s="10"/>
      <c r="F4" s="10"/>
      <c r="G4" s="10"/>
      <c r="H4" s="10"/>
      <c r="I4" s="10"/>
      <c r="J4" s="10"/>
      <c r="K4" s="10"/>
      <c r="L4" s="10"/>
      <c r="Q4" s="445" t="s">
        <v>1128</v>
      </c>
      <c r="R4" s="409">
        <v>171800</v>
      </c>
      <c r="S4" s="402"/>
      <c r="T4" s="402"/>
      <c r="U4" s="445" t="s">
        <v>1128</v>
      </c>
      <c r="V4" s="409">
        <v>60000</v>
      </c>
      <c r="W4" s="316"/>
    </row>
    <row r="5" spans="1:28" ht="5.0999999999999996" customHeight="1" x14ac:dyDescent="0.25">
      <c r="A5" s="10"/>
      <c r="B5" s="10"/>
      <c r="C5" s="10"/>
      <c r="E5" s="10"/>
      <c r="F5" s="10"/>
      <c r="G5" s="10"/>
      <c r="H5" s="10"/>
      <c r="I5" s="10"/>
      <c r="J5" s="10"/>
      <c r="K5" s="10"/>
      <c r="L5" s="10"/>
      <c r="Q5" s="402"/>
      <c r="R5" s="402"/>
      <c r="S5" s="402"/>
      <c r="T5" s="402"/>
      <c r="U5" s="405"/>
      <c r="V5" s="447"/>
      <c r="W5" s="316"/>
    </row>
    <row r="6" spans="1:28" ht="15.95" customHeight="1" x14ac:dyDescent="0.25">
      <c r="A6" s="10"/>
      <c r="B6" s="10"/>
      <c r="C6" s="10"/>
      <c r="D6" s="10"/>
      <c r="E6" s="13" t="s">
        <v>909</v>
      </c>
      <c r="F6" s="14" t="s">
        <v>111</v>
      </c>
      <c r="G6" s="373" t="s">
        <v>1491</v>
      </c>
      <c r="H6" s="373"/>
      <c r="I6" s="14" t="s">
        <v>1504</v>
      </c>
      <c r="J6" s="94" t="s">
        <v>1505</v>
      </c>
      <c r="K6" s="10"/>
      <c r="L6" s="10"/>
      <c r="Q6" s="413" t="s">
        <v>1607</v>
      </c>
      <c r="R6" s="402"/>
      <c r="S6" s="402"/>
      <c r="T6" s="402"/>
      <c r="U6" s="402"/>
      <c r="V6" s="402"/>
      <c r="W6" s="316"/>
    </row>
    <row r="7" spans="1:28" ht="15.95" customHeight="1" x14ac:dyDescent="0.25">
      <c r="A7" s="10"/>
      <c r="B7" s="388" t="s">
        <v>1127</v>
      </c>
      <c r="C7" s="388"/>
      <c r="D7" s="373"/>
      <c r="E7" s="34">
        <f>R3</f>
        <v>152200</v>
      </c>
      <c r="F7" s="14" t="s">
        <v>111</v>
      </c>
      <c r="G7" s="356">
        <f>R7</f>
        <v>56600</v>
      </c>
      <c r="H7" s="356"/>
      <c r="I7" s="14" t="s">
        <v>1504</v>
      </c>
      <c r="J7" s="16" t="str">
        <f>CONCATENATE("(",TEXT(V3,"$#,##0")," + Retained Earnings)",)</f>
        <v>($60,000 + Retained Earnings)</v>
      </c>
      <c r="K7" s="10"/>
      <c r="L7" s="10"/>
      <c r="Q7" s="445" t="s">
        <v>1127</v>
      </c>
      <c r="R7" s="409">
        <v>56600</v>
      </c>
      <c r="S7" s="402"/>
      <c r="T7" s="402"/>
      <c r="U7" s="405" t="s">
        <v>938</v>
      </c>
      <c r="V7" s="409">
        <v>20000</v>
      </c>
      <c r="W7" s="316"/>
    </row>
    <row r="8" spans="1:28" ht="15.95" customHeight="1" x14ac:dyDescent="0.25">
      <c r="A8" s="10"/>
      <c r="B8" s="388" t="s">
        <v>1128</v>
      </c>
      <c r="C8" s="388"/>
      <c r="D8" s="373"/>
      <c r="E8" s="34">
        <f>R4</f>
        <v>171800</v>
      </c>
      <c r="F8" s="14" t="s">
        <v>111</v>
      </c>
      <c r="G8" s="356">
        <f>R8</f>
        <v>63750</v>
      </c>
      <c r="H8" s="356"/>
      <c r="I8" s="14" t="s">
        <v>1504</v>
      </c>
      <c r="J8" s="16" t="str">
        <f>CONCATENATE("(",TEXT(V4,"$#,##0")," + Retained Earnings)",)</f>
        <v>($60,000 + Retained Earnings)</v>
      </c>
      <c r="K8" s="10"/>
      <c r="L8" s="10"/>
      <c r="Q8" s="445" t="s">
        <v>1128</v>
      </c>
      <c r="R8" s="409">
        <v>63750</v>
      </c>
      <c r="S8" s="402"/>
      <c r="T8" s="402"/>
      <c r="U8" s="402"/>
      <c r="V8" s="402"/>
      <c r="W8" s="316"/>
    </row>
    <row r="9" spans="1:28" ht="9.9499999999999993" customHeight="1" x14ac:dyDescent="0.25">
      <c r="A9" s="10"/>
      <c r="B9" s="91"/>
      <c r="C9" s="91"/>
      <c r="D9" s="16"/>
      <c r="E9" s="28"/>
      <c r="F9" s="14"/>
      <c r="G9" s="28"/>
      <c r="H9" s="28"/>
      <c r="I9" s="14"/>
      <c r="J9" s="10"/>
      <c r="K9" s="10"/>
      <c r="L9" s="10"/>
      <c r="Q9" s="402"/>
      <c r="R9" s="402"/>
      <c r="S9" s="402"/>
      <c r="T9" s="405"/>
      <c r="U9" s="405"/>
      <c r="V9" s="448"/>
      <c r="W9" s="316"/>
    </row>
    <row r="10" spans="1:28" ht="15.95" customHeight="1" x14ac:dyDescent="0.25">
      <c r="A10" s="10"/>
      <c r="B10" s="10" t="s">
        <v>910</v>
      </c>
      <c r="C10" s="10"/>
      <c r="E10" s="10"/>
      <c r="F10" s="10"/>
      <c r="G10" s="10"/>
      <c r="H10" s="10"/>
      <c r="I10" s="10"/>
      <c r="J10" s="10"/>
      <c r="K10" s="10"/>
      <c r="L10" s="10"/>
      <c r="N10" s="402"/>
      <c r="O10" s="412" t="s">
        <v>1610</v>
      </c>
      <c r="P10" s="402"/>
      <c r="Q10" s="412" t="s">
        <v>1609</v>
      </c>
      <c r="R10" s="402"/>
      <c r="S10" s="402"/>
      <c r="T10" s="405"/>
      <c r="W10" s="316"/>
    </row>
    <row r="11" spans="1:28" ht="5.0999999999999996" customHeight="1" x14ac:dyDescent="0.25">
      <c r="A11" s="10"/>
      <c r="B11" s="10"/>
      <c r="C11" s="10"/>
      <c r="E11" s="10"/>
      <c r="F11" s="10"/>
      <c r="G11" s="10"/>
      <c r="H11" s="10"/>
      <c r="I11" s="10"/>
      <c r="J11" s="10"/>
      <c r="K11" s="10"/>
      <c r="L11" s="10"/>
      <c r="W11" s="316"/>
      <c r="X11" s="316"/>
      <c r="Y11" s="316"/>
      <c r="Z11" s="316"/>
      <c r="AA11" s="48"/>
      <c r="AB11" s="147"/>
    </row>
    <row r="12" spans="1:28" ht="15.75" customHeight="1" x14ac:dyDescent="0.25">
      <c r="A12" s="10"/>
      <c r="B12" s="388" t="s">
        <v>1127</v>
      </c>
      <c r="C12" s="388"/>
      <c r="D12" s="388"/>
      <c r="E12" s="10" t="s">
        <v>327</v>
      </c>
      <c r="F12" s="10"/>
      <c r="G12" s="10"/>
      <c r="H12" s="13" t="s">
        <v>111</v>
      </c>
      <c r="I12" s="10" t="s">
        <v>911</v>
      </c>
      <c r="J12" s="10"/>
      <c r="K12" s="10"/>
      <c r="L12" s="10"/>
      <c r="W12" s="316"/>
      <c r="X12" s="316"/>
      <c r="Y12" s="316"/>
      <c r="Z12" s="316"/>
      <c r="AA12" s="48"/>
      <c r="AB12" s="147"/>
    </row>
    <row r="13" spans="1:28" ht="15.95" customHeight="1" x14ac:dyDescent="0.25">
      <c r="A13" s="10"/>
      <c r="F13" s="14"/>
      <c r="H13" s="13" t="s">
        <v>111</v>
      </c>
      <c r="I13" s="28" t="str">
        <f>CONCATENATE(TEXT(N13,"$#,##0"),O13,TEXT(P13,"$#,##0"),Q13,TEXT(R13,"$#,##0"))</f>
        <v>$152,200 – $56,600 – $60,000</v>
      </c>
      <c r="J13" s="10"/>
      <c r="K13" s="14"/>
      <c r="L13" s="28"/>
      <c r="N13" s="410">
        <f>R3</f>
        <v>152200</v>
      </c>
      <c r="O13" s="410" t="s">
        <v>1589</v>
      </c>
      <c r="P13" s="410">
        <f>R7</f>
        <v>56600</v>
      </c>
      <c r="Q13" s="410" t="s">
        <v>1589</v>
      </c>
      <c r="R13" s="410">
        <f>V3</f>
        <v>60000</v>
      </c>
      <c r="S13" s="410" t="s">
        <v>1587</v>
      </c>
      <c r="T13" s="410">
        <f>SUM(N13-P13-R13)</f>
        <v>35600</v>
      </c>
      <c r="W13" s="316"/>
      <c r="X13" s="316"/>
      <c r="Y13" s="316"/>
      <c r="Z13" s="316"/>
      <c r="AA13" s="48"/>
      <c r="AB13" s="48"/>
    </row>
    <row r="14" spans="1:28" ht="15.95" customHeight="1" x14ac:dyDescent="0.25">
      <c r="A14" s="10"/>
      <c r="F14" s="14"/>
      <c r="H14" s="13" t="s">
        <v>111</v>
      </c>
      <c r="I14" s="28" t="str">
        <f>CONCATENATE(TEXT(T13,"$#,##0"))</f>
        <v>$35,600</v>
      </c>
      <c r="J14" s="10"/>
      <c r="K14" s="14"/>
      <c r="L14" s="28"/>
      <c r="N14" s="410"/>
      <c r="O14" s="410"/>
      <c r="P14" s="410"/>
      <c r="Q14" s="410"/>
      <c r="R14" s="410"/>
      <c r="S14" s="410"/>
      <c r="T14" s="410"/>
      <c r="W14" s="316"/>
      <c r="X14" s="316"/>
      <c r="Y14" s="316"/>
      <c r="Z14" s="316"/>
      <c r="AA14" s="48"/>
      <c r="AB14" s="48"/>
    </row>
    <row r="15" spans="1:28" ht="15.95" customHeight="1" x14ac:dyDescent="0.25">
      <c r="A15" s="10"/>
      <c r="B15" s="388" t="s">
        <v>1128</v>
      </c>
      <c r="C15" s="388"/>
      <c r="D15" s="373"/>
      <c r="E15" s="10" t="s">
        <v>327</v>
      </c>
      <c r="F15" s="14"/>
      <c r="H15" s="13" t="s">
        <v>111</v>
      </c>
      <c r="I15" s="10" t="s">
        <v>911</v>
      </c>
      <c r="J15" s="10"/>
      <c r="K15" s="14"/>
      <c r="L15" s="28"/>
      <c r="N15" s="410"/>
      <c r="O15" s="410"/>
      <c r="P15" s="410"/>
      <c r="Q15" s="410"/>
      <c r="R15" s="410"/>
      <c r="S15" s="410"/>
      <c r="T15" s="410"/>
      <c r="W15" s="316"/>
      <c r="X15" s="316"/>
      <c r="Y15" s="316"/>
      <c r="Z15" s="316"/>
      <c r="AA15" s="48"/>
      <c r="AB15" s="48"/>
    </row>
    <row r="16" spans="1:28" ht="15.95" customHeight="1" x14ac:dyDescent="0.25">
      <c r="A16" s="10"/>
      <c r="F16" s="14"/>
      <c r="H16" s="13" t="s">
        <v>111</v>
      </c>
      <c r="I16" s="28" t="str">
        <f>CONCATENATE(TEXT(N16,"$#,##0"),O16,TEXT(P16,"$#,##0"),Q16,TEXT(R16,"$#,##0"))</f>
        <v>$171,800 – $63,750 – $60,000</v>
      </c>
      <c r="J16" s="10"/>
      <c r="K16" s="14"/>
      <c r="L16" s="28"/>
      <c r="N16" s="410">
        <f>R4</f>
        <v>171800</v>
      </c>
      <c r="O16" s="410" t="s">
        <v>1589</v>
      </c>
      <c r="P16" s="410">
        <f>R8</f>
        <v>63750</v>
      </c>
      <c r="Q16" s="410" t="s">
        <v>1589</v>
      </c>
      <c r="R16" s="410">
        <f>V4</f>
        <v>60000</v>
      </c>
      <c r="S16" s="410" t="s">
        <v>1587</v>
      </c>
      <c r="T16" s="410">
        <f>SUM(N16-P16-R16)</f>
        <v>48050</v>
      </c>
    </row>
    <row r="17" spans="1:28" ht="15.95" customHeight="1" x14ac:dyDescent="0.25">
      <c r="A17" s="10"/>
      <c r="F17" s="14"/>
      <c r="H17" s="13" t="s">
        <v>111</v>
      </c>
      <c r="I17" s="28" t="str">
        <f>CONCATENATE(TEXT(T16,"$#,##0"))</f>
        <v>$48,050</v>
      </c>
      <c r="J17" s="10"/>
      <c r="K17" s="14"/>
      <c r="L17" s="28"/>
      <c r="N17" s="410"/>
      <c r="O17" s="410"/>
      <c r="P17" s="410"/>
      <c r="Q17" s="410"/>
      <c r="R17" s="410"/>
      <c r="S17" s="410"/>
      <c r="T17" s="410"/>
    </row>
    <row r="18" spans="1:28" ht="9.9499999999999993" customHeight="1" x14ac:dyDescent="0.25">
      <c r="A18" s="10"/>
      <c r="B18" s="91"/>
      <c r="C18" s="91"/>
      <c r="D18" s="16"/>
      <c r="E18" s="10"/>
      <c r="F18" s="14"/>
      <c r="I18" s="28"/>
      <c r="J18" s="10"/>
      <c r="K18" s="14"/>
      <c r="L18" s="28"/>
    </row>
    <row r="19" spans="1:28" ht="15.95" customHeight="1" x14ac:dyDescent="0.25">
      <c r="A19" s="10"/>
      <c r="B19" s="10" t="s">
        <v>918</v>
      </c>
      <c r="C19" s="10"/>
      <c r="E19" s="10"/>
      <c r="F19" s="10"/>
      <c r="G19" s="10"/>
      <c r="H19" s="10"/>
      <c r="I19" s="10"/>
      <c r="J19" s="10"/>
      <c r="K19" s="10"/>
      <c r="L19" s="10"/>
    </row>
    <row r="20" spans="1:28" ht="15.95" customHeight="1" x14ac:dyDescent="0.25">
      <c r="A20" s="10"/>
      <c r="B20" s="10" t="s">
        <v>1063</v>
      </c>
      <c r="C20" s="10"/>
      <c r="E20" s="10"/>
      <c r="F20" s="10"/>
      <c r="G20" s="10"/>
      <c r="H20" s="10"/>
      <c r="I20" s="10"/>
      <c r="J20" s="10"/>
      <c r="K20" s="10"/>
      <c r="L20" s="10"/>
    </row>
    <row r="21" spans="1:28" ht="5.0999999999999996" customHeight="1" x14ac:dyDescent="0.25">
      <c r="A21" s="10"/>
      <c r="B21" s="10"/>
      <c r="C21" s="10"/>
      <c r="E21" s="10"/>
      <c r="F21" s="10"/>
      <c r="G21" s="10"/>
      <c r="H21" s="10"/>
      <c r="I21" s="10"/>
      <c r="J21" s="10"/>
      <c r="K21" s="10"/>
      <c r="L21" s="10"/>
    </row>
    <row r="22" spans="1:28" ht="15.95" customHeight="1" x14ac:dyDescent="0.25">
      <c r="A22" s="10"/>
      <c r="B22" s="10" t="s">
        <v>919</v>
      </c>
      <c r="C22" s="10"/>
      <c r="D22" s="10"/>
      <c r="E22" s="10"/>
      <c r="F22" s="10"/>
      <c r="I22" s="10" t="s">
        <v>337</v>
      </c>
      <c r="J22" s="257">
        <f>T13</f>
        <v>35600</v>
      </c>
      <c r="K22" s="10"/>
      <c r="L22" s="10"/>
      <c r="N22" s="446" t="s">
        <v>1675</v>
      </c>
    </row>
    <row r="23" spans="1:28" ht="15.95" customHeight="1" x14ac:dyDescent="0.25">
      <c r="A23" s="10"/>
      <c r="C23" s="10" t="s">
        <v>685</v>
      </c>
      <c r="D23" s="10" t="s">
        <v>920</v>
      </c>
      <c r="E23" s="10"/>
      <c r="F23" s="10"/>
      <c r="I23" s="10" t="s">
        <v>337</v>
      </c>
      <c r="J23" s="148" t="s">
        <v>305</v>
      </c>
      <c r="K23" s="10"/>
      <c r="L23" s="10"/>
      <c r="X23" s="329"/>
      <c r="Y23" s="329"/>
      <c r="Z23" s="329"/>
      <c r="AA23" s="206"/>
      <c r="AB23" s="206"/>
    </row>
    <row r="24" spans="1:28" ht="15.95" customHeight="1" x14ac:dyDescent="0.25">
      <c r="A24" s="10"/>
      <c r="C24" s="10" t="s">
        <v>320</v>
      </c>
      <c r="D24" s="10" t="s">
        <v>921</v>
      </c>
      <c r="E24" s="10"/>
      <c r="F24" s="10"/>
      <c r="I24" s="10" t="s">
        <v>337</v>
      </c>
      <c r="J24" s="95">
        <f>-V7</f>
        <v>-20000</v>
      </c>
      <c r="K24" s="10"/>
      <c r="L24" s="10"/>
      <c r="X24" s="329"/>
      <c r="Y24" s="329"/>
      <c r="Z24" s="329"/>
      <c r="AA24" s="206"/>
      <c r="AB24" s="206"/>
    </row>
    <row r="25" spans="1:28" ht="15.95" customHeight="1" thickBot="1" x14ac:dyDescent="0.3">
      <c r="A25" s="10"/>
      <c r="C25" s="10" t="s">
        <v>686</v>
      </c>
      <c r="D25" s="10" t="s">
        <v>922</v>
      </c>
      <c r="E25" s="10"/>
      <c r="F25" s="10"/>
      <c r="I25" s="10" t="s">
        <v>337</v>
      </c>
      <c r="J25" s="258">
        <f>T16</f>
        <v>48050</v>
      </c>
      <c r="K25" s="10"/>
      <c r="L25" s="10"/>
      <c r="N25" s="402"/>
      <c r="O25" s="412" t="s">
        <v>1610</v>
      </c>
      <c r="P25" s="402"/>
      <c r="Q25" s="412" t="s">
        <v>1609</v>
      </c>
      <c r="R25" s="402"/>
      <c r="X25" s="316"/>
      <c r="Y25" s="316"/>
      <c r="Z25" s="316"/>
    </row>
    <row r="26" spans="1:28" ht="9.9499999999999993" customHeight="1" thickTop="1" x14ac:dyDescent="0.25">
      <c r="A26" s="10"/>
      <c r="C26" s="10"/>
      <c r="D26" s="10"/>
      <c r="E26" s="10"/>
      <c r="F26" s="10"/>
      <c r="I26" s="10"/>
      <c r="J26" s="41"/>
      <c r="K26" s="10"/>
      <c r="L26" s="10"/>
      <c r="X26" s="316"/>
      <c r="Y26" s="316"/>
      <c r="Z26" s="316"/>
    </row>
    <row r="27" spans="1:28" ht="15.95" customHeight="1" x14ac:dyDescent="0.25">
      <c r="A27" s="10"/>
      <c r="B27" s="16" t="str">
        <f>CONCATENATE("Net income = ",TEXT(T27,"$#,##0"),)</f>
        <v>Net income = $32,450</v>
      </c>
      <c r="C27" s="16"/>
      <c r="D27" s="16"/>
      <c r="E27" s="28"/>
      <c r="F27" s="28"/>
      <c r="G27" s="28"/>
      <c r="H27" s="28"/>
      <c r="I27" s="10"/>
      <c r="J27" s="10"/>
      <c r="K27" s="10"/>
      <c r="L27" s="10"/>
      <c r="N27" s="410">
        <f>T16</f>
        <v>48050</v>
      </c>
      <c r="O27" s="410" t="s">
        <v>1589</v>
      </c>
      <c r="P27" s="410">
        <f>J22</f>
        <v>35600</v>
      </c>
      <c r="Q27" s="410" t="s">
        <v>1504</v>
      </c>
      <c r="R27" s="410">
        <f>--V7</f>
        <v>20000</v>
      </c>
      <c r="S27" s="410" t="s">
        <v>1587</v>
      </c>
      <c r="T27" s="410">
        <f>SUM(N27-P27+R27)</f>
        <v>32450</v>
      </c>
      <c r="X27" s="316"/>
      <c r="Y27" s="316"/>
      <c r="Z27" s="316"/>
    </row>
    <row r="28" spans="1:28" ht="15.95" customHeight="1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X28" s="316"/>
      <c r="Y28" s="316"/>
      <c r="Z28" s="316"/>
    </row>
    <row r="29" spans="1:28" ht="15.95" customHeight="1" x14ac:dyDescent="0.25">
      <c r="A29" s="10"/>
      <c r="B29" s="10" t="s">
        <v>1182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X29" s="316"/>
      <c r="Y29" s="316"/>
      <c r="Z29" s="316"/>
      <c r="AA29" s="147"/>
      <c r="AB29" s="147"/>
    </row>
    <row r="30" spans="1:28" ht="15.95" customHeight="1" x14ac:dyDescent="0.25">
      <c r="B30" s="11" t="s">
        <v>55</v>
      </c>
      <c r="C30" s="10" t="s">
        <v>923</v>
      </c>
      <c r="E30" s="10"/>
      <c r="F30" s="10"/>
      <c r="G30" s="10"/>
      <c r="H30" s="10"/>
      <c r="I30" s="10"/>
      <c r="J30" s="10"/>
      <c r="K30" s="10"/>
      <c r="L30" s="10"/>
      <c r="X30" s="316"/>
      <c r="Y30" s="316"/>
      <c r="Z30" s="316"/>
      <c r="AA30" s="48"/>
    </row>
    <row r="31" spans="1:28" ht="15.95" customHeight="1" x14ac:dyDescent="0.25">
      <c r="B31" s="11" t="s">
        <v>58</v>
      </c>
      <c r="C31" s="10" t="s">
        <v>924</v>
      </c>
      <c r="D31" s="10"/>
      <c r="E31" s="10"/>
      <c r="F31" s="10"/>
      <c r="G31" s="10"/>
      <c r="H31" s="10"/>
      <c r="I31" s="10"/>
      <c r="J31" s="10"/>
      <c r="K31" s="10"/>
      <c r="L31" s="10"/>
      <c r="X31" s="313"/>
      <c r="Y31" s="313"/>
    </row>
    <row r="32" spans="1:28" ht="15.95" customHeight="1" x14ac:dyDescent="0.25">
      <c r="B32" s="11" t="s">
        <v>60</v>
      </c>
      <c r="C32" s="10" t="s">
        <v>924</v>
      </c>
      <c r="F32" s="10"/>
      <c r="G32" s="10"/>
      <c r="H32" s="10"/>
      <c r="I32" s="10"/>
      <c r="J32" s="10"/>
      <c r="K32" s="10"/>
      <c r="L32" s="10"/>
    </row>
    <row r="33" spans="1:25" ht="15.95" customHeight="1" x14ac:dyDescent="0.25">
      <c r="B33" s="10" t="s">
        <v>67</v>
      </c>
      <c r="C33" s="10" t="s">
        <v>925</v>
      </c>
      <c r="G33" s="10"/>
      <c r="H33" s="10"/>
      <c r="I33" s="10"/>
      <c r="J33" s="10"/>
      <c r="M33" s="10"/>
      <c r="N33" s="402"/>
      <c r="O33" s="402"/>
      <c r="P33" s="402"/>
      <c r="Q33" s="402"/>
      <c r="R33" s="402"/>
      <c r="S33" s="402"/>
      <c r="T33" s="402"/>
      <c r="U33" s="402"/>
      <c r="V33" s="402"/>
      <c r="W33" s="313"/>
      <c r="X33" s="313"/>
      <c r="Y33" s="313"/>
    </row>
    <row r="34" spans="1:25" ht="15.95" customHeight="1" x14ac:dyDescent="0.25">
      <c r="B34" s="11" t="s">
        <v>70</v>
      </c>
      <c r="C34" s="10" t="s">
        <v>923</v>
      </c>
      <c r="D34" s="10"/>
      <c r="E34" s="10"/>
      <c r="F34" s="10"/>
      <c r="G34" s="10"/>
      <c r="H34" s="10"/>
      <c r="I34" s="10"/>
      <c r="J34" s="10"/>
      <c r="M34" s="10"/>
      <c r="N34" s="402"/>
      <c r="O34" s="402"/>
    </row>
    <row r="35" spans="1:25" ht="15.95" customHeight="1" x14ac:dyDescent="0.25">
      <c r="B35" s="11" t="s">
        <v>754</v>
      </c>
      <c r="C35" s="10" t="s">
        <v>1064</v>
      </c>
      <c r="D35" s="10"/>
      <c r="E35" s="10"/>
      <c r="F35" s="10"/>
      <c r="G35" s="10"/>
      <c r="H35" s="10"/>
      <c r="I35" s="10"/>
      <c r="J35" s="10"/>
      <c r="K35" s="10"/>
      <c r="L35" s="10"/>
    </row>
    <row r="36" spans="1:25" ht="15.95" customHeight="1" x14ac:dyDescent="0.25">
      <c r="B36" s="11" t="s">
        <v>755</v>
      </c>
      <c r="C36" s="10" t="s">
        <v>926</v>
      </c>
      <c r="F36" s="10"/>
      <c r="G36" s="10"/>
      <c r="H36" s="10"/>
      <c r="I36" s="10"/>
      <c r="J36" s="10"/>
      <c r="M36" s="10"/>
      <c r="N36" s="402"/>
      <c r="O36" s="402"/>
      <c r="P36" s="402"/>
      <c r="Q36" s="402"/>
      <c r="R36" s="402"/>
      <c r="S36" s="402"/>
      <c r="T36" s="402"/>
      <c r="U36" s="402"/>
      <c r="V36" s="402"/>
      <c r="W36" s="313"/>
    </row>
    <row r="37" spans="1:25" ht="15.95" customHeight="1" x14ac:dyDescent="0.25">
      <c r="A37" s="10"/>
      <c r="B37" s="10" t="s">
        <v>756</v>
      </c>
      <c r="C37" s="10" t="s">
        <v>927</v>
      </c>
      <c r="D37" s="10"/>
      <c r="E37" s="10"/>
      <c r="F37" s="10"/>
      <c r="G37" s="10"/>
      <c r="H37" s="10"/>
      <c r="I37" s="10"/>
      <c r="J37" s="10"/>
      <c r="K37" s="10"/>
      <c r="L37" s="10"/>
    </row>
    <row r="38" spans="1:25" ht="15.95" customHeight="1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25" ht="15.95" customHeight="1" x14ac:dyDescent="0.25">
      <c r="A39" s="10"/>
      <c r="B39" s="10" t="s">
        <v>1183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25" ht="15.95" customHeight="1" x14ac:dyDescent="0.25">
      <c r="B40" s="11" t="s">
        <v>55</v>
      </c>
      <c r="C40" s="10" t="s">
        <v>928</v>
      </c>
      <c r="D40" s="10"/>
      <c r="E40" s="10"/>
      <c r="F40" s="10"/>
      <c r="G40" s="10"/>
      <c r="H40" s="10"/>
      <c r="I40" s="10"/>
      <c r="J40" s="10"/>
      <c r="K40" s="10"/>
      <c r="L40" s="10"/>
    </row>
    <row r="41" spans="1:25" ht="15.95" customHeight="1" x14ac:dyDescent="0.25">
      <c r="B41" s="11" t="s">
        <v>58</v>
      </c>
      <c r="C41" s="10" t="s">
        <v>929</v>
      </c>
      <c r="D41" s="10"/>
      <c r="E41" s="10"/>
      <c r="F41" s="10"/>
      <c r="G41" s="10"/>
      <c r="H41" s="10"/>
      <c r="I41" s="10"/>
      <c r="J41" s="10"/>
      <c r="K41" s="10"/>
      <c r="L41" s="10"/>
    </row>
    <row r="42" spans="1:25" ht="15.95" customHeight="1" x14ac:dyDescent="0.25">
      <c r="B42" s="11" t="s">
        <v>60</v>
      </c>
      <c r="C42" s="10" t="s">
        <v>928</v>
      </c>
      <c r="D42" s="10"/>
      <c r="E42" s="10"/>
      <c r="F42" s="10"/>
      <c r="G42" s="10"/>
      <c r="H42" s="10"/>
      <c r="I42" s="10"/>
      <c r="J42" s="10"/>
      <c r="K42" s="10"/>
      <c r="L42" s="10"/>
    </row>
    <row r="43" spans="1:25" ht="15.95" customHeight="1" x14ac:dyDescent="0.25">
      <c r="B43" s="11" t="s">
        <v>67</v>
      </c>
      <c r="C43" s="10" t="s">
        <v>929</v>
      </c>
      <c r="D43" s="10"/>
      <c r="E43" s="10"/>
      <c r="F43" s="10"/>
      <c r="G43" s="10"/>
      <c r="H43" s="10"/>
      <c r="I43" s="10"/>
      <c r="J43" s="10"/>
      <c r="K43" s="10"/>
      <c r="L43" s="10"/>
    </row>
    <row r="44" spans="1:25" ht="15.95" customHeight="1" x14ac:dyDescent="0.25">
      <c r="B44" s="11" t="s">
        <v>70</v>
      </c>
      <c r="C44" s="10" t="s">
        <v>929</v>
      </c>
      <c r="D44" s="10"/>
      <c r="E44" s="10"/>
      <c r="F44" s="10"/>
      <c r="G44" s="10"/>
      <c r="H44" s="10"/>
      <c r="I44" s="10"/>
      <c r="J44" s="10"/>
      <c r="K44" s="10"/>
      <c r="L44" s="10"/>
    </row>
    <row r="45" spans="1:25" ht="15.95" customHeight="1" x14ac:dyDescent="0.25">
      <c r="B45" s="11" t="s">
        <v>754</v>
      </c>
      <c r="C45" s="10" t="s">
        <v>930</v>
      </c>
      <c r="D45" s="10"/>
      <c r="E45" s="10"/>
      <c r="F45" s="10"/>
      <c r="G45" s="10"/>
      <c r="H45" s="10"/>
      <c r="I45" s="10"/>
      <c r="J45" s="10"/>
      <c r="K45" s="10"/>
      <c r="L45" s="10"/>
    </row>
    <row r="46" spans="1:25" ht="15.95" customHeight="1" x14ac:dyDescent="0.25">
      <c r="B46" s="11" t="s">
        <v>755</v>
      </c>
      <c r="C46" s="10" t="s">
        <v>929</v>
      </c>
      <c r="D46" s="10"/>
      <c r="E46" s="10"/>
      <c r="F46" s="10"/>
      <c r="G46" s="10"/>
      <c r="H46" s="10"/>
      <c r="I46" s="10"/>
      <c r="J46" s="10"/>
      <c r="K46" s="10"/>
      <c r="L46" s="10"/>
    </row>
    <row r="47" spans="1:25" ht="15.95" customHeight="1" x14ac:dyDescent="0.25">
      <c r="B47" s="11" t="s">
        <v>756</v>
      </c>
      <c r="C47" s="10" t="s">
        <v>928</v>
      </c>
      <c r="D47" s="10"/>
      <c r="E47" s="10"/>
      <c r="F47" s="10"/>
      <c r="G47" s="10"/>
      <c r="H47" s="10"/>
      <c r="I47" s="10"/>
      <c r="J47" s="10"/>
      <c r="K47" s="10"/>
      <c r="L47" s="10"/>
    </row>
    <row r="48" spans="1:25" ht="5.0999999999999996" customHeight="1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95" customHeight="1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95" customHeight="1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" customHeight="1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" customHeight="1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" customHeight="1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</sheetData>
  <customSheetViews>
    <customSheetView guid="{B2DDA8C4-3089-41F7-BA6E-A0E09596A2CA}" scale="70" showPageBreaks="1" fitToPage="1" printArea="1">
      <pageMargins left="1" right="0.75" top="0.85" bottom="0.8" header="0.5" footer="0.35"/>
      <printOptions horizontalCentered="1"/>
      <pageSetup scale="93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33">
      <selection activeCell="A33" sqref="A33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pageMargins left="1" right="0.75" top="0.85" bottom="0.8" header="0.5" footer="0.35"/>
      <printOptions horizontalCentered="1"/>
      <pageSetup scale="92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pageMargins left="1" right="0.75" top="0.85" bottom="0.8" header="0.5" footer="0.35"/>
      <printOptions horizontalCentered="1"/>
      <pageSetup scale="93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7">
    <mergeCell ref="G6:H6"/>
    <mergeCell ref="G7:H7"/>
    <mergeCell ref="G8:H8"/>
    <mergeCell ref="B15:D15"/>
    <mergeCell ref="B7:D7"/>
    <mergeCell ref="B8:D8"/>
    <mergeCell ref="B12:D12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drawing r:id="rId7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56"/>
  <sheetViews>
    <sheetView zoomScale="70" zoomScaleNormal="70" workbookViewId="0">
      <selection activeCell="J49" sqref="J49"/>
    </sheetView>
  </sheetViews>
  <sheetFormatPr defaultRowHeight="12.75" x14ac:dyDescent="0.2"/>
  <cols>
    <col min="1" max="1" width="1.7109375" style="2" customWidth="1"/>
    <col min="2" max="2" width="11.85546875" style="2" customWidth="1"/>
    <col min="3" max="3" width="4.7109375" style="2" customWidth="1"/>
    <col min="4" max="4" width="7.85546875" style="2" customWidth="1"/>
    <col min="5" max="5" width="7.7109375" style="2" customWidth="1"/>
    <col min="6" max="6" width="13.7109375" style="2" customWidth="1"/>
    <col min="7" max="7" width="4.7109375" style="2" customWidth="1"/>
    <col min="8" max="8" width="13.7109375" style="2" customWidth="1"/>
    <col min="9" max="9" width="5.28515625" style="2" customWidth="1"/>
    <col min="10" max="10" width="13.7109375" style="2" customWidth="1"/>
    <col min="11" max="11" width="8.7109375" style="2" customWidth="1"/>
    <col min="12" max="12" width="2.7109375" style="312" customWidth="1"/>
    <col min="13" max="13" width="0" style="407" hidden="1" customWidth="1"/>
    <col min="14" max="14" width="2.7109375" style="407" hidden="1" customWidth="1"/>
    <col min="15" max="15" width="0" style="407" hidden="1" customWidth="1"/>
    <col min="16" max="16" width="2.7109375" style="407" hidden="1" customWidth="1"/>
    <col min="17" max="17" width="9.85546875" style="407" hidden="1" customWidth="1"/>
    <col min="18" max="18" width="2.7109375" style="312" customWidth="1"/>
    <col min="19" max="21" width="9.140625" style="312"/>
    <col min="22" max="22" width="10.5703125" style="312" bestFit="1" customWidth="1"/>
    <col min="23" max="23" width="9.140625" style="2"/>
    <col min="24" max="24" width="13.42578125" style="2" bestFit="1" customWidth="1"/>
    <col min="25" max="16384" width="9.140625" style="2"/>
  </cols>
  <sheetData>
    <row r="1" spans="2:25" ht="28.5" customHeight="1" x14ac:dyDescent="0.2"/>
    <row r="2" spans="2:25" ht="15.95" customHeight="1" x14ac:dyDescent="0.25">
      <c r="B2" s="353" t="s">
        <v>143</v>
      </c>
      <c r="C2" s="353"/>
      <c r="D2" s="353"/>
      <c r="E2" s="353"/>
      <c r="F2" s="353"/>
      <c r="G2" s="353"/>
      <c r="H2" s="353"/>
      <c r="I2" s="353"/>
      <c r="J2" s="353"/>
      <c r="K2" s="353"/>
    </row>
    <row r="3" spans="2:25" ht="15.95" customHeight="1" x14ac:dyDescent="0.2"/>
    <row r="4" spans="2:25" ht="15.95" customHeight="1" x14ac:dyDescent="0.25">
      <c r="B4" s="10" t="s">
        <v>1184</v>
      </c>
      <c r="C4" s="10"/>
      <c r="Q4" s="418" t="s">
        <v>1682</v>
      </c>
    </row>
    <row r="5" spans="2:25" s="10" customFormat="1" ht="15.95" customHeight="1" x14ac:dyDescent="0.25">
      <c r="B5" s="71" t="s">
        <v>931</v>
      </c>
      <c r="C5" s="71"/>
      <c r="L5" s="313"/>
      <c r="M5" s="402"/>
      <c r="N5" s="402"/>
      <c r="O5" s="402"/>
      <c r="P5" s="405" t="s">
        <v>32</v>
      </c>
      <c r="Q5" s="409">
        <v>232800</v>
      </c>
      <c r="R5" s="313"/>
      <c r="S5" s="313"/>
      <c r="T5" s="313"/>
      <c r="U5" s="313"/>
      <c r="V5" s="313"/>
    </row>
    <row r="6" spans="2:25" s="10" customFormat="1" ht="15.95" customHeight="1" x14ac:dyDescent="0.25">
      <c r="B6" s="71" t="s">
        <v>932</v>
      </c>
      <c r="C6" s="71"/>
      <c r="L6" s="313"/>
      <c r="M6" s="402"/>
      <c r="N6" s="402"/>
      <c r="O6" s="402"/>
      <c r="P6" s="405" t="s">
        <v>933</v>
      </c>
      <c r="Q6" s="409">
        <v>94600</v>
      </c>
      <c r="R6" s="218"/>
      <c r="S6" s="218"/>
      <c r="T6" s="313"/>
      <c r="U6" s="218"/>
      <c r="V6" s="218"/>
      <c r="W6" s="26"/>
      <c r="X6" s="26"/>
      <c r="Y6" s="26"/>
    </row>
    <row r="7" spans="2:25" s="10" customFormat="1" ht="15.95" customHeight="1" x14ac:dyDescent="0.25">
      <c r="B7" s="71" t="s">
        <v>1107</v>
      </c>
      <c r="C7" s="71"/>
      <c r="L7" s="313"/>
      <c r="M7" s="402"/>
      <c r="N7" s="402"/>
      <c r="O7" s="402"/>
      <c r="P7" s="405" t="s">
        <v>934</v>
      </c>
      <c r="Q7" s="409">
        <v>50000</v>
      </c>
      <c r="R7" s="218"/>
      <c r="S7" s="218"/>
      <c r="T7" s="313"/>
      <c r="U7" s="218"/>
      <c r="V7" s="218"/>
      <c r="W7" s="26"/>
      <c r="X7" s="26"/>
      <c r="Y7" s="26"/>
    </row>
    <row r="8" spans="2:25" s="10" customFormat="1" ht="15.95" customHeight="1" x14ac:dyDescent="0.25">
      <c r="B8" s="71" t="s">
        <v>164</v>
      </c>
      <c r="C8" s="71"/>
      <c r="L8" s="313"/>
      <c r="M8" s="402"/>
      <c r="N8" s="402"/>
      <c r="O8" s="402"/>
      <c r="P8" s="405" t="s">
        <v>1026</v>
      </c>
      <c r="Q8" s="409">
        <v>88200</v>
      </c>
      <c r="R8" s="218"/>
      <c r="S8" s="314"/>
      <c r="T8" s="313"/>
      <c r="U8" s="314"/>
      <c r="V8" s="218"/>
      <c r="W8" s="26"/>
      <c r="X8" s="26"/>
      <c r="Y8" s="26"/>
    </row>
    <row r="9" spans="2:25" s="10" customFormat="1" ht="15.95" customHeight="1" x14ac:dyDescent="0.25">
      <c r="B9" s="71" t="s">
        <v>163</v>
      </c>
      <c r="C9" s="71"/>
      <c r="L9" s="313"/>
      <c r="M9" s="402"/>
      <c r="N9" s="402"/>
      <c r="O9" s="402"/>
      <c r="P9" s="405" t="s">
        <v>1027</v>
      </c>
      <c r="Q9" s="409">
        <v>51750</v>
      </c>
      <c r="R9" s="218"/>
      <c r="S9" s="313"/>
      <c r="T9" s="313"/>
      <c r="U9" s="313"/>
      <c r="V9" s="313"/>
      <c r="W9" s="26"/>
      <c r="X9" s="26"/>
      <c r="Y9" s="26"/>
    </row>
    <row r="10" spans="2:25" s="10" customFormat="1" ht="5.0999999999999996" customHeight="1" x14ac:dyDescent="0.25">
      <c r="B10" s="71"/>
      <c r="C10" s="71"/>
      <c r="L10" s="313"/>
      <c r="M10" s="402"/>
      <c r="N10" s="402"/>
      <c r="O10" s="402"/>
      <c r="P10" s="402"/>
      <c r="Q10" s="402"/>
      <c r="R10" s="218"/>
      <c r="S10" s="313"/>
      <c r="T10" s="313"/>
      <c r="U10" s="209"/>
      <c r="V10" s="218"/>
      <c r="W10" s="26"/>
      <c r="X10" s="26"/>
      <c r="Y10" s="26"/>
    </row>
    <row r="11" spans="2:25" s="10" customFormat="1" ht="15.95" customHeight="1" x14ac:dyDescent="0.25">
      <c r="B11" s="10" t="str">
        <f>CONCATENATE("The amount of Huffer’s assets at 12/31/13 is ",TEXT(Q13,"$#,##0"),". Huffer’s stockholders’ ",)</f>
        <v xml:space="preserve">The amount of Huffer’s assets at 12/31/13 is $285,500. Huffer’s stockholders’ </v>
      </c>
      <c r="L11" s="313"/>
      <c r="M11" s="402"/>
      <c r="N11" s="402"/>
      <c r="O11" s="402"/>
      <c r="P11" s="405" t="s">
        <v>938</v>
      </c>
      <c r="Q11" s="409">
        <v>10000</v>
      </c>
      <c r="R11" s="218"/>
      <c r="S11" s="313"/>
      <c r="T11" s="313"/>
      <c r="U11" s="313"/>
      <c r="V11" s="313"/>
      <c r="W11" s="26"/>
      <c r="X11" s="26"/>
      <c r="Y11" s="26"/>
    </row>
    <row r="12" spans="2:25" s="10" customFormat="1" ht="15.95" customHeight="1" x14ac:dyDescent="0.25">
      <c r="B12" s="10" t="s">
        <v>1108</v>
      </c>
      <c r="L12" s="313"/>
      <c r="M12" s="402"/>
      <c r="N12" s="402"/>
      <c r="O12" s="402"/>
      <c r="P12" s="405" t="s">
        <v>33</v>
      </c>
      <c r="Q12" s="409">
        <v>15000</v>
      </c>
      <c r="R12" s="218"/>
      <c r="S12" s="313"/>
      <c r="T12" s="313"/>
      <c r="U12" s="313"/>
      <c r="V12" s="313"/>
      <c r="W12" s="26"/>
      <c r="X12" s="26"/>
      <c r="Y12" s="26"/>
    </row>
    <row r="13" spans="2:25" s="10" customFormat="1" ht="15.95" customHeight="1" x14ac:dyDescent="0.25">
      <c r="B13" s="10" t="s">
        <v>1257</v>
      </c>
      <c r="L13" s="313"/>
      <c r="M13" s="402"/>
      <c r="N13" s="402"/>
      <c r="O13" s="402"/>
      <c r="P13" s="405" t="s">
        <v>1586</v>
      </c>
      <c r="Q13" s="409">
        <v>285500</v>
      </c>
      <c r="R13" s="218"/>
      <c r="S13" s="313"/>
      <c r="T13" s="313"/>
      <c r="U13" s="313"/>
      <c r="V13" s="313"/>
      <c r="W13" s="26"/>
      <c r="X13" s="26"/>
      <c r="Y13" s="26"/>
    </row>
    <row r="14" spans="2:25" s="10" customFormat="1" ht="15.95" customHeight="1" x14ac:dyDescent="0.25">
      <c r="B14" s="10" t="s">
        <v>161</v>
      </c>
      <c r="L14" s="313"/>
      <c r="M14" s="402"/>
      <c r="N14" s="402"/>
      <c r="O14" s="402"/>
      <c r="P14" s="402"/>
      <c r="Q14" s="402"/>
      <c r="R14" s="218"/>
      <c r="S14" s="313"/>
      <c r="T14" s="218"/>
      <c r="U14" s="313"/>
      <c r="V14" s="313"/>
      <c r="W14" s="26"/>
      <c r="X14" s="26"/>
      <c r="Y14" s="26"/>
    </row>
    <row r="15" spans="2:25" s="10" customFormat="1" ht="5.0999999999999996" customHeight="1" x14ac:dyDescent="0.25">
      <c r="L15" s="313"/>
      <c r="M15" s="402"/>
      <c r="N15" s="402"/>
      <c r="O15" s="402"/>
      <c r="P15" s="402"/>
      <c r="Q15" s="402"/>
      <c r="R15" s="218"/>
      <c r="S15" s="313"/>
      <c r="T15" s="218"/>
      <c r="U15" s="209"/>
      <c r="V15" s="218"/>
      <c r="W15" s="26"/>
      <c r="X15" s="26"/>
      <c r="Y15" s="26"/>
    </row>
    <row r="16" spans="2:25" s="10" customFormat="1" ht="15.95" customHeight="1" x14ac:dyDescent="0.25">
      <c r="F16" s="13" t="s">
        <v>935</v>
      </c>
      <c r="H16" s="13" t="s">
        <v>936</v>
      </c>
      <c r="J16" s="13" t="s">
        <v>937</v>
      </c>
      <c r="L16" s="313"/>
      <c r="M16" s="402"/>
      <c r="N16" s="402"/>
      <c r="O16" s="402"/>
      <c r="P16" s="402"/>
      <c r="Q16" s="402"/>
      <c r="R16" s="218"/>
      <c r="S16" s="313"/>
      <c r="T16" s="218"/>
      <c r="U16" s="313"/>
      <c r="V16" s="313"/>
      <c r="W16" s="26"/>
      <c r="X16" s="26"/>
      <c r="Y16" s="26"/>
    </row>
    <row r="17" spans="2:25" s="10" customFormat="1" ht="15.95" customHeight="1" x14ac:dyDescent="0.25">
      <c r="F17" s="67" t="s">
        <v>939</v>
      </c>
      <c r="G17" s="14" t="s">
        <v>1504</v>
      </c>
      <c r="H17" s="67" t="s">
        <v>940</v>
      </c>
      <c r="I17" s="14" t="s">
        <v>111</v>
      </c>
      <c r="J17" s="67" t="s">
        <v>1505</v>
      </c>
      <c r="L17" s="313"/>
      <c r="M17" s="402"/>
      <c r="N17" s="402"/>
      <c r="O17" s="402"/>
      <c r="P17" s="402"/>
      <c r="Q17" s="402"/>
      <c r="R17" s="218"/>
      <c r="S17" s="313"/>
      <c r="T17" s="218"/>
      <c r="U17" s="313"/>
      <c r="V17" s="313"/>
      <c r="W17" s="26"/>
      <c r="X17" s="26"/>
      <c r="Y17" s="26"/>
    </row>
    <row r="18" spans="2:25" s="10" customFormat="1" ht="5.0999999999999996" customHeight="1" x14ac:dyDescent="0.25">
      <c r="F18" s="20"/>
      <c r="G18" s="14"/>
      <c r="H18" s="20"/>
      <c r="I18" s="14"/>
      <c r="J18" s="20"/>
      <c r="L18" s="313"/>
      <c r="M18" s="402"/>
      <c r="N18" s="402"/>
      <c r="O18" s="402"/>
      <c r="P18" s="402"/>
      <c r="Q18" s="402"/>
      <c r="R18" s="218"/>
      <c r="S18" s="313"/>
      <c r="T18" s="218"/>
      <c r="U18" s="313"/>
      <c r="V18" s="313"/>
      <c r="W18" s="26"/>
      <c r="X18" s="26"/>
      <c r="Y18" s="26"/>
    </row>
    <row r="19" spans="2:25" s="10" customFormat="1" ht="15.95" customHeight="1" x14ac:dyDescent="0.25">
      <c r="B19" s="10" t="s">
        <v>1109</v>
      </c>
      <c r="F19" s="167">
        <f>Q7</f>
        <v>50000</v>
      </c>
      <c r="G19" s="84" t="s">
        <v>1504</v>
      </c>
      <c r="H19" s="259">
        <f>Q8</f>
        <v>88200</v>
      </c>
      <c r="I19" s="84" t="s">
        <v>111</v>
      </c>
      <c r="J19" s="34">
        <f>F19+H19</f>
        <v>138200</v>
      </c>
      <c r="L19" s="313"/>
      <c r="M19" s="402"/>
      <c r="N19" s="402"/>
      <c r="O19" s="402"/>
      <c r="P19" s="402"/>
      <c r="Q19" s="402"/>
      <c r="R19" s="218"/>
      <c r="S19" s="313"/>
      <c r="T19" s="313"/>
      <c r="U19" s="313"/>
      <c r="V19" s="313"/>
      <c r="W19" s="26"/>
      <c r="X19" s="26"/>
      <c r="Y19" s="26"/>
    </row>
    <row r="20" spans="2:25" s="10" customFormat="1" ht="15.95" customHeight="1" x14ac:dyDescent="0.25">
      <c r="B20" s="10" t="s">
        <v>476</v>
      </c>
      <c r="H20" s="145">
        <f>Q9</f>
        <v>51750</v>
      </c>
      <c r="L20" s="313"/>
      <c r="M20" s="402"/>
      <c r="N20" s="402"/>
      <c r="O20" s="402"/>
      <c r="P20" s="402"/>
      <c r="Q20" s="402"/>
      <c r="R20" s="218"/>
      <c r="S20" s="209"/>
      <c r="T20" s="218"/>
      <c r="U20" s="218"/>
      <c r="V20" s="218"/>
      <c r="W20" s="26"/>
      <c r="X20" s="26"/>
      <c r="Y20" s="26"/>
    </row>
    <row r="21" spans="2:25" s="10" customFormat="1" ht="15.95" customHeight="1" x14ac:dyDescent="0.25">
      <c r="B21" s="10" t="s">
        <v>688</v>
      </c>
      <c r="H21" s="149">
        <f>-Q11</f>
        <v>-10000</v>
      </c>
      <c r="L21" s="313"/>
      <c r="M21" s="402"/>
      <c r="N21" s="402"/>
      <c r="O21" s="402"/>
      <c r="P21" s="402"/>
      <c r="Q21" s="402"/>
      <c r="R21" s="218"/>
      <c r="S21" s="209"/>
      <c r="T21" s="218"/>
      <c r="U21" s="218"/>
      <c r="V21" s="218"/>
      <c r="W21" s="26"/>
      <c r="X21" s="26"/>
      <c r="Y21" s="26"/>
    </row>
    <row r="22" spans="2:25" s="10" customFormat="1" ht="15.95" customHeight="1" x14ac:dyDescent="0.25">
      <c r="B22" s="10" t="s">
        <v>942</v>
      </c>
      <c r="F22" s="177">
        <f>Q12</f>
        <v>15000</v>
      </c>
      <c r="H22" s="150"/>
      <c r="J22" s="39"/>
      <c r="L22" s="313"/>
      <c r="M22" s="402"/>
      <c r="N22" s="402"/>
      <c r="O22" s="402"/>
      <c r="P22" s="402"/>
      <c r="Q22" s="402"/>
      <c r="R22" s="218"/>
      <c r="S22" s="209"/>
      <c r="T22" s="218"/>
      <c r="U22" s="218"/>
      <c r="V22" s="218"/>
      <c r="W22" s="26"/>
      <c r="X22" s="26"/>
      <c r="Y22" s="26"/>
    </row>
    <row r="23" spans="2:25" s="10" customFormat="1" ht="15.95" customHeight="1" x14ac:dyDescent="0.25">
      <c r="B23" s="10" t="s">
        <v>1110</v>
      </c>
      <c r="F23" s="167">
        <f>SUM(F19:F22)</f>
        <v>65000</v>
      </c>
      <c r="G23" s="84" t="s">
        <v>1504</v>
      </c>
      <c r="H23" s="146">
        <f>SUM(H19:H22)</f>
        <v>129950</v>
      </c>
      <c r="I23" s="84" t="s">
        <v>111</v>
      </c>
      <c r="J23" s="34">
        <f>SUM(F23:H23)</f>
        <v>194950</v>
      </c>
      <c r="L23" s="313"/>
      <c r="M23" s="402"/>
      <c r="N23" s="402"/>
      <c r="O23" s="402"/>
      <c r="P23" s="402"/>
      <c r="Q23" s="402"/>
      <c r="R23" s="218"/>
      <c r="S23" s="313"/>
      <c r="T23" s="218"/>
      <c r="U23" s="209"/>
      <c r="V23" s="211"/>
      <c r="W23" s="26"/>
      <c r="Y23" s="26"/>
    </row>
    <row r="24" spans="2:25" s="10" customFormat="1" ht="5.0999999999999996" customHeight="1" x14ac:dyDescent="0.25">
      <c r="F24" s="21"/>
      <c r="G24" s="21"/>
      <c r="H24" s="21"/>
      <c r="I24" s="21"/>
      <c r="J24" s="21"/>
      <c r="L24" s="313"/>
      <c r="M24" s="402"/>
      <c r="N24" s="402"/>
      <c r="O24" s="402"/>
      <c r="P24" s="402"/>
      <c r="Q24" s="402"/>
      <c r="R24" s="218"/>
      <c r="S24" s="313"/>
      <c r="T24" s="218"/>
      <c r="U24" s="209"/>
      <c r="V24" s="323"/>
      <c r="W24" s="26"/>
      <c r="Y24" s="26"/>
    </row>
    <row r="25" spans="2:25" s="10" customFormat="1" ht="15.95" customHeight="1" x14ac:dyDescent="0.25">
      <c r="B25" s="10" t="s">
        <v>1111</v>
      </c>
      <c r="L25" s="313"/>
      <c r="M25" s="402"/>
      <c r="N25" s="402"/>
      <c r="O25" s="402"/>
      <c r="P25" s="402"/>
      <c r="Q25" s="402"/>
      <c r="R25" s="218"/>
      <c r="S25" s="313"/>
      <c r="T25" s="218"/>
      <c r="U25" s="209"/>
      <c r="V25" s="211"/>
      <c r="W25" s="26"/>
      <c r="Y25" s="26"/>
    </row>
    <row r="26" spans="2:25" s="10" customFormat="1" ht="15.95" customHeight="1" x14ac:dyDescent="0.25">
      <c r="B26" s="10" t="s">
        <v>162</v>
      </c>
      <c r="L26" s="313"/>
      <c r="M26" s="402"/>
      <c r="N26" s="402"/>
      <c r="O26" s="402"/>
      <c r="P26" s="402"/>
      <c r="Q26" s="402"/>
      <c r="R26" s="218"/>
      <c r="S26" s="313"/>
      <c r="T26" s="218"/>
      <c r="U26" s="209"/>
      <c r="V26" s="211"/>
      <c r="W26" s="26"/>
      <c r="Y26" s="26"/>
    </row>
    <row r="27" spans="2:25" s="10" customFormat="1" ht="5.0999999999999996" customHeight="1" x14ac:dyDescent="0.25">
      <c r="L27" s="313"/>
      <c r="M27" s="402"/>
      <c r="N27" s="402"/>
      <c r="O27" s="402"/>
      <c r="P27" s="402"/>
      <c r="Q27" s="402"/>
      <c r="R27" s="218"/>
      <c r="S27" s="313"/>
      <c r="T27" s="218"/>
      <c r="U27" s="209"/>
      <c r="V27" s="211"/>
      <c r="W27" s="26"/>
      <c r="Y27" s="26"/>
    </row>
    <row r="28" spans="2:25" s="10" customFormat="1" ht="15.95" customHeight="1" x14ac:dyDescent="0.25">
      <c r="F28" s="67" t="s">
        <v>1490</v>
      </c>
      <c r="G28" s="14" t="s">
        <v>111</v>
      </c>
      <c r="H28" s="67" t="s">
        <v>1491</v>
      </c>
      <c r="I28" s="14" t="s">
        <v>1504</v>
      </c>
      <c r="J28" s="67" t="s">
        <v>1505</v>
      </c>
      <c r="L28" s="313"/>
      <c r="M28" s="402"/>
      <c r="N28" s="402"/>
      <c r="O28" s="402"/>
      <c r="P28" s="402"/>
      <c r="Q28" s="402"/>
      <c r="R28" s="218"/>
      <c r="S28" s="313"/>
      <c r="T28" s="218"/>
      <c r="U28" s="209"/>
      <c r="V28" s="211"/>
      <c r="W28" s="26"/>
      <c r="Y28" s="26"/>
    </row>
    <row r="29" spans="2:25" s="10" customFormat="1" ht="5.0999999999999996" customHeight="1" x14ac:dyDescent="0.25">
      <c r="F29" s="20"/>
      <c r="G29" s="14"/>
      <c r="H29" s="20"/>
      <c r="I29" s="14"/>
      <c r="J29" s="20"/>
      <c r="L29" s="313"/>
      <c r="M29" s="402"/>
      <c r="N29" s="402"/>
      <c r="O29" s="402"/>
      <c r="P29" s="402"/>
      <c r="Q29" s="402"/>
      <c r="R29" s="218"/>
      <c r="S29" s="313"/>
      <c r="T29" s="218"/>
      <c r="U29" s="209"/>
      <c r="V29" s="211"/>
      <c r="W29" s="26"/>
      <c r="Y29" s="26"/>
    </row>
    <row r="30" spans="2:25" s="10" customFormat="1" ht="15.95" customHeight="1" x14ac:dyDescent="0.25">
      <c r="B30" s="10" t="s">
        <v>1112</v>
      </c>
      <c r="F30" s="34">
        <f>Q13</f>
        <v>285500</v>
      </c>
      <c r="G30" s="14" t="s">
        <v>111</v>
      </c>
      <c r="H30" s="13" t="s">
        <v>868</v>
      </c>
      <c r="I30" s="14" t="s">
        <v>1504</v>
      </c>
      <c r="J30" s="34">
        <f>O32</f>
        <v>194950</v>
      </c>
      <c r="L30" s="313"/>
      <c r="M30" s="402"/>
      <c r="N30" s="412" t="s">
        <v>794</v>
      </c>
      <c r="O30" s="402"/>
      <c r="P30" s="402"/>
      <c r="Q30" s="402"/>
      <c r="R30" s="218"/>
      <c r="S30" s="313"/>
      <c r="T30" s="218"/>
      <c r="U30" s="209"/>
      <c r="V30" s="211"/>
      <c r="W30" s="26"/>
      <c r="Y30" s="26"/>
    </row>
    <row r="31" spans="2:25" s="10" customFormat="1" ht="5.0999999999999996" customHeight="1" x14ac:dyDescent="0.25">
      <c r="L31" s="313"/>
      <c r="M31" s="402"/>
      <c r="N31" s="402"/>
      <c r="O31" s="402"/>
      <c r="P31" s="402"/>
      <c r="Q31" s="402"/>
      <c r="R31" s="218"/>
      <c r="S31" s="209"/>
      <c r="T31" s="218"/>
      <c r="U31" s="218"/>
      <c r="V31" s="218"/>
      <c r="W31" s="26"/>
      <c r="X31" s="26"/>
      <c r="Y31" s="26"/>
    </row>
    <row r="32" spans="2:25" s="10" customFormat="1" ht="15.95" customHeight="1" x14ac:dyDescent="0.25">
      <c r="B32" s="10" t="str">
        <f>CONCATENATE("Liabilities  =  ",TEXT(M32,"$#,##0"),N32,TEXT(O32,"$#,##0"),P32,TEXT(Q32,"$#,##0"),)</f>
        <v>Liabilities  =  $285,500 – $194,950 = $90,550</v>
      </c>
      <c r="G32" s="28"/>
      <c r="H32" s="28"/>
      <c r="L32" s="313"/>
      <c r="M32" s="410">
        <f>Q13</f>
        <v>285500</v>
      </c>
      <c r="N32" s="410" t="s">
        <v>1589</v>
      </c>
      <c r="O32" s="410">
        <f>J23</f>
        <v>194950</v>
      </c>
      <c r="P32" s="410" t="s">
        <v>1587</v>
      </c>
      <c r="Q32" s="410">
        <f>SUM(M32-O32)</f>
        <v>90550</v>
      </c>
      <c r="R32" s="313"/>
      <c r="S32" s="313"/>
      <c r="T32" s="218"/>
      <c r="U32" s="218"/>
      <c r="V32" s="218"/>
      <c r="W32" s="26"/>
      <c r="X32" s="26"/>
      <c r="Y32" s="26"/>
    </row>
    <row r="33" spans="12:22" s="10" customFormat="1" ht="5.0999999999999996" customHeight="1" x14ac:dyDescent="0.25">
      <c r="L33" s="313"/>
      <c r="M33" s="402"/>
      <c r="N33" s="402"/>
      <c r="O33" s="402"/>
      <c r="P33" s="402"/>
      <c r="Q33" s="402"/>
      <c r="R33" s="313"/>
      <c r="S33" s="313"/>
      <c r="T33" s="313"/>
      <c r="U33" s="313"/>
      <c r="V33" s="313"/>
    </row>
    <row r="34" spans="12:22" s="10" customFormat="1" ht="15.95" customHeight="1" x14ac:dyDescent="0.25">
      <c r="L34" s="313"/>
      <c r="M34" s="402"/>
      <c r="N34" s="402"/>
      <c r="O34" s="402"/>
      <c r="P34" s="402"/>
      <c r="Q34" s="402"/>
      <c r="R34" s="313"/>
      <c r="S34" s="313"/>
      <c r="T34" s="313"/>
      <c r="U34" s="313"/>
      <c r="V34" s="313"/>
    </row>
    <row r="35" spans="12:22" s="10" customFormat="1" ht="15.95" customHeight="1" x14ac:dyDescent="0.25">
      <c r="L35" s="313"/>
      <c r="M35" s="402"/>
      <c r="N35" s="402"/>
      <c r="O35" s="402"/>
      <c r="P35" s="402"/>
      <c r="Q35" s="402"/>
      <c r="R35" s="313"/>
      <c r="S35" s="313"/>
      <c r="T35" s="313"/>
      <c r="U35" s="313"/>
      <c r="V35" s="313"/>
    </row>
    <row r="36" spans="12:22" s="10" customFormat="1" ht="15.95" customHeight="1" x14ac:dyDescent="0.25">
      <c r="L36" s="313"/>
      <c r="M36" s="402"/>
      <c r="N36" s="402"/>
      <c r="O36" s="402"/>
      <c r="P36" s="402"/>
      <c r="Q36" s="402"/>
      <c r="R36" s="313"/>
      <c r="S36" s="313"/>
      <c r="T36" s="313"/>
      <c r="U36" s="313"/>
      <c r="V36" s="313"/>
    </row>
    <row r="37" spans="12:22" s="10" customFormat="1" ht="15.95" customHeight="1" x14ac:dyDescent="0.25">
      <c r="L37" s="313"/>
      <c r="M37" s="402"/>
      <c r="N37" s="402"/>
      <c r="O37" s="402"/>
      <c r="P37" s="402"/>
      <c r="Q37" s="402"/>
      <c r="R37" s="313"/>
      <c r="S37" s="313"/>
      <c r="T37" s="313"/>
      <c r="U37" s="313"/>
      <c r="V37" s="313"/>
    </row>
    <row r="38" spans="12:22" s="10" customFormat="1" ht="15.95" customHeight="1" x14ac:dyDescent="0.25">
      <c r="L38" s="313"/>
      <c r="M38" s="402"/>
      <c r="N38" s="402"/>
      <c r="O38" s="402"/>
      <c r="P38" s="402"/>
      <c r="Q38" s="402"/>
      <c r="R38" s="313"/>
      <c r="S38" s="313"/>
      <c r="T38" s="313"/>
      <c r="U38" s="313"/>
      <c r="V38" s="313"/>
    </row>
    <row r="39" spans="12:22" s="10" customFormat="1" ht="15.95" customHeight="1" x14ac:dyDescent="0.25">
      <c r="L39" s="313"/>
      <c r="M39" s="402"/>
      <c r="N39" s="402"/>
      <c r="O39" s="402"/>
      <c r="P39" s="402"/>
      <c r="Q39" s="402"/>
      <c r="R39" s="313"/>
      <c r="S39" s="313"/>
      <c r="T39" s="313"/>
      <c r="U39" s="313"/>
      <c r="V39" s="313"/>
    </row>
    <row r="40" spans="12:22" s="10" customFormat="1" ht="15" customHeight="1" x14ac:dyDescent="0.25">
      <c r="L40" s="313"/>
      <c r="M40" s="402"/>
      <c r="N40" s="402"/>
      <c r="O40" s="402"/>
      <c r="P40" s="402"/>
      <c r="Q40" s="402"/>
      <c r="R40" s="313"/>
      <c r="S40" s="313"/>
      <c r="T40" s="313"/>
      <c r="U40" s="313"/>
      <c r="V40" s="313"/>
    </row>
    <row r="41" spans="12:22" s="10" customFormat="1" ht="9.9499999999999993" customHeight="1" x14ac:dyDescent="0.25">
      <c r="L41" s="313"/>
      <c r="M41" s="402"/>
      <c r="N41" s="402"/>
      <c r="O41" s="402"/>
      <c r="P41" s="402"/>
      <c r="Q41" s="402"/>
      <c r="R41" s="313"/>
      <c r="S41" s="313"/>
      <c r="T41" s="313"/>
      <c r="U41" s="313"/>
      <c r="V41" s="313"/>
    </row>
    <row r="42" spans="12:22" s="10" customFormat="1" ht="14.1" customHeight="1" x14ac:dyDescent="0.25">
      <c r="L42" s="313"/>
      <c r="M42" s="402"/>
      <c r="N42" s="402"/>
      <c r="O42" s="402"/>
      <c r="P42" s="402"/>
      <c r="Q42" s="402"/>
      <c r="R42" s="313"/>
      <c r="S42" s="313"/>
      <c r="T42" s="313"/>
      <c r="U42" s="313"/>
      <c r="V42" s="313"/>
    </row>
    <row r="43" spans="12:22" s="10" customFormat="1" ht="14.1" customHeight="1" x14ac:dyDescent="0.25">
      <c r="L43" s="313"/>
      <c r="M43" s="402"/>
      <c r="N43" s="402"/>
      <c r="O43" s="402"/>
      <c r="P43" s="402"/>
      <c r="Q43" s="402"/>
      <c r="R43" s="313"/>
      <c r="S43" s="313"/>
      <c r="T43" s="313"/>
      <c r="U43" s="313"/>
      <c r="V43" s="313"/>
    </row>
    <row r="44" spans="12:22" s="10" customFormat="1" ht="15" customHeight="1" x14ac:dyDescent="0.25">
      <c r="L44" s="313"/>
      <c r="M44" s="402"/>
      <c r="N44" s="402"/>
      <c r="O44" s="402"/>
      <c r="P44" s="402"/>
      <c r="Q44" s="402"/>
      <c r="R44" s="313"/>
      <c r="S44" s="313"/>
      <c r="T44" s="313"/>
      <c r="U44" s="313"/>
      <c r="V44" s="313"/>
    </row>
    <row r="45" spans="12:22" s="10" customFormat="1" ht="14.1" customHeight="1" x14ac:dyDescent="0.25">
      <c r="L45" s="313"/>
      <c r="M45" s="402"/>
      <c r="N45" s="402"/>
      <c r="O45" s="402"/>
      <c r="P45" s="402"/>
      <c r="Q45" s="402"/>
      <c r="R45" s="313"/>
      <c r="S45" s="313"/>
      <c r="T45" s="313"/>
      <c r="U45" s="313"/>
      <c r="V45" s="313"/>
    </row>
    <row r="46" spans="12:22" s="10" customFormat="1" ht="15" customHeight="1" x14ac:dyDescent="0.25">
      <c r="L46" s="313"/>
      <c r="M46" s="402"/>
      <c r="N46" s="402"/>
      <c r="O46" s="402"/>
      <c r="P46" s="402"/>
      <c r="Q46" s="402"/>
      <c r="R46" s="313"/>
      <c r="S46" s="313"/>
      <c r="T46" s="313"/>
      <c r="U46" s="313"/>
      <c r="V46" s="313"/>
    </row>
    <row r="47" spans="12:22" s="10" customFormat="1" ht="15" customHeight="1" x14ac:dyDescent="0.25">
      <c r="L47" s="313"/>
      <c r="M47" s="402"/>
      <c r="N47" s="402"/>
      <c r="O47" s="402"/>
      <c r="P47" s="402"/>
      <c r="Q47" s="402"/>
      <c r="R47" s="313"/>
      <c r="S47" s="313"/>
      <c r="T47" s="313"/>
      <c r="U47" s="313"/>
      <c r="V47" s="313"/>
    </row>
    <row r="48" spans="12:22" s="10" customFormat="1" ht="15" customHeight="1" x14ac:dyDescent="0.25">
      <c r="L48" s="313"/>
      <c r="M48" s="402"/>
      <c r="N48" s="402"/>
      <c r="O48" s="402"/>
      <c r="P48" s="402"/>
      <c r="Q48" s="402"/>
      <c r="R48" s="313"/>
      <c r="S48" s="313"/>
      <c r="T48" s="313"/>
      <c r="U48" s="313"/>
      <c r="V48" s="313"/>
    </row>
    <row r="49" spans="12:24" s="10" customFormat="1" ht="15" customHeight="1" x14ac:dyDescent="0.25">
      <c r="L49" s="313"/>
      <c r="M49" s="402"/>
      <c r="N49" s="402"/>
      <c r="O49" s="402"/>
      <c r="P49" s="402"/>
      <c r="Q49" s="402"/>
      <c r="R49" s="313"/>
      <c r="S49" s="313"/>
      <c r="T49" s="313"/>
      <c r="U49" s="313"/>
      <c r="V49" s="313"/>
    </row>
    <row r="50" spans="12:24" s="10" customFormat="1" ht="15" customHeight="1" x14ac:dyDescent="0.25">
      <c r="L50" s="313"/>
      <c r="M50" s="402"/>
      <c r="N50" s="402"/>
      <c r="O50" s="402"/>
      <c r="P50" s="402"/>
      <c r="Q50" s="402"/>
      <c r="R50" s="313"/>
      <c r="S50" s="313"/>
      <c r="T50" s="313"/>
      <c r="U50" s="313"/>
      <c r="V50" s="313"/>
    </row>
    <row r="51" spans="12:24" s="10" customFormat="1" ht="15" customHeight="1" x14ac:dyDescent="0.25">
      <c r="L51" s="313"/>
      <c r="M51" s="402"/>
      <c r="N51" s="402"/>
      <c r="O51" s="402"/>
      <c r="P51" s="402"/>
      <c r="Q51" s="402"/>
      <c r="R51" s="313"/>
      <c r="S51" s="313"/>
      <c r="T51" s="313"/>
      <c r="U51" s="313"/>
      <c r="V51" s="313"/>
    </row>
    <row r="52" spans="12:24" s="10" customFormat="1" ht="15" customHeight="1" x14ac:dyDescent="0.25">
      <c r="L52" s="313"/>
      <c r="M52" s="402"/>
      <c r="N52" s="402"/>
      <c r="O52" s="402"/>
      <c r="P52" s="402"/>
      <c r="Q52" s="402"/>
      <c r="R52" s="313"/>
      <c r="S52" s="313"/>
      <c r="T52" s="313"/>
      <c r="U52" s="313"/>
      <c r="V52" s="313"/>
    </row>
    <row r="53" spans="12:24" s="10" customFormat="1" ht="15" customHeight="1" x14ac:dyDescent="0.25">
      <c r="L53" s="313"/>
      <c r="M53" s="402"/>
      <c r="N53" s="402"/>
      <c r="O53" s="402"/>
      <c r="P53" s="402"/>
      <c r="Q53" s="402"/>
      <c r="R53" s="313"/>
      <c r="S53" s="313"/>
      <c r="T53" s="313"/>
      <c r="U53" s="313"/>
      <c r="V53" s="313"/>
    </row>
    <row r="54" spans="12:24" s="10" customFormat="1" ht="15" customHeight="1" x14ac:dyDescent="0.25">
      <c r="L54" s="313"/>
      <c r="M54" s="402"/>
      <c r="N54" s="402"/>
      <c r="O54" s="402"/>
      <c r="P54" s="402"/>
      <c r="Q54" s="402"/>
      <c r="R54" s="313"/>
      <c r="S54" s="313"/>
      <c r="T54" s="313"/>
      <c r="U54" s="313"/>
      <c r="V54" s="313"/>
      <c r="W54" s="2"/>
      <c r="X54" s="2"/>
    </row>
    <row r="55" spans="12:24" s="10" customFormat="1" ht="15" customHeight="1" x14ac:dyDescent="0.25">
      <c r="L55" s="313"/>
      <c r="M55" s="402"/>
      <c r="N55" s="402"/>
      <c r="O55" s="402"/>
      <c r="P55" s="402"/>
      <c r="Q55" s="402"/>
      <c r="R55" s="313"/>
      <c r="S55" s="313"/>
      <c r="T55" s="313"/>
      <c r="U55" s="313"/>
      <c r="V55" s="313"/>
      <c r="W55" s="2"/>
      <c r="X55" s="2"/>
    </row>
    <row r="56" spans="12:24" s="10" customFormat="1" ht="15" customHeight="1" x14ac:dyDescent="0.25">
      <c r="L56" s="313"/>
      <c r="M56" s="402"/>
      <c r="N56" s="402"/>
      <c r="O56" s="402"/>
      <c r="P56" s="402"/>
      <c r="Q56" s="402"/>
      <c r="R56" s="313"/>
      <c r="S56" s="312"/>
      <c r="T56" s="312"/>
      <c r="U56" s="312"/>
      <c r="V56" s="312"/>
      <c r="W56" s="2"/>
      <c r="X56" s="2"/>
    </row>
  </sheetData>
  <customSheetViews>
    <customSheetView guid="{B2DDA8C4-3089-41F7-BA6E-A0E09596A2CA}" scale="70" showPageBreaks="1" fitToPage="1" printArea="1">
      <pageMargins left="0.75" right="1" top="0.85" bottom="0.8" header="0.5" footer="0.35"/>
      <printOptions horizontalCentered="1"/>
      <pageSetup scale="93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pageMargins left="0.75" right="1" top="0.85" bottom="0.8" header="0.5" footer="0.35"/>
      <printOptions horizontalCentered="1"/>
      <pageSetup scale="92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pageMargins left="0.75" right="1" top="0.85" bottom="0.8" header="0.5" footer="0.35"/>
      <printOptions horizontalCentered="1"/>
      <pageSetup scale="93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">
    <mergeCell ref="B2:K2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drawing r:id="rId7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3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2" width="4.7109375" style="2" customWidth="1"/>
    <col min="3" max="3" width="3.5703125" style="2" customWidth="1"/>
    <col min="4" max="4" width="4.7109375" style="2" customWidth="1"/>
    <col min="5" max="5" width="15.7109375" style="2" customWidth="1"/>
    <col min="6" max="6" width="4.7109375" style="2" customWidth="1"/>
    <col min="7" max="7" width="6.7109375" style="2" customWidth="1"/>
    <col min="8" max="8" width="6" style="2" customWidth="1"/>
    <col min="9" max="9" width="4.42578125" style="2" customWidth="1"/>
    <col min="10" max="10" width="11.5703125" style="2" customWidth="1"/>
    <col min="11" max="11" width="2.28515625" style="2" customWidth="1"/>
    <col min="12" max="12" width="11.5703125" style="2" customWidth="1"/>
    <col min="13" max="13" width="1.7109375" style="2" customWidth="1"/>
    <col min="14" max="14" width="11.5703125" style="2" customWidth="1"/>
    <col min="15" max="15" width="3.7109375" style="2" customWidth="1"/>
    <col min="16" max="16" width="9.140625" style="312"/>
    <col min="17" max="17" width="2.7109375" style="312" customWidth="1"/>
    <col min="18" max="18" width="0" style="407" hidden="1" customWidth="1"/>
    <col min="19" max="19" width="2.7109375" style="407" hidden="1" customWidth="1"/>
    <col min="20" max="20" width="0" style="407" hidden="1" customWidth="1"/>
    <col min="21" max="21" width="2.7109375" style="407" hidden="1" customWidth="1"/>
    <col min="22" max="22" width="0" style="407" hidden="1" customWidth="1"/>
    <col min="23" max="23" width="2.7109375" style="312" customWidth="1"/>
    <col min="24" max="26" width="9.140625" style="312"/>
    <col min="27" max="27" width="14" style="2" bestFit="1" customWidth="1"/>
    <col min="28" max="16384" width="9.140625" style="2"/>
  </cols>
  <sheetData>
    <row r="1" spans="1:26" ht="28.5" customHeight="1" x14ac:dyDescent="0.2"/>
    <row r="2" spans="1:26" ht="15.95" customHeight="1" x14ac:dyDescent="0.25">
      <c r="A2" s="10"/>
      <c r="B2" s="10" t="s">
        <v>1185</v>
      </c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26" ht="15.95" customHeight="1" x14ac:dyDescent="0.25">
      <c r="A3" s="10"/>
      <c r="B3" s="10" t="s">
        <v>943</v>
      </c>
      <c r="C3" s="10"/>
      <c r="D3" s="10"/>
      <c r="E3" s="10"/>
      <c r="F3" s="10"/>
      <c r="G3" s="10"/>
      <c r="H3" s="10"/>
      <c r="I3" s="10"/>
      <c r="J3" s="10"/>
      <c r="K3" s="10"/>
      <c r="L3" s="10"/>
      <c r="V3" s="418" t="s">
        <v>1682</v>
      </c>
    </row>
    <row r="4" spans="1:26" ht="15.95" customHeight="1" x14ac:dyDescent="0.25">
      <c r="A4" s="10"/>
      <c r="B4" s="10" t="s">
        <v>944</v>
      </c>
      <c r="C4" s="10"/>
      <c r="D4" s="10"/>
      <c r="E4" s="10"/>
      <c r="F4" s="10"/>
      <c r="G4" s="10"/>
      <c r="H4" s="10"/>
      <c r="I4" s="10"/>
      <c r="J4" s="10"/>
      <c r="K4" s="10"/>
      <c r="L4" s="10"/>
      <c r="U4" s="405" t="s">
        <v>0</v>
      </c>
      <c r="V4" s="409">
        <v>145200</v>
      </c>
      <c r="W4" s="218"/>
      <c r="X4" s="218"/>
      <c r="Y4" s="218"/>
    </row>
    <row r="5" spans="1:26" ht="5.0999999999999996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U5" s="405"/>
      <c r="W5" s="218"/>
      <c r="X5" s="218"/>
      <c r="Y5" s="218"/>
    </row>
    <row r="6" spans="1:26" ht="15.95" customHeight="1" x14ac:dyDescent="0.25">
      <c r="A6" s="10"/>
      <c r="B6" s="11" t="s">
        <v>1507</v>
      </c>
      <c r="C6" s="354" t="s">
        <v>1490</v>
      </c>
      <c r="D6" s="354"/>
      <c r="E6" s="354"/>
      <c r="F6" s="13" t="s">
        <v>111</v>
      </c>
      <c r="G6" s="10" t="s">
        <v>1491</v>
      </c>
      <c r="H6" s="10"/>
      <c r="I6" s="14" t="s">
        <v>1504</v>
      </c>
      <c r="J6" s="10" t="s">
        <v>945</v>
      </c>
      <c r="K6" s="10"/>
      <c r="L6" s="10"/>
      <c r="M6" s="10"/>
      <c r="N6" s="10"/>
      <c r="O6" s="10"/>
      <c r="U6" s="405" t="s">
        <v>1</v>
      </c>
      <c r="V6" s="409">
        <v>92600</v>
      </c>
      <c r="W6" s="218"/>
      <c r="X6" s="218"/>
      <c r="Y6" s="218"/>
    </row>
    <row r="7" spans="1:26" ht="15.95" customHeight="1" x14ac:dyDescent="0.25">
      <c r="A7" s="10"/>
      <c r="B7" s="10"/>
      <c r="C7" s="10"/>
      <c r="D7" s="10"/>
      <c r="E7" s="10"/>
      <c r="F7" s="10"/>
      <c r="G7" s="10"/>
      <c r="H7" s="10"/>
      <c r="I7" s="13"/>
      <c r="J7" s="10" t="s">
        <v>946</v>
      </c>
      <c r="K7" s="10"/>
      <c r="L7" s="10"/>
      <c r="M7" s="10"/>
      <c r="N7" s="10"/>
      <c r="O7" s="10"/>
      <c r="U7" s="405" t="s">
        <v>2</v>
      </c>
      <c r="V7" s="409">
        <v>126900</v>
      </c>
      <c r="W7" s="218"/>
      <c r="X7" s="218"/>
      <c r="Y7" s="218"/>
    </row>
    <row r="8" spans="1:26" ht="15.95" customHeight="1" x14ac:dyDescent="0.25">
      <c r="A8" s="10"/>
      <c r="B8" s="10"/>
      <c r="C8" s="354" t="s">
        <v>1490</v>
      </c>
      <c r="D8" s="354"/>
      <c r="E8" s="354"/>
      <c r="F8" s="13" t="s">
        <v>111</v>
      </c>
      <c r="G8" s="356">
        <f>V7</f>
        <v>126900</v>
      </c>
      <c r="H8" s="356"/>
      <c r="I8" s="84" t="s">
        <v>1504</v>
      </c>
      <c r="J8" s="356">
        <f>V8</f>
        <v>104100</v>
      </c>
      <c r="K8" s="356"/>
      <c r="L8" s="390"/>
      <c r="M8" s="10"/>
      <c r="N8" s="10"/>
      <c r="O8" s="10"/>
      <c r="U8" s="405" t="s">
        <v>3</v>
      </c>
      <c r="V8" s="409">
        <v>104100</v>
      </c>
      <c r="W8" s="218"/>
      <c r="X8" s="218"/>
      <c r="Y8" s="218"/>
    </row>
    <row r="9" spans="1:26" ht="15.95" customHeight="1" x14ac:dyDescent="0.25">
      <c r="A9" s="10"/>
      <c r="B9" s="10"/>
      <c r="C9" s="354" t="s">
        <v>1490</v>
      </c>
      <c r="D9" s="354"/>
      <c r="E9" s="354"/>
      <c r="F9" s="13" t="s">
        <v>111</v>
      </c>
      <c r="G9" s="356">
        <f>G8+J8</f>
        <v>231000</v>
      </c>
      <c r="H9" s="390"/>
      <c r="I9" s="34"/>
      <c r="J9" s="21"/>
      <c r="K9" s="21"/>
      <c r="L9" s="21"/>
      <c r="M9" s="10"/>
      <c r="N9" s="10"/>
      <c r="O9" s="10"/>
      <c r="U9" s="405" t="s">
        <v>4</v>
      </c>
      <c r="V9" s="409">
        <v>77500</v>
      </c>
      <c r="W9" s="218"/>
      <c r="X9" s="218"/>
      <c r="Y9" s="218"/>
    </row>
    <row r="10" spans="1:26" ht="5.0999999999999996" customHeight="1" x14ac:dyDescent="0.25">
      <c r="A10" s="10"/>
      <c r="B10" s="10"/>
      <c r="C10" s="10"/>
      <c r="D10" s="10"/>
      <c r="E10" s="10"/>
      <c r="F10" s="13"/>
      <c r="G10" s="28"/>
      <c r="H10" s="96"/>
      <c r="I10" s="34"/>
      <c r="J10" s="21"/>
      <c r="K10" s="21"/>
      <c r="L10" s="21"/>
      <c r="M10" s="10"/>
      <c r="N10" s="10"/>
      <c r="O10" s="10"/>
    </row>
    <row r="11" spans="1:26" ht="15.95" customHeight="1" x14ac:dyDescent="0.25">
      <c r="A11" s="10"/>
      <c r="B11" s="11" t="s">
        <v>1509</v>
      </c>
      <c r="C11" s="354" t="s">
        <v>1490</v>
      </c>
      <c r="D11" s="354"/>
      <c r="E11" s="354"/>
      <c r="F11" s="13" t="s">
        <v>111</v>
      </c>
      <c r="G11" s="10" t="s">
        <v>1491</v>
      </c>
      <c r="H11" s="10"/>
      <c r="I11" s="14" t="s">
        <v>1504</v>
      </c>
      <c r="J11" s="10" t="s">
        <v>945</v>
      </c>
      <c r="K11" s="10"/>
      <c r="L11" s="10"/>
      <c r="U11" s="405" t="s">
        <v>1604</v>
      </c>
      <c r="V11" s="409">
        <v>554800</v>
      </c>
      <c r="W11" s="218"/>
      <c r="X11" s="218"/>
      <c r="Y11" s="218"/>
    </row>
    <row r="12" spans="1:26" ht="15.95" customHeight="1" x14ac:dyDescent="0.25">
      <c r="A12" s="10"/>
      <c r="B12" s="10"/>
      <c r="C12" s="10"/>
      <c r="D12" s="10"/>
      <c r="F12" s="10"/>
      <c r="G12" s="10"/>
      <c r="H12" s="10"/>
      <c r="I12" s="13"/>
      <c r="J12" s="10" t="s">
        <v>947</v>
      </c>
      <c r="K12" s="10"/>
      <c r="L12" s="10"/>
    </row>
    <row r="13" spans="1:26" ht="15.95" customHeight="1" x14ac:dyDescent="0.25">
      <c r="A13" s="10"/>
      <c r="B13" s="10"/>
      <c r="C13" s="391">
        <f>V4</f>
        <v>145200</v>
      </c>
      <c r="D13" s="391"/>
      <c r="E13" s="391"/>
      <c r="F13" s="13" t="s">
        <v>111</v>
      </c>
      <c r="G13" s="356">
        <f>V6</f>
        <v>92600</v>
      </c>
      <c r="H13" s="356"/>
      <c r="I13" s="14" t="s">
        <v>1504</v>
      </c>
      <c r="J13" s="10" t="s">
        <v>948</v>
      </c>
      <c r="K13" s="10"/>
      <c r="L13" s="10"/>
    </row>
    <row r="14" spans="1:26" ht="15.95" customHeight="1" x14ac:dyDescent="0.25">
      <c r="A14" s="10"/>
      <c r="B14" s="10"/>
      <c r="C14" s="354" t="s">
        <v>949</v>
      </c>
      <c r="D14" s="354"/>
      <c r="E14" s="354"/>
      <c r="F14" s="13" t="s">
        <v>111</v>
      </c>
      <c r="G14" s="356">
        <f>C13-G13</f>
        <v>52600</v>
      </c>
      <c r="H14" s="356"/>
      <c r="I14" s="13"/>
      <c r="J14" s="10"/>
      <c r="K14" s="10"/>
      <c r="L14" s="10"/>
    </row>
    <row r="15" spans="1:26" ht="5.0999999999999996" customHeight="1" x14ac:dyDescent="0.25">
      <c r="C15" s="10"/>
      <c r="D15" s="10"/>
      <c r="I15" s="97"/>
    </row>
    <row r="16" spans="1:26" s="10" customFormat="1" ht="15.95" customHeight="1" x14ac:dyDescent="0.25">
      <c r="B16" s="11" t="s">
        <v>1510</v>
      </c>
      <c r="C16" s="354" t="s">
        <v>950</v>
      </c>
      <c r="D16" s="354"/>
      <c r="E16" s="354"/>
      <c r="F16" s="392" t="s">
        <v>1504</v>
      </c>
      <c r="G16" s="393" t="s">
        <v>110</v>
      </c>
      <c r="H16" s="393"/>
      <c r="I16" s="392" t="s">
        <v>329</v>
      </c>
      <c r="J16" s="393" t="s">
        <v>688</v>
      </c>
      <c r="K16" s="392" t="s">
        <v>111</v>
      </c>
      <c r="L16" s="10" t="s">
        <v>951</v>
      </c>
      <c r="P16" s="313"/>
      <c r="Q16" s="313"/>
      <c r="R16" s="402"/>
      <c r="S16" s="402"/>
      <c r="T16" s="402"/>
      <c r="U16" s="402"/>
      <c r="V16" s="402"/>
      <c r="W16" s="313"/>
      <c r="X16" s="313"/>
      <c r="Y16" s="313"/>
      <c r="Z16" s="313"/>
    </row>
    <row r="17" spans="2:28" s="10" customFormat="1" ht="15.95" customHeight="1" x14ac:dyDescent="0.25">
      <c r="C17" s="354" t="s">
        <v>949</v>
      </c>
      <c r="D17" s="354"/>
      <c r="E17" s="354"/>
      <c r="F17" s="392"/>
      <c r="G17" s="393"/>
      <c r="H17" s="393"/>
      <c r="I17" s="392"/>
      <c r="J17" s="393"/>
      <c r="K17" s="392"/>
      <c r="L17" s="10" t="s">
        <v>550</v>
      </c>
      <c r="P17" s="313"/>
      <c r="Q17" s="313"/>
      <c r="R17" s="402"/>
      <c r="S17" s="402"/>
      <c r="T17" s="402"/>
      <c r="U17" s="402"/>
      <c r="V17" s="402"/>
      <c r="W17" s="313"/>
      <c r="X17" s="313"/>
      <c r="Y17" s="313"/>
      <c r="Z17" s="313"/>
    </row>
    <row r="18" spans="2:28" s="10" customFormat="1" ht="15.95" customHeight="1" x14ac:dyDescent="0.25">
      <c r="C18" s="389">
        <f>'1-29'!G14</f>
        <v>52600</v>
      </c>
      <c r="D18" s="389"/>
      <c r="E18" s="389"/>
      <c r="F18" s="14" t="s">
        <v>1504</v>
      </c>
      <c r="G18" s="356">
        <f>V9</f>
        <v>77500</v>
      </c>
      <c r="H18" s="356"/>
      <c r="I18" s="14" t="s">
        <v>329</v>
      </c>
      <c r="J18" s="10" t="s">
        <v>688</v>
      </c>
      <c r="K18" s="14" t="s">
        <v>111</v>
      </c>
      <c r="L18" s="28">
        <f>V8</f>
        <v>104100</v>
      </c>
      <c r="P18" s="313"/>
      <c r="Q18" s="313"/>
      <c r="R18" s="402"/>
      <c r="S18" s="402"/>
      <c r="T18" s="402"/>
      <c r="U18" s="402"/>
      <c r="V18" s="402"/>
      <c r="W18" s="313"/>
      <c r="X18" s="313"/>
      <c r="Y18" s="313"/>
      <c r="Z18" s="313"/>
    </row>
    <row r="19" spans="2:28" s="10" customFormat="1" ht="15.95" customHeight="1" x14ac:dyDescent="0.25">
      <c r="C19" s="354" t="s">
        <v>688</v>
      </c>
      <c r="D19" s="354"/>
      <c r="E19" s="354"/>
      <c r="F19" s="14" t="s">
        <v>111</v>
      </c>
      <c r="G19" s="356">
        <f>C18+G18-L18</f>
        <v>26000</v>
      </c>
      <c r="H19" s="390"/>
      <c r="I19" s="13"/>
      <c r="P19" s="330"/>
      <c r="Q19" s="330"/>
      <c r="R19" s="447"/>
      <c r="S19" s="447"/>
      <c r="T19" s="447"/>
      <c r="U19" s="447"/>
      <c r="V19" s="447"/>
      <c r="W19" s="313"/>
      <c r="X19" s="313"/>
      <c r="Y19" s="313"/>
      <c r="Z19" s="313"/>
    </row>
    <row r="20" spans="2:28" s="10" customFormat="1" ht="5.0999999999999996" customHeight="1" x14ac:dyDescent="0.25">
      <c r="I20" s="13"/>
      <c r="P20" s="313"/>
      <c r="Q20" s="313"/>
      <c r="R20" s="402"/>
      <c r="S20" s="402"/>
      <c r="T20" s="402"/>
      <c r="U20" s="402"/>
      <c r="V20" s="402"/>
      <c r="W20" s="313"/>
      <c r="X20" s="313"/>
      <c r="Y20" s="313"/>
      <c r="Z20" s="313"/>
    </row>
    <row r="21" spans="2:28" s="10" customFormat="1" ht="15.95" customHeight="1" x14ac:dyDescent="0.25">
      <c r="B21" s="11" t="s">
        <v>953</v>
      </c>
      <c r="C21" s="354" t="s">
        <v>1498</v>
      </c>
      <c r="D21" s="354"/>
      <c r="E21" s="354"/>
      <c r="F21" s="14" t="s">
        <v>329</v>
      </c>
      <c r="G21" s="10" t="s">
        <v>687</v>
      </c>
      <c r="I21" s="13" t="s">
        <v>111</v>
      </c>
      <c r="J21" s="16" t="s">
        <v>110</v>
      </c>
      <c r="K21" s="16"/>
      <c r="P21" s="313"/>
      <c r="Q21" s="313"/>
      <c r="R21" s="402"/>
      <c r="S21" s="402"/>
      <c r="T21" s="402"/>
      <c r="U21" s="402"/>
      <c r="V21" s="402"/>
      <c r="W21" s="313"/>
      <c r="X21" s="313"/>
      <c r="Y21" s="313"/>
      <c r="Z21" s="313"/>
    </row>
    <row r="22" spans="2:28" s="10" customFormat="1" ht="15.95" customHeight="1" x14ac:dyDescent="0.25">
      <c r="C22" s="389">
        <f>V11</f>
        <v>554800</v>
      </c>
      <c r="D22" s="389"/>
      <c r="E22" s="389"/>
      <c r="F22" s="14" t="s">
        <v>329</v>
      </c>
      <c r="G22" s="10" t="s">
        <v>687</v>
      </c>
      <c r="I22" s="13" t="s">
        <v>111</v>
      </c>
      <c r="J22" s="28">
        <f>V9</f>
        <v>77500</v>
      </c>
      <c r="K22" s="28"/>
      <c r="P22" s="313"/>
      <c r="Q22" s="313"/>
      <c r="R22" s="402"/>
      <c r="S22" s="402"/>
      <c r="T22" s="402"/>
      <c r="U22" s="402"/>
      <c r="V22" s="402"/>
      <c r="W22" s="313"/>
      <c r="X22" s="313"/>
      <c r="Y22" s="313"/>
      <c r="Z22" s="313"/>
    </row>
    <row r="23" spans="2:28" s="10" customFormat="1" ht="15.95" customHeight="1" x14ac:dyDescent="0.25">
      <c r="C23" s="354" t="s">
        <v>687</v>
      </c>
      <c r="D23" s="354"/>
      <c r="E23" s="354"/>
      <c r="F23" s="13" t="s">
        <v>111</v>
      </c>
      <c r="G23" s="356">
        <f>C22-J22</f>
        <v>477300</v>
      </c>
      <c r="H23" s="356"/>
      <c r="I23" s="13"/>
      <c r="P23" s="313"/>
      <c r="Q23" s="313"/>
      <c r="R23" s="402"/>
      <c r="S23" s="402"/>
      <c r="T23" s="402"/>
      <c r="U23" s="402"/>
      <c r="V23" s="402"/>
      <c r="W23" s="313"/>
      <c r="X23" s="313"/>
      <c r="Y23" s="313"/>
      <c r="Z23" s="313"/>
    </row>
    <row r="24" spans="2:28" s="10" customFormat="1" ht="15.95" customHeight="1" x14ac:dyDescent="0.25">
      <c r="P24" s="313"/>
      <c r="Q24" s="313"/>
      <c r="R24" s="402"/>
      <c r="S24" s="402"/>
      <c r="T24" s="402"/>
      <c r="U24" s="402"/>
      <c r="V24" s="402"/>
      <c r="W24" s="313"/>
      <c r="X24" s="313"/>
      <c r="Y24" s="313"/>
      <c r="Z24" s="313"/>
    </row>
    <row r="25" spans="2:28" s="10" customFormat="1" ht="15.95" customHeight="1" x14ac:dyDescent="0.25">
      <c r="B25" s="26" t="s">
        <v>1186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P25" s="313"/>
      <c r="Q25" s="313"/>
      <c r="R25" s="402"/>
      <c r="S25" s="402"/>
      <c r="T25" s="402"/>
      <c r="U25" s="402"/>
      <c r="V25" s="402"/>
      <c r="W25" s="313"/>
      <c r="X25" s="313"/>
      <c r="Y25" s="313"/>
      <c r="Z25" s="313"/>
    </row>
    <row r="26" spans="2:28" s="10" customFormat="1" ht="5.0999999999999996" customHeight="1" x14ac:dyDescent="0.25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P26" s="313"/>
      <c r="Q26" s="313"/>
      <c r="R26" s="402"/>
      <c r="S26" s="402"/>
      <c r="T26" s="402"/>
      <c r="U26" s="402"/>
      <c r="V26" s="402"/>
      <c r="W26" s="313"/>
      <c r="X26" s="313"/>
      <c r="Y26" s="313"/>
      <c r="Z26" s="313"/>
    </row>
    <row r="27" spans="2:28" s="10" customFormat="1" ht="15.95" customHeight="1" x14ac:dyDescent="0.25">
      <c r="B27" s="363" t="s">
        <v>954</v>
      </c>
      <c r="C27" s="363"/>
      <c r="D27" s="363"/>
      <c r="E27" s="363"/>
      <c r="F27" s="363"/>
      <c r="G27" s="363"/>
      <c r="H27" s="363"/>
      <c r="I27" s="363"/>
      <c r="J27" s="363"/>
      <c r="K27" s="363"/>
      <c r="L27" s="363"/>
      <c r="M27" s="363"/>
      <c r="N27" s="363"/>
      <c r="O27" s="98"/>
      <c r="P27" s="313"/>
      <c r="Q27" s="313"/>
      <c r="R27" s="402"/>
      <c r="S27" s="402"/>
      <c r="T27" s="402"/>
      <c r="U27" s="402"/>
      <c r="V27" s="402"/>
      <c r="W27" s="218"/>
      <c r="X27" s="218"/>
      <c r="Y27" s="218"/>
      <c r="Z27" s="218"/>
      <c r="AA27" s="26"/>
      <c r="AB27" s="26"/>
    </row>
    <row r="28" spans="2:28" s="10" customFormat="1" ht="15.95" customHeight="1" x14ac:dyDescent="0.25">
      <c r="B28" s="363" t="s">
        <v>467</v>
      </c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  <c r="O28" s="98"/>
      <c r="P28" s="313"/>
      <c r="Q28" s="313"/>
      <c r="R28" s="402"/>
      <c r="S28" s="402"/>
      <c r="T28" s="402"/>
      <c r="U28" s="402"/>
      <c r="V28" s="402"/>
      <c r="W28" s="218"/>
      <c r="X28" s="218"/>
      <c r="Y28" s="218"/>
      <c r="Z28" s="218"/>
      <c r="AA28" s="26"/>
      <c r="AB28" s="26"/>
    </row>
    <row r="29" spans="2:28" s="10" customFormat="1" ht="15.95" customHeight="1" x14ac:dyDescent="0.25">
      <c r="B29" s="372" t="s">
        <v>1118</v>
      </c>
      <c r="C29" s="372"/>
      <c r="D29" s="372"/>
      <c r="E29" s="372"/>
      <c r="F29" s="372"/>
      <c r="G29" s="372"/>
      <c r="H29" s="372"/>
      <c r="I29" s="372"/>
      <c r="J29" s="372"/>
      <c r="K29" s="372"/>
      <c r="L29" s="372"/>
      <c r="M29" s="372"/>
      <c r="N29" s="372"/>
      <c r="O29" s="98"/>
      <c r="P29" s="313"/>
      <c r="Q29" s="313"/>
      <c r="R29" s="402"/>
      <c r="S29" s="402"/>
      <c r="T29" s="402"/>
      <c r="U29" s="402"/>
      <c r="V29" s="402"/>
      <c r="W29" s="314"/>
      <c r="X29" s="314"/>
      <c r="Y29" s="314"/>
      <c r="Z29" s="314"/>
      <c r="AA29" s="26"/>
      <c r="AB29" s="26"/>
    </row>
    <row r="30" spans="2:28" s="10" customFormat="1" ht="5.0999999999999996" customHeight="1" x14ac:dyDescent="0.25">
      <c r="L30" s="26"/>
      <c r="P30" s="313"/>
      <c r="Q30" s="313"/>
      <c r="R30" s="402"/>
      <c r="S30" s="402"/>
      <c r="T30" s="402"/>
      <c r="U30" s="402"/>
      <c r="V30" s="402"/>
      <c r="W30" s="313"/>
      <c r="X30" s="313"/>
      <c r="Y30" s="218"/>
      <c r="Z30" s="218"/>
      <c r="AB30" s="26"/>
    </row>
    <row r="31" spans="2:28" s="10" customFormat="1" ht="15.95" customHeight="1" x14ac:dyDescent="0.25">
      <c r="B31" s="10" t="s">
        <v>469</v>
      </c>
      <c r="L31" s="26"/>
      <c r="P31" s="313"/>
      <c r="Q31" s="313"/>
      <c r="R31" s="402"/>
      <c r="S31" s="402"/>
      <c r="T31" s="418" t="s">
        <v>1682</v>
      </c>
      <c r="U31" s="402"/>
      <c r="V31" s="402"/>
      <c r="W31" s="313"/>
      <c r="X31" s="313"/>
      <c r="Y31" s="218"/>
      <c r="Z31" s="218"/>
      <c r="AB31" s="26"/>
    </row>
    <row r="32" spans="2:28" s="10" customFormat="1" ht="15.95" customHeight="1" x14ac:dyDescent="0.25">
      <c r="B32" s="69" t="s">
        <v>955</v>
      </c>
      <c r="C32" s="69"/>
      <c r="K32" s="10" t="s">
        <v>337</v>
      </c>
      <c r="L32" s="45">
        <f>T32</f>
        <v>425000</v>
      </c>
      <c r="P32" s="313"/>
      <c r="Q32" s="313"/>
      <c r="R32" s="402"/>
      <c r="S32" s="405" t="s">
        <v>1035</v>
      </c>
      <c r="T32" s="409">
        <v>425000</v>
      </c>
      <c r="U32" s="402"/>
      <c r="V32" s="402"/>
      <c r="W32" s="313"/>
      <c r="X32" s="313"/>
      <c r="Y32" s="218"/>
      <c r="Z32" s="218"/>
      <c r="AB32" s="26"/>
    </row>
    <row r="33" spans="2:28" s="10" customFormat="1" ht="15.95" customHeight="1" x14ac:dyDescent="0.25">
      <c r="B33" s="69" t="s">
        <v>957</v>
      </c>
      <c r="C33" s="69"/>
      <c r="K33" s="10" t="s">
        <v>337</v>
      </c>
      <c r="L33" s="42">
        <f>T33</f>
        <v>137000</v>
      </c>
      <c r="P33" s="313"/>
      <c r="Q33" s="313"/>
      <c r="R33" s="402"/>
      <c r="S33" s="405" t="s">
        <v>956</v>
      </c>
      <c r="T33" s="409">
        <v>137000</v>
      </c>
      <c r="U33" s="402"/>
      <c r="V33" s="402"/>
      <c r="W33" s="313"/>
      <c r="X33" s="313"/>
      <c r="Y33" s="218"/>
      <c r="Z33" s="218"/>
      <c r="AB33" s="26"/>
    </row>
    <row r="34" spans="2:28" s="10" customFormat="1" ht="15.95" customHeight="1" x14ac:dyDescent="0.25">
      <c r="B34" s="69" t="s">
        <v>959</v>
      </c>
      <c r="C34" s="69"/>
      <c r="K34" s="10" t="s">
        <v>337</v>
      </c>
      <c r="L34" s="43">
        <f>T34</f>
        <v>1575</v>
      </c>
      <c r="P34" s="313"/>
      <c r="Q34" s="313"/>
      <c r="R34" s="402"/>
      <c r="S34" s="405" t="s">
        <v>958</v>
      </c>
      <c r="T34" s="409">
        <v>1575</v>
      </c>
      <c r="U34" s="402"/>
      <c r="V34" s="402"/>
      <c r="W34" s="313"/>
      <c r="X34" s="313"/>
      <c r="Y34" s="218"/>
      <c r="Z34" s="218"/>
      <c r="AB34" s="26"/>
    </row>
    <row r="35" spans="2:28" s="10" customFormat="1" ht="15.95" customHeight="1" x14ac:dyDescent="0.25">
      <c r="B35" s="158" t="s">
        <v>165</v>
      </c>
      <c r="C35" s="69"/>
      <c r="K35" s="10" t="s">
        <v>337</v>
      </c>
      <c r="L35" s="26" t="s">
        <v>337</v>
      </c>
      <c r="N35" s="21">
        <f>SUM(L32:L34)</f>
        <v>563575</v>
      </c>
      <c r="P35" s="313"/>
      <c r="Q35" s="313"/>
      <c r="R35" s="402"/>
      <c r="S35" s="402"/>
      <c r="T35" s="402"/>
      <c r="U35" s="402"/>
      <c r="V35" s="402"/>
      <c r="W35" s="313"/>
      <c r="X35" s="313"/>
      <c r="Y35" s="218"/>
      <c r="Z35" s="218"/>
      <c r="AB35" s="26"/>
    </row>
    <row r="36" spans="2:28" s="10" customFormat="1" ht="15.95" customHeight="1" x14ac:dyDescent="0.25">
      <c r="B36" s="10" t="s">
        <v>470</v>
      </c>
      <c r="L36" s="26"/>
      <c r="P36" s="313"/>
      <c r="Q36" s="313"/>
      <c r="R36" s="402"/>
      <c r="S36" s="402"/>
      <c r="T36" s="402"/>
      <c r="U36" s="402"/>
      <c r="V36" s="402"/>
      <c r="W36" s="313"/>
      <c r="X36" s="313"/>
      <c r="Y36" s="218"/>
      <c r="Z36" s="218"/>
      <c r="AB36" s="26"/>
    </row>
    <row r="37" spans="2:28" s="10" customFormat="1" ht="15.95" customHeight="1" x14ac:dyDescent="0.25">
      <c r="B37" s="69" t="s">
        <v>963</v>
      </c>
      <c r="C37" s="69"/>
      <c r="K37" s="10" t="s">
        <v>337</v>
      </c>
      <c r="L37" s="45">
        <f t="shared" ref="L37:L42" si="0">T37</f>
        <v>243200</v>
      </c>
      <c r="P37" s="313"/>
      <c r="Q37" s="313"/>
      <c r="R37" s="402"/>
      <c r="S37" s="405" t="s">
        <v>960</v>
      </c>
      <c r="T37" s="409">
        <v>243200</v>
      </c>
      <c r="U37" s="402"/>
      <c r="V37" s="402"/>
      <c r="W37" s="313"/>
      <c r="X37" s="313"/>
      <c r="Y37" s="218"/>
      <c r="Z37" s="218"/>
      <c r="AB37" s="26"/>
    </row>
    <row r="38" spans="2:28" s="10" customFormat="1" ht="15.95" customHeight="1" x14ac:dyDescent="0.25">
      <c r="B38" s="69" t="s">
        <v>965</v>
      </c>
      <c r="C38" s="69"/>
      <c r="K38" s="10" t="s">
        <v>337</v>
      </c>
      <c r="L38" s="42">
        <f t="shared" si="0"/>
        <v>84000</v>
      </c>
      <c r="P38" s="313"/>
      <c r="Q38" s="313"/>
      <c r="R38" s="402"/>
      <c r="S38" s="405" t="s">
        <v>964</v>
      </c>
      <c r="T38" s="409">
        <v>84000</v>
      </c>
      <c r="U38" s="402"/>
      <c r="V38" s="402"/>
      <c r="W38" s="313"/>
      <c r="X38" s="313"/>
      <c r="Y38" s="218"/>
      <c r="Z38" s="218"/>
      <c r="AB38" s="26"/>
    </row>
    <row r="39" spans="2:28" s="10" customFormat="1" ht="15.95" customHeight="1" x14ac:dyDescent="0.25">
      <c r="B39" s="69" t="s">
        <v>967</v>
      </c>
      <c r="C39" s="69"/>
      <c r="K39" s="10" t="s">
        <v>337</v>
      </c>
      <c r="L39" s="42">
        <f t="shared" si="0"/>
        <v>48575</v>
      </c>
      <c r="P39" s="313"/>
      <c r="Q39" s="313"/>
      <c r="R39" s="402"/>
      <c r="S39" s="405" t="s">
        <v>962</v>
      </c>
      <c r="T39" s="409">
        <v>48575</v>
      </c>
      <c r="U39" s="402"/>
      <c r="V39" s="402"/>
      <c r="W39" s="313"/>
      <c r="X39" s="313"/>
      <c r="Y39" s="218"/>
      <c r="Z39" s="218"/>
      <c r="AB39" s="26"/>
    </row>
    <row r="40" spans="2:28" s="10" customFormat="1" ht="15.95" customHeight="1" x14ac:dyDescent="0.25">
      <c r="B40" s="69" t="s">
        <v>970</v>
      </c>
      <c r="C40" s="69"/>
      <c r="K40" s="10" t="s">
        <v>337</v>
      </c>
      <c r="L40" s="42">
        <f t="shared" si="0"/>
        <v>24150</v>
      </c>
      <c r="P40" s="313"/>
      <c r="Q40" s="313"/>
      <c r="R40" s="402"/>
      <c r="S40" s="405" t="s">
        <v>961</v>
      </c>
      <c r="T40" s="409">
        <v>24150</v>
      </c>
      <c r="U40" s="402"/>
      <c r="V40" s="402"/>
      <c r="W40" s="209"/>
      <c r="X40" s="218"/>
      <c r="Y40" s="218"/>
      <c r="Z40" s="218"/>
      <c r="AA40" s="26"/>
      <c r="AB40" s="26"/>
    </row>
    <row r="41" spans="2:28" s="10" customFormat="1" ht="15.95" customHeight="1" x14ac:dyDescent="0.25">
      <c r="B41" s="69" t="s">
        <v>971</v>
      </c>
      <c r="C41" s="69"/>
      <c r="K41" s="10" t="s">
        <v>337</v>
      </c>
      <c r="L41" s="42">
        <f t="shared" si="0"/>
        <v>17300</v>
      </c>
      <c r="P41" s="313"/>
      <c r="Q41" s="313"/>
      <c r="R41" s="402"/>
      <c r="S41" s="405" t="s">
        <v>966</v>
      </c>
      <c r="T41" s="409">
        <v>17300</v>
      </c>
      <c r="U41" s="402"/>
      <c r="V41" s="402"/>
      <c r="W41" s="218"/>
      <c r="X41" s="218"/>
      <c r="Y41" s="218"/>
      <c r="Z41" s="218"/>
      <c r="AA41" s="26"/>
      <c r="AB41" s="26"/>
    </row>
    <row r="42" spans="2:28" s="10" customFormat="1" ht="15.95" customHeight="1" x14ac:dyDescent="0.25">
      <c r="B42" s="69" t="s">
        <v>969</v>
      </c>
      <c r="C42" s="69"/>
      <c r="K42" s="10" t="s">
        <v>337</v>
      </c>
      <c r="L42" s="43">
        <f t="shared" si="0"/>
        <v>43900</v>
      </c>
      <c r="P42" s="313"/>
      <c r="Q42" s="313"/>
      <c r="R42" s="402"/>
      <c r="S42" s="405" t="s">
        <v>968</v>
      </c>
      <c r="T42" s="409">
        <v>43900</v>
      </c>
      <c r="U42" s="402"/>
      <c r="V42" s="402"/>
      <c r="W42" s="218"/>
      <c r="X42" s="218"/>
      <c r="Y42" s="218"/>
      <c r="Z42" s="218"/>
      <c r="AA42" s="26"/>
      <c r="AB42" s="26"/>
    </row>
    <row r="43" spans="2:28" s="10" customFormat="1" ht="15.95" customHeight="1" x14ac:dyDescent="0.25">
      <c r="B43" s="158" t="s">
        <v>166</v>
      </c>
      <c r="C43" s="69"/>
      <c r="K43" s="10" t="s">
        <v>337</v>
      </c>
      <c r="L43" s="26" t="s">
        <v>337</v>
      </c>
      <c r="N43" s="50">
        <f>SUM(L37:L42)</f>
        <v>461125</v>
      </c>
      <c r="P43" s="313"/>
      <c r="Q43" s="313"/>
      <c r="R43" s="402"/>
      <c r="S43" s="402"/>
      <c r="T43" s="402"/>
      <c r="U43" s="402"/>
      <c r="V43" s="402"/>
      <c r="W43" s="218"/>
      <c r="X43" s="218"/>
      <c r="Y43" s="218"/>
      <c r="Z43" s="218"/>
      <c r="AA43" s="26"/>
      <c r="AB43" s="26"/>
    </row>
    <row r="44" spans="2:28" s="10" customFormat="1" ht="15.95" customHeight="1" thickBot="1" x14ac:dyDescent="0.3">
      <c r="B44" s="10" t="s">
        <v>972</v>
      </c>
      <c r="K44" s="10" t="s">
        <v>337</v>
      </c>
      <c r="L44" s="26" t="s">
        <v>337</v>
      </c>
      <c r="N44" s="52">
        <f>N35-N43</f>
        <v>102450</v>
      </c>
      <c r="P44" s="313"/>
      <c r="Q44" s="313"/>
      <c r="R44" s="402"/>
      <c r="S44" s="402"/>
      <c r="T44" s="402"/>
      <c r="U44" s="402"/>
      <c r="V44" s="402"/>
      <c r="W44" s="218"/>
      <c r="X44" s="218"/>
      <c r="Y44" s="218"/>
      <c r="Z44" s="218"/>
      <c r="AA44" s="26"/>
      <c r="AB44" s="26"/>
    </row>
    <row r="45" spans="2:28" s="10" customFormat="1" ht="5.0999999999999996" customHeight="1" thickTop="1" x14ac:dyDescent="0.25">
      <c r="L45" s="26"/>
      <c r="P45" s="313"/>
      <c r="Q45" s="313"/>
      <c r="R45" s="402"/>
      <c r="S45" s="402"/>
      <c r="T45" s="402"/>
      <c r="U45" s="402"/>
      <c r="V45" s="402"/>
      <c r="W45" s="218"/>
      <c r="X45" s="218"/>
      <c r="Y45" s="218"/>
      <c r="Z45" s="218"/>
      <c r="AA45" s="26"/>
      <c r="AB45" s="26"/>
    </row>
    <row r="46" spans="2:28" s="10" customFormat="1" ht="15.95" customHeight="1" x14ac:dyDescent="0.25">
      <c r="P46" s="313"/>
      <c r="Q46" s="313"/>
      <c r="R46" s="402"/>
      <c r="S46" s="402"/>
      <c r="T46" s="402"/>
      <c r="U46" s="402"/>
      <c r="V46" s="402"/>
      <c r="W46" s="313"/>
      <c r="X46" s="313"/>
      <c r="Y46" s="313"/>
      <c r="Z46" s="313"/>
    </row>
    <row r="47" spans="2:28" s="10" customFormat="1" ht="15.95" customHeight="1" x14ac:dyDescent="0.25">
      <c r="P47" s="313"/>
      <c r="Q47" s="313"/>
      <c r="R47" s="402"/>
      <c r="S47" s="402"/>
      <c r="T47" s="402"/>
      <c r="U47" s="402"/>
      <c r="V47" s="402"/>
      <c r="W47" s="313"/>
      <c r="X47" s="313"/>
      <c r="Y47" s="313"/>
      <c r="Z47" s="313"/>
    </row>
    <row r="48" spans="2:28" s="10" customFormat="1" ht="15.95" customHeight="1" x14ac:dyDescent="0.25">
      <c r="P48" s="313"/>
      <c r="Q48" s="313"/>
      <c r="R48" s="402"/>
      <c r="S48" s="402"/>
      <c r="T48" s="402"/>
      <c r="U48" s="402"/>
      <c r="V48" s="402"/>
      <c r="W48" s="313"/>
      <c r="X48" s="313"/>
      <c r="Y48" s="313"/>
      <c r="Z48" s="313"/>
    </row>
    <row r="49" spans="16:26" s="10" customFormat="1" ht="15.95" customHeight="1" x14ac:dyDescent="0.25">
      <c r="P49" s="313"/>
      <c r="Q49" s="313"/>
      <c r="R49" s="402"/>
      <c r="S49" s="402"/>
      <c r="T49" s="402"/>
      <c r="U49" s="402"/>
      <c r="V49" s="402"/>
      <c r="W49" s="313"/>
      <c r="X49" s="313"/>
      <c r="Y49" s="313"/>
      <c r="Z49" s="313"/>
    </row>
    <row r="50" spans="16:26" s="10" customFormat="1" ht="15.95" customHeight="1" x14ac:dyDescent="0.25">
      <c r="P50" s="313"/>
      <c r="Q50" s="313"/>
      <c r="R50" s="402"/>
      <c r="S50" s="402"/>
      <c r="T50" s="402"/>
      <c r="U50" s="402"/>
      <c r="V50" s="402"/>
      <c r="W50" s="313"/>
      <c r="X50" s="313"/>
      <c r="Y50" s="313"/>
      <c r="Z50" s="313"/>
    </row>
    <row r="51" spans="16:26" s="10" customFormat="1" ht="15.95" customHeight="1" x14ac:dyDescent="0.25">
      <c r="P51" s="313"/>
      <c r="Q51" s="313"/>
      <c r="R51" s="402"/>
      <c r="S51" s="402"/>
      <c r="T51" s="402"/>
      <c r="U51" s="402"/>
      <c r="V51" s="402"/>
      <c r="W51" s="313"/>
      <c r="X51" s="313"/>
      <c r="Y51" s="313"/>
      <c r="Z51" s="313"/>
    </row>
    <row r="52" spans="16:26" s="10" customFormat="1" ht="15.95" customHeight="1" x14ac:dyDescent="0.25">
      <c r="P52" s="313"/>
      <c r="Q52" s="313"/>
      <c r="R52" s="402"/>
      <c r="S52" s="402"/>
      <c r="T52" s="402"/>
      <c r="U52" s="402"/>
      <c r="V52" s="402"/>
      <c r="W52" s="313"/>
      <c r="X52" s="313"/>
      <c r="Y52" s="313"/>
      <c r="Z52" s="313"/>
    </row>
    <row r="53" spans="16:26" s="10" customFormat="1" ht="15.95" customHeight="1" x14ac:dyDescent="0.25">
      <c r="P53" s="313"/>
      <c r="Q53" s="313"/>
      <c r="R53" s="402"/>
      <c r="S53" s="402"/>
      <c r="T53" s="402"/>
      <c r="U53" s="402"/>
      <c r="V53" s="402"/>
      <c r="W53" s="313"/>
      <c r="X53" s="313"/>
      <c r="Y53" s="313"/>
      <c r="Z53" s="313"/>
    </row>
    <row r="54" spans="16:26" s="10" customFormat="1" ht="15" customHeight="1" x14ac:dyDescent="0.25">
      <c r="P54" s="313"/>
      <c r="Q54" s="313"/>
      <c r="R54" s="402"/>
      <c r="S54" s="402"/>
      <c r="T54" s="402"/>
      <c r="U54" s="402"/>
      <c r="V54" s="402"/>
      <c r="W54" s="313"/>
      <c r="X54" s="313"/>
      <c r="Y54" s="313"/>
      <c r="Z54" s="313"/>
    </row>
    <row r="55" spans="16:26" s="10" customFormat="1" ht="15" customHeight="1" x14ac:dyDescent="0.25">
      <c r="P55" s="313"/>
      <c r="Q55" s="313"/>
      <c r="R55" s="402"/>
      <c r="S55" s="402"/>
      <c r="T55" s="402"/>
      <c r="U55" s="402"/>
      <c r="V55" s="402"/>
      <c r="W55" s="313"/>
      <c r="X55" s="313"/>
      <c r="Y55" s="313"/>
      <c r="Z55" s="313"/>
    </row>
    <row r="56" spans="16:26" s="10" customFormat="1" ht="15" customHeight="1" x14ac:dyDescent="0.25">
      <c r="P56" s="313"/>
      <c r="Q56" s="313"/>
      <c r="R56" s="402"/>
      <c r="S56" s="402"/>
      <c r="T56" s="402"/>
      <c r="U56" s="402"/>
      <c r="V56" s="402"/>
      <c r="W56" s="313"/>
      <c r="X56" s="313"/>
      <c r="Y56" s="313"/>
      <c r="Z56" s="313"/>
    </row>
    <row r="57" spans="16:26" s="10" customFormat="1" ht="15" customHeight="1" x14ac:dyDescent="0.25">
      <c r="P57" s="313"/>
      <c r="Q57" s="313"/>
      <c r="R57" s="402"/>
      <c r="S57" s="402"/>
      <c r="T57" s="402"/>
      <c r="U57" s="402"/>
      <c r="V57" s="402"/>
      <c r="W57" s="313"/>
      <c r="X57" s="313"/>
      <c r="Y57" s="313"/>
      <c r="Z57" s="313"/>
    </row>
    <row r="58" spans="16:26" s="10" customFormat="1" ht="15" customHeight="1" x14ac:dyDescent="0.25">
      <c r="P58" s="313"/>
      <c r="Q58" s="313"/>
      <c r="R58" s="402"/>
      <c r="S58" s="402"/>
      <c r="T58" s="402"/>
      <c r="U58" s="402"/>
      <c r="V58" s="402"/>
      <c r="W58" s="313"/>
      <c r="X58" s="313"/>
      <c r="Y58" s="313"/>
      <c r="Z58" s="313"/>
    </row>
    <row r="59" spans="16:26" s="10" customFormat="1" ht="15" customHeight="1" x14ac:dyDescent="0.25">
      <c r="P59" s="313"/>
      <c r="Q59" s="313"/>
      <c r="R59" s="402"/>
      <c r="S59" s="402"/>
      <c r="T59" s="402"/>
      <c r="U59" s="402"/>
      <c r="V59" s="402"/>
      <c r="W59" s="313"/>
      <c r="X59" s="313"/>
      <c r="Y59" s="313"/>
      <c r="Z59" s="313"/>
    </row>
    <row r="60" spans="16:26" s="10" customFormat="1" ht="15" customHeight="1" x14ac:dyDescent="0.25">
      <c r="P60" s="313"/>
      <c r="Q60" s="313"/>
      <c r="R60" s="402"/>
      <c r="S60" s="402"/>
      <c r="T60" s="402"/>
      <c r="U60" s="402"/>
      <c r="V60" s="402"/>
      <c r="W60" s="313"/>
      <c r="X60" s="313"/>
      <c r="Y60" s="313"/>
      <c r="Z60" s="313"/>
    </row>
    <row r="61" spans="16:26" s="10" customFormat="1" ht="15" customHeight="1" x14ac:dyDescent="0.25">
      <c r="P61" s="313"/>
      <c r="Q61" s="313"/>
      <c r="R61" s="402"/>
      <c r="S61" s="402"/>
      <c r="T61" s="402"/>
      <c r="U61" s="402"/>
      <c r="V61" s="402"/>
      <c r="W61" s="313"/>
      <c r="X61" s="313"/>
      <c r="Y61" s="313"/>
      <c r="Z61" s="313"/>
    </row>
    <row r="62" spans="16:26" s="10" customFormat="1" ht="15" customHeight="1" x14ac:dyDescent="0.25">
      <c r="P62" s="313"/>
      <c r="Q62" s="313"/>
      <c r="R62" s="402"/>
      <c r="S62" s="402"/>
      <c r="T62" s="402"/>
      <c r="U62" s="402"/>
      <c r="V62" s="402"/>
      <c r="W62" s="313"/>
      <c r="X62" s="313"/>
      <c r="Y62" s="313"/>
      <c r="Z62" s="313"/>
    </row>
    <row r="63" spans="16:26" s="10" customFormat="1" ht="15" customHeight="1" x14ac:dyDescent="0.25">
      <c r="P63" s="313"/>
      <c r="Q63" s="313"/>
      <c r="R63" s="402"/>
      <c r="S63" s="402"/>
      <c r="T63" s="402"/>
      <c r="U63" s="402"/>
      <c r="V63" s="402"/>
      <c r="W63" s="313"/>
      <c r="X63" s="313"/>
      <c r="Y63" s="313"/>
      <c r="Z63" s="313"/>
    </row>
    <row r="64" spans="16:26" s="10" customFormat="1" ht="15" customHeight="1" x14ac:dyDescent="0.25">
      <c r="P64" s="313"/>
      <c r="Q64" s="313"/>
      <c r="R64" s="402"/>
      <c r="S64" s="402"/>
      <c r="T64" s="402"/>
      <c r="U64" s="402"/>
      <c r="V64" s="402"/>
      <c r="W64" s="313"/>
      <c r="X64" s="313"/>
      <c r="Y64" s="313"/>
      <c r="Z64" s="313"/>
    </row>
    <row r="65" spans="16:26" s="10" customFormat="1" ht="15" customHeight="1" x14ac:dyDescent="0.25">
      <c r="P65" s="313"/>
      <c r="Q65" s="313"/>
      <c r="R65" s="402"/>
      <c r="S65" s="402"/>
      <c r="T65" s="402"/>
      <c r="U65" s="402"/>
      <c r="V65" s="402"/>
      <c r="W65" s="313"/>
      <c r="X65" s="313"/>
      <c r="Y65" s="313"/>
      <c r="Z65" s="313"/>
    </row>
    <row r="66" spans="16:26" s="10" customFormat="1" ht="15" customHeight="1" x14ac:dyDescent="0.25">
      <c r="P66" s="313"/>
      <c r="Q66" s="313"/>
      <c r="R66" s="402"/>
      <c r="S66" s="402"/>
      <c r="T66" s="402"/>
      <c r="U66" s="402"/>
      <c r="V66" s="402"/>
      <c r="W66" s="313"/>
      <c r="X66" s="313"/>
      <c r="Y66" s="313"/>
      <c r="Z66" s="313"/>
    </row>
    <row r="67" spans="16:26" s="10" customFormat="1" ht="15" customHeight="1" x14ac:dyDescent="0.25">
      <c r="P67" s="313"/>
      <c r="Q67" s="313"/>
      <c r="R67" s="402"/>
      <c r="S67" s="402"/>
      <c r="T67" s="402"/>
      <c r="U67" s="402"/>
      <c r="V67" s="402"/>
      <c r="W67" s="313"/>
      <c r="X67" s="313"/>
      <c r="Y67" s="313"/>
      <c r="Z67" s="313"/>
    </row>
    <row r="68" spans="16:26" s="10" customFormat="1" ht="15" customHeight="1" x14ac:dyDescent="0.25">
      <c r="P68" s="313"/>
      <c r="Q68" s="313"/>
      <c r="R68" s="402"/>
      <c r="S68" s="402"/>
      <c r="T68" s="402"/>
      <c r="U68" s="402"/>
      <c r="V68" s="402"/>
      <c r="W68" s="313"/>
      <c r="X68" s="313"/>
      <c r="Y68" s="313"/>
      <c r="Z68" s="313"/>
    </row>
    <row r="69" spans="16:26" s="10" customFormat="1" ht="15" customHeight="1" x14ac:dyDescent="0.25">
      <c r="P69" s="313"/>
      <c r="Q69" s="313"/>
      <c r="R69" s="402"/>
      <c r="S69" s="402"/>
      <c r="T69" s="402"/>
      <c r="U69" s="402"/>
      <c r="V69" s="402"/>
      <c r="W69" s="313"/>
      <c r="X69" s="313"/>
      <c r="Y69" s="313"/>
      <c r="Z69" s="313"/>
    </row>
    <row r="70" spans="16:26" s="10" customFormat="1" ht="15" customHeight="1" x14ac:dyDescent="0.25">
      <c r="P70" s="313"/>
      <c r="Q70" s="313"/>
      <c r="R70" s="402"/>
      <c r="S70" s="402"/>
      <c r="T70" s="402"/>
      <c r="U70" s="402"/>
      <c r="V70" s="402"/>
      <c r="W70" s="313"/>
      <c r="X70" s="313"/>
      <c r="Y70" s="313"/>
      <c r="Z70" s="313"/>
    </row>
    <row r="71" spans="16:26" s="10" customFormat="1" ht="15" customHeight="1" x14ac:dyDescent="0.25">
      <c r="P71" s="313"/>
      <c r="Q71" s="313"/>
      <c r="R71" s="402"/>
      <c r="S71" s="402"/>
      <c r="T71" s="402"/>
      <c r="U71" s="402"/>
      <c r="V71" s="402"/>
      <c r="W71" s="313"/>
      <c r="X71" s="313"/>
      <c r="Y71" s="313"/>
      <c r="Z71" s="313"/>
    </row>
    <row r="72" spans="16:26" s="10" customFormat="1" ht="15" customHeight="1" x14ac:dyDescent="0.25">
      <c r="P72" s="313"/>
      <c r="Q72" s="313"/>
      <c r="R72" s="402"/>
      <c r="S72" s="402"/>
      <c r="T72" s="402"/>
      <c r="U72" s="402"/>
      <c r="V72" s="402"/>
      <c r="W72" s="313"/>
      <c r="X72" s="313"/>
      <c r="Y72" s="313"/>
      <c r="Z72" s="313"/>
    </row>
    <row r="73" spans="16:26" s="10" customFormat="1" ht="15" customHeight="1" x14ac:dyDescent="0.25">
      <c r="P73" s="313"/>
      <c r="Q73" s="313"/>
      <c r="R73" s="402"/>
      <c r="S73" s="402"/>
      <c r="T73" s="402"/>
      <c r="U73" s="402"/>
      <c r="V73" s="402"/>
      <c r="W73" s="313"/>
      <c r="X73" s="313"/>
      <c r="Y73" s="313"/>
      <c r="Z73" s="313"/>
    </row>
    <row r="74" spans="16:26" s="10" customFormat="1" ht="15" customHeight="1" x14ac:dyDescent="0.25">
      <c r="P74" s="313"/>
      <c r="Q74" s="313"/>
      <c r="R74" s="402"/>
      <c r="S74" s="402"/>
      <c r="T74" s="402"/>
      <c r="U74" s="402"/>
      <c r="V74" s="402"/>
      <c r="W74" s="313"/>
      <c r="X74" s="313"/>
      <c r="Y74" s="313"/>
      <c r="Z74" s="313"/>
    </row>
    <row r="75" spans="16:26" s="10" customFormat="1" ht="15" customHeight="1" x14ac:dyDescent="0.25">
      <c r="P75" s="313"/>
      <c r="Q75" s="313"/>
      <c r="R75" s="402"/>
      <c r="S75" s="402"/>
      <c r="T75" s="402"/>
      <c r="U75" s="402"/>
      <c r="V75" s="402"/>
      <c r="W75" s="313"/>
      <c r="X75" s="313"/>
      <c r="Y75" s="313"/>
      <c r="Z75" s="313"/>
    </row>
    <row r="76" spans="16:26" s="10" customFormat="1" ht="15" customHeight="1" x14ac:dyDescent="0.25">
      <c r="P76" s="313"/>
      <c r="Q76" s="313"/>
      <c r="R76" s="402"/>
      <c r="S76" s="402"/>
      <c r="T76" s="402"/>
      <c r="U76" s="402"/>
      <c r="V76" s="402"/>
      <c r="W76" s="313"/>
      <c r="X76" s="313"/>
      <c r="Y76" s="313"/>
      <c r="Z76" s="313"/>
    </row>
    <row r="77" spans="16:26" s="10" customFormat="1" ht="15" customHeight="1" x14ac:dyDescent="0.25">
      <c r="P77" s="313"/>
      <c r="Q77" s="313"/>
      <c r="R77" s="402"/>
      <c r="S77" s="402"/>
      <c r="T77" s="402"/>
      <c r="U77" s="402"/>
      <c r="V77" s="402"/>
      <c r="W77" s="313"/>
      <c r="X77" s="313"/>
      <c r="Y77" s="313"/>
      <c r="Z77" s="313"/>
    </row>
    <row r="78" spans="16:26" s="10" customFormat="1" ht="15" customHeight="1" x14ac:dyDescent="0.25">
      <c r="P78" s="313"/>
      <c r="Q78" s="313"/>
      <c r="R78" s="402"/>
      <c r="S78" s="402"/>
      <c r="T78" s="402"/>
      <c r="U78" s="402"/>
      <c r="V78" s="402"/>
      <c r="W78" s="313"/>
      <c r="X78" s="313"/>
      <c r="Y78" s="313"/>
      <c r="Z78" s="313"/>
    </row>
    <row r="79" spans="16:26" s="10" customFormat="1" ht="15" customHeight="1" x14ac:dyDescent="0.25">
      <c r="P79" s="313"/>
      <c r="Q79" s="313"/>
      <c r="R79" s="402"/>
      <c r="S79" s="402"/>
      <c r="T79" s="402"/>
      <c r="U79" s="402"/>
      <c r="V79" s="402"/>
      <c r="W79" s="313"/>
      <c r="X79" s="313"/>
      <c r="Y79" s="313"/>
      <c r="Z79" s="313"/>
    </row>
    <row r="80" spans="16:26" s="10" customFormat="1" ht="15" customHeight="1" x14ac:dyDescent="0.25">
      <c r="P80" s="313"/>
      <c r="Q80" s="313"/>
      <c r="R80" s="402"/>
      <c r="S80" s="402"/>
      <c r="T80" s="402"/>
      <c r="U80" s="402"/>
      <c r="V80" s="402"/>
      <c r="W80" s="313"/>
      <c r="X80" s="313"/>
      <c r="Y80" s="313"/>
      <c r="Z80" s="313"/>
    </row>
    <row r="81" spans="16:26" s="10" customFormat="1" ht="15" customHeight="1" x14ac:dyDescent="0.25">
      <c r="P81" s="313"/>
      <c r="Q81" s="313"/>
      <c r="R81" s="402"/>
      <c r="S81" s="402"/>
      <c r="T81" s="402"/>
      <c r="U81" s="402"/>
      <c r="V81" s="402"/>
      <c r="W81" s="313"/>
      <c r="X81" s="313"/>
      <c r="Y81" s="313"/>
      <c r="Z81" s="313"/>
    </row>
    <row r="82" spans="16:26" s="10" customFormat="1" ht="15" customHeight="1" x14ac:dyDescent="0.25">
      <c r="P82" s="313"/>
      <c r="Q82" s="313"/>
      <c r="R82" s="402"/>
      <c r="S82" s="402"/>
      <c r="T82" s="402"/>
      <c r="U82" s="402"/>
      <c r="V82" s="402"/>
      <c r="W82" s="313"/>
      <c r="X82" s="313"/>
      <c r="Y82" s="313"/>
      <c r="Z82" s="313"/>
    </row>
    <row r="83" spans="16:26" s="10" customFormat="1" ht="15" customHeight="1" x14ac:dyDescent="0.25">
      <c r="P83" s="313"/>
      <c r="Q83" s="313"/>
      <c r="R83" s="402"/>
      <c r="S83" s="402"/>
      <c r="T83" s="402"/>
      <c r="U83" s="402"/>
      <c r="V83" s="402"/>
      <c r="W83" s="313"/>
      <c r="X83" s="313"/>
      <c r="Y83" s="313"/>
      <c r="Z83" s="313"/>
    </row>
    <row r="84" spans="16:26" s="10" customFormat="1" ht="15" customHeight="1" x14ac:dyDescent="0.25">
      <c r="P84" s="313"/>
      <c r="Q84" s="313"/>
      <c r="R84" s="402"/>
      <c r="S84" s="402"/>
      <c r="T84" s="402"/>
      <c r="U84" s="402"/>
      <c r="V84" s="402"/>
      <c r="W84" s="313"/>
      <c r="X84" s="313"/>
      <c r="Y84" s="313"/>
      <c r="Z84" s="313"/>
    </row>
    <row r="85" spans="16:26" s="10" customFormat="1" ht="15" customHeight="1" x14ac:dyDescent="0.25">
      <c r="P85" s="313"/>
      <c r="Q85" s="313"/>
      <c r="R85" s="402"/>
      <c r="S85" s="402"/>
      <c r="T85" s="402"/>
      <c r="U85" s="402"/>
      <c r="V85" s="402"/>
      <c r="W85" s="313"/>
      <c r="X85" s="313"/>
      <c r="Y85" s="313"/>
      <c r="Z85" s="313"/>
    </row>
    <row r="86" spans="16:26" s="10" customFormat="1" ht="15" customHeight="1" x14ac:dyDescent="0.25">
      <c r="P86" s="313"/>
      <c r="Q86" s="313"/>
      <c r="R86" s="402"/>
      <c r="S86" s="402"/>
      <c r="T86" s="402"/>
      <c r="U86" s="402"/>
      <c r="V86" s="402"/>
      <c r="W86" s="313"/>
      <c r="X86" s="313"/>
      <c r="Y86" s="313"/>
      <c r="Z86" s="313"/>
    </row>
    <row r="87" spans="16:26" s="10" customFormat="1" ht="15" customHeight="1" x14ac:dyDescent="0.25">
      <c r="P87" s="313"/>
      <c r="Q87" s="313"/>
      <c r="R87" s="402"/>
      <c r="S87" s="402"/>
      <c r="T87" s="402"/>
      <c r="U87" s="402"/>
      <c r="V87" s="402"/>
      <c r="W87" s="313"/>
      <c r="X87" s="313"/>
      <c r="Y87" s="313"/>
      <c r="Z87" s="313"/>
    </row>
    <row r="88" spans="16:26" s="10" customFormat="1" ht="15" customHeight="1" x14ac:dyDescent="0.25">
      <c r="P88" s="313"/>
      <c r="Q88" s="313"/>
      <c r="R88" s="402"/>
      <c r="S88" s="402"/>
      <c r="T88" s="402"/>
      <c r="U88" s="402"/>
      <c r="V88" s="402"/>
      <c r="W88" s="313"/>
      <c r="X88" s="313"/>
      <c r="Y88" s="313"/>
      <c r="Z88" s="313"/>
    </row>
    <row r="89" spans="16:26" s="10" customFormat="1" ht="15" customHeight="1" x14ac:dyDescent="0.25">
      <c r="P89" s="313"/>
      <c r="Q89" s="313"/>
      <c r="R89" s="402"/>
      <c r="S89" s="402"/>
      <c r="T89" s="402"/>
      <c r="U89" s="402"/>
      <c r="V89" s="402"/>
      <c r="W89" s="313"/>
      <c r="X89" s="313"/>
      <c r="Y89" s="313"/>
      <c r="Z89" s="313"/>
    </row>
    <row r="90" spans="16:26" s="10" customFormat="1" ht="15" customHeight="1" x14ac:dyDescent="0.25">
      <c r="P90" s="313"/>
      <c r="Q90" s="313"/>
      <c r="R90" s="402"/>
      <c r="S90" s="402"/>
      <c r="T90" s="402"/>
      <c r="U90" s="402"/>
      <c r="V90" s="402"/>
      <c r="W90" s="313"/>
      <c r="X90" s="313"/>
      <c r="Y90" s="313"/>
      <c r="Z90" s="313"/>
    </row>
    <row r="91" spans="16:26" s="10" customFormat="1" ht="15" customHeight="1" x14ac:dyDescent="0.25">
      <c r="P91" s="313"/>
      <c r="Q91" s="313"/>
      <c r="R91" s="402"/>
      <c r="S91" s="402"/>
      <c r="T91" s="402"/>
      <c r="U91" s="402"/>
      <c r="V91" s="402"/>
      <c r="W91" s="313"/>
      <c r="X91" s="313"/>
      <c r="Y91" s="313"/>
      <c r="Z91" s="313"/>
    </row>
    <row r="92" spans="16:26" s="10" customFormat="1" ht="15" customHeight="1" x14ac:dyDescent="0.25">
      <c r="P92" s="313"/>
      <c r="Q92" s="313"/>
      <c r="R92" s="402"/>
      <c r="S92" s="402"/>
      <c r="T92" s="402"/>
      <c r="U92" s="402"/>
      <c r="V92" s="402"/>
      <c r="W92" s="313"/>
      <c r="X92" s="313"/>
      <c r="Y92" s="313"/>
      <c r="Z92" s="313"/>
    </row>
    <row r="93" spans="16:26" s="10" customFormat="1" ht="15" customHeight="1" x14ac:dyDescent="0.25">
      <c r="P93" s="313"/>
      <c r="Q93" s="313"/>
      <c r="R93" s="402"/>
      <c r="S93" s="402"/>
      <c r="T93" s="402"/>
      <c r="U93" s="402"/>
      <c r="V93" s="402"/>
      <c r="W93" s="313"/>
      <c r="X93" s="313"/>
      <c r="Y93" s="313"/>
      <c r="Z93" s="313"/>
    </row>
    <row r="94" spans="16:26" s="10" customFormat="1" ht="15" customHeight="1" x14ac:dyDescent="0.25">
      <c r="P94" s="313"/>
      <c r="Q94" s="313"/>
      <c r="R94" s="402"/>
      <c r="S94" s="402"/>
      <c r="T94" s="402"/>
      <c r="U94" s="402"/>
      <c r="V94" s="402"/>
      <c r="W94" s="313"/>
      <c r="X94" s="313"/>
      <c r="Y94" s="313"/>
      <c r="Z94" s="313"/>
    </row>
    <row r="95" spans="16:26" s="10" customFormat="1" ht="15" customHeight="1" x14ac:dyDescent="0.25">
      <c r="P95" s="313"/>
      <c r="Q95" s="313"/>
      <c r="R95" s="402"/>
      <c r="S95" s="402"/>
      <c r="T95" s="402"/>
      <c r="U95" s="402"/>
      <c r="V95" s="402"/>
      <c r="W95" s="313"/>
      <c r="X95" s="313"/>
      <c r="Y95" s="313"/>
      <c r="Z95" s="313"/>
    </row>
    <row r="96" spans="16:26" s="10" customFormat="1" ht="15" customHeight="1" x14ac:dyDescent="0.25">
      <c r="P96" s="313"/>
      <c r="Q96" s="313"/>
      <c r="R96" s="402"/>
      <c r="S96" s="402"/>
      <c r="T96" s="402"/>
      <c r="U96" s="402"/>
      <c r="V96" s="402"/>
      <c r="W96" s="313"/>
      <c r="X96" s="313"/>
      <c r="Y96" s="313"/>
      <c r="Z96" s="313"/>
    </row>
    <row r="97" spans="16:26" s="10" customFormat="1" ht="15" customHeight="1" x14ac:dyDescent="0.25">
      <c r="P97" s="313"/>
      <c r="Q97" s="313"/>
      <c r="R97" s="402"/>
      <c r="S97" s="402"/>
      <c r="T97" s="402"/>
      <c r="U97" s="402"/>
      <c r="V97" s="402"/>
      <c r="W97" s="313"/>
      <c r="X97" s="313"/>
      <c r="Y97" s="313"/>
      <c r="Z97" s="313"/>
    </row>
    <row r="98" spans="16:26" s="10" customFormat="1" ht="15" customHeight="1" x14ac:dyDescent="0.25">
      <c r="P98" s="313"/>
      <c r="Q98" s="313"/>
      <c r="R98" s="402"/>
      <c r="S98" s="402"/>
      <c r="T98" s="402"/>
      <c r="U98" s="402"/>
      <c r="V98" s="402"/>
      <c r="W98" s="313"/>
      <c r="X98" s="313"/>
      <c r="Y98" s="313"/>
      <c r="Z98" s="313"/>
    </row>
    <row r="99" spans="16:26" s="10" customFormat="1" ht="15" customHeight="1" x14ac:dyDescent="0.25">
      <c r="P99" s="313"/>
      <c r="Q99" s="313"/>
      <c r="R99" s="402"/>
      <c r="S99" s="402"/>
      <c r="T99" s="402"/>
      <c r="U99" s="402"/>
      <c r="V99" s="402"/>
      <c r="W99" s="313"/>
      <c r="X99" s="313"/>
      <c r="Y99" s="313"/>
      <c r="Z99" s="313"/>
    </row>
    <row r="100" spans="16:26" s="10" customFormat="1" ht="15" customHeight="1" x14ac:dyDescent="0.25">
      <c r="P100" s="313"/>
      <c r="Q100" s="313"/>
      <c r="R100" s="402"/>
      <c r="S100" s="402"/>
      <c r="T100" s="402"/>
      <c r="U100" s="402"/>
      <c r="V100" s="402"/>
      <c r="W100" s="313"/>
      <c r="X100" s="313"/>
      <c r="Y100" s="313"/>
      <c r="Z100" s="313"/>
    </row>
    <row r="101" spans="16:26" s="10" customFormat="1" ht="15" customHeight="1" x14ac:dyDescent="0.25">
      <c r="P101" s="313"/>
      <c r="Q101" s="313"/>
      <c r="R101" s="402"/>
      <c r="S101" s="402"/>
      <c r="T101" s="402"/>
      <c r="U101" s="402"/>
      <c r="V101" s="402"/>
      <c r="W101" s="313"/>
      <c r="X101" s="313"/>
      <c r="Y101" s="313"/>
      <c r="Z101" s="313"/>
    </row>
    <row r="102" spans="16:26" s="10" customFormat="1" ht="15" customHeight="1" x14ac:dyDescent="0.25">
      <c r="P102" s="313"/>
      <c r="Q102" s="313"/>
      <c r="R102" s="402"/>
      <c r="S102" s="402"/>
      <c r="T102" s="402"/>
      <c r="U102" s="402"/>
      <c r="V102" s="402"/>
      <c r="W102" s="313"/>
      <c r="X102" s="313"/>
      <c r="Y102" s="313"/>
      <c r="Z102" s="313"/>
    </row>
    <row r="103" spans="16:26" s="10" customFormat="1" ht="15" customHeight="1" x14ac:dyDescent="0.25">
      <c r="P103" s="313"/>
      <c r="Q103" s="313"/>
      <c r="R103" s="402"/>
      <c r="S103" s="402"/>
      <c r="T103" s="402"/>
      <c r="U103" s="402"/>
      <c r="V103" s="402"/>
      <c r="W103" s="313"/>
      <c r="X103" s="313"/>
      <c r="Y103" s="313"/>
      <c r="Z103" s="313"/>
    </row>
    <row r="104" spans="16:26" s="10" customFormat="1" ht="15" customHeight="1" x14ac:dyDescent="0.25">
      <c r="P104" s="313"/>
      <c r="Q104" s="313"/>
      <c r="R104" s="402"/>
      <c r="S104" s="402"/>
      <c r="T104" s="402"/>
      <c r="U104" s="402"/>
      <c r="V104" s="402"/>
      <c r="W104" s="313"/>
      <c r="X104" s="313"/>
      <c r="Y104" s="313"/>
      <c r="Z104" s="313"/>
    </row>
    <row r="105" spans="16:26" s="10" customFormat="1" ht="15" customHeight="1" x14ac:dyDescent="0.25">
      <c r="P105" s="313"/>
      <c r="Q105" s="313"/>
      <c r="R105" s="402"/>
      <c r="S105" s="402"/>
      <c r="T105" s="402"/>
      <c r="U105" s="402"/>
      <c r="V105" s="402"/>
      <c r="W105" s="313"/>
      <c r="X105" s="313"/>
      <c r="Y105" s="313"/>
      <c r="Z105" s="313"/>
    </row>
    <row r="106" spans="16:26" s="10" customFormat="1" ht="15" customHeight="1" x14ac:dyDescent="0.25">
      <c r="P106" s="313"/>
      <c r="Q106" s="313"/>
      <c r="R106" s="402"/>
      <c r="S106" s="402"/>
      <c r="T106" s="402"/>
      <c r="U106" s="402"/>
      <c r="V106" s="402"/>
      <c r="W106" s="313"/>
      <c r="X106" s="313"/>
      <c r="Y106" s="313"/>
      <c r="Z106" s="313"/>
    </row>
    <row r="107" spans="16:26" s="10" customFormat="1" ht="15" customHeight="1" x14ac:dyDescent="0.25">
      <c r="P107" s="313"/>
      <c r="Q107" s="313"/>
      <c r="R107" s="402"/>
      <c r="S107" s="402"/>
      <c r="T107" s="402"/>
      <c r="U107" s="402"/>
      <c r="V107" s="402"/>
      <c r="W107" s="313"/>
      <c r="X107" s="313"/>
      <c r="Y107" s="313"/>
      <c r="Z107" s="313"/>
    </row>
    <row r="108" spans="16:26" s="10" customFormat="1" ht="15" customHeight="1" x14ac:dyDescent="0.25">
      <c r="P108" s="313"/>
      <c r="Q108" s="313"/>
      <c r="R108" s="402"/>
      <c r="S108" s="402"/>
      <c r="T108" s="402"/>
      <c r="U108" s="402"/>
      <c r="V108" s="402"/>
      <c r="W108" s="313"/>
      <c r="X108" s="313"/>
      <c r="Y108" s="313"/>
      <c r="Z108" s="313"/>
    </row>
    <row r="109" spans="16:26" s="10" customFormat="1" ht="15" customHeight="1" x14ac:dyDescent="0.25">
      <c r="P109" s="313"/>
      <c r="Q109" s="313"/>
      <c r="R109" s="402"/>
      <c r="S109" s="402"/>
      <c r="T109" s="402"/>
      <c r="U109" s="402"/>
      <c r="V109" s="402"/>
      <c r="W109" s="313"/>
      <c r="X109" s="313"/>
      <c r="Y109" s="313"/>
      <c r="Z109" s="313"/>
    </row>
    <row r="110" spans="16:26" s="10" customFormat="1" ht="15" customHeight="1" x14ac:dyDescent="0.25">
      <c r="P110" s="313"/>
      <c r="Q110" s="313"/>
      <c r="R110" s="402"/>
      <c r="S110" s="402"/>
      <c r="T110" s="402"/>
      <c r="U110" s="402"/>
      <c r="V110" s="402"/>
      <c r="W110" s="313"/>
      <c r="X110" s="313"/>
      <c r="Y110" s="313"/>
      <c r="Z110" s="313"/>
    </row>
    <row r="111" spans="16:26" s="10" customFormat="1" ht="15" customHeight="1" x14ac:dyDescent="0.25">
      <c r="P111" s="313"/>
      <c r="Q111" s="313"/>
      <c r="R111" s="402"/>
      <c r="S111" s="402"/>
      <c r="T111" s="402"/>
      <c r="U111" s="402"/>
      <c r="V111" s="402"/>
      <c r="W111" s="313"/>
      <c r="X111" s="313"/>
      <c r="Y111" s="313"/>
      <c r="Z111" s="313"/>
    </row>
    <row r="112" spans="16:26" s="10" customFormat="1" ht="15" customHeight="1" x14ac:dyDescent="0.25">
      <c r="P112" s="313"/>
      <c r="Q112" s="313"/>
      <c r="R112" s="402"/>
      <c r="S112" s="402"/>
      <c r="T112" s="402"/>
      <c r="U112" s="402"/>
      <c r="V112" s="402"/>
      <c r="W112" s="313"/>
      <c r="X112" s="313"/>
      <c r="Y112" s="313"/>
      <c r="Z112" s="313"/>
    </row>
    <row r="113" spans="16:26" s="10" customFormat="1" ht="15" customHeight="1" x14ac:dyDescent="0.25">
      <c r="P113" s="313"/>
      <c r="Q113" s="313"/>
      <c r="R113" s="402"/>
      <c r="S113" s="402"/>
      <c r="T113" s="402"/>
      <c r="U113" s="402"/>
      <c r="V113" s="402"/>
      <c r="W113" s="313"/>
      <c r="X113" s="313"/>
      <c r="Y113" s="313"/>
      <c r="Z113" s="313"/>
    </row>
  </sheetData>
  <customSheetViews>
    <customSheetView guid="{B2DDA8C4-3089-41F7-BA6E-A0E09596A2CA}" scale="70" showPageBreaks="1" fitToPage="1" printArea="1">
      <selection activeCell="N12" sqref="N12"/>
      <colBreaks count="1" manualBreakCount="1">
        <brk id="15" max="41" man="1"/>
      </colBreaks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34">
      <selection activeCell="N45" sqref="N45"/>
      <colBreaks count="1" manualBreakCount="1">
        <brk id="15" max="41" man="1"/>
      </colBreaks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 topLeftCell="A10">
      <selection activeCell="N12" sqref="N12"/>
      <colBreaks count="1" manualBreakCount="1">
        <brk id="15" max="41" man="1"/>
      </colBreaks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selection activeCell="N12" sqref="N12"/>
      <colBreaks count="1" manualBreakCount="1">
        <brk id="15" max="41" man="1"/>
      </colBreaks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selection activeCell="N12" sqref="N12"/>
      <colBreaks count="1" manualBreakCount="1">
        <brk id="15" max="41" man="1"/>
      </colBreaks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29">
    <mergeCell ref="J8:L8"/>
    <mergeCell ref="G9:H9"/>
    <mergeCell ref="G8:H8"/>
    <mergeCell ref="I16:I17"/>
    <mergeCell ref="G16:H17"/>
    <mergeCell ref="C6:E6"/>
    <mergeCell ref="C8:E8"/>
    <mergeCell ref="C9:E9"/>
    <mergeCell ref="C11:E11"/>
    <mergeCell ref="F16:F17"/>
    <mergeCell ref="G13:H13"/>
    <mergeCell ref="G14:H14"/>
    <mergeCell ref="C13:E13"/>
    <mergeCell ref="C18:E18"/>
    <mergeCell ref="C21:E21"/>
    <mergeCell ref="B28:N28"/>
    <mergeCell ref="B29:N29"/>
    <mergeCell ref="G23:H23"/>
    <mergeCell ref="C14:E14"/>
    <mergeCell ref="G18:H18"/>
    <mergeCell ref="C23:E23"/>
    <mergeCell ref="C16:E16"/>
    <mergeCell ref="C17:E17"/>
    <mergeCell ref="C19:E19"/>
    <mergeCell ref="C22:E22"/>
    <mergeCell ref="B27:N27"/>
    <mergeCell ref="G19:H19"/>
    <mergeCell ref="K16:K17"/>
    <mergeCell ref="J16:J17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colBreaks count="1" manualBreakCount="1">
    <brk id="15" max="41" man="1"/>
  </colBreaks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="70" zoomScaleNormal="70" workbookViewId="0"/>
  </sheetViews>
  <sheetFormatPr defaultRowHeight="12.75" x14ac:dyDescent="0.2"/>
  <cols>
    <col min="1" max="1" width="1.7109375" style="2" customWidth="1"/>
    <col min="2" max="4" width="4.7109375" style="2" customWidth="1"/>
    <col min="5" max="5" width="11.7109375" style="2" customWidth="1"/>
    <col min="6" max="6" width="10.7109375" style="2" customWidth="1"/>
    <col min="7" max="7" width="11.140625" style="2" customWidth="1"/>
    <col min="8" max="8" width="11.7109375" style="2" customWidth="1"/>
    <col min="9" max="9" width="11.28515625" style="2" customWidth="1"/>
    <col min="10" max="10" width="21.42578125" style="2" customWidth="1"/>
    <col min="11" max="11" width="5.28515625" style="2" customWidth="1"/>
    <col min="12" max="16384" width="9.140625" style="2"/>
  </cols>
  <sheetData>
    <row r="1" spans="1:11" ht="28.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1"/>
    </row>
    <row r="2" spans="1:11" ht="18" customHeight="1" x14ac:dyDescent="0.2">
      <c r="A2" s="4"/>
      <c r="C2" s="7" t="s">
        <v>1412</v>
      </c>
      <c r="D2" s="4" t="s">
        <v>1224</v>
      </c>
      <c r="E2" s="4"/>
      <c r="F2" s="4"/>
      <c r="G2" s="4"/>
      <c r="H2" s="4"/>
      <c r="I2" s="4"/>
      <c r="J2" s="4"/>
    </row>
    <row r="3" spans="1:11" ht="14.1" customHeight="1" x14ac:dyDescent="0.2">
      <c r="A3" s="4"/>
      <c r="C3" s="4"/>
      <c r="D3" s="4" t="s">
        <v>55</v>
      </c>
      <c r="E3" s="4" t="s">
        <v>72</v>
      </c>
      <c r="F3" s="4"/>
      <c r="G3" s="4"/>
      <c r="H3" s="4"/>
      <c r="I3" s="4"/>
      <c r="J3" s="4"/>
    </row>
    <row r="4" spans="1:11" ht="5.0999999999999996" customHeight="1" x14ac:dyDescent="0.2">
      <c r="A4" s="4"/>
      <c r="C4" s="4"/>
      <c r="D4" s="4"/>
      <c r="E4" s="4"/>
      <c r="F4" s="4"/>
      <c r="G4" s="4"/>
      <c r="H4" s="4"/>
      <c r="I4" s="4"/>
      <c r="J4" s="4"/>
    </row>
    <row r="5" spans="1:11" ht="14.1" customHeight="1" x14ac:dyDescent="0.2">
      <c r="A5" s="4"/>
      <c r="C5" s="4"/>
      <c r="D5" s="4" t="s">
        <v>58</v>
      </c>
      <c r="E5" s="4" t="s">
        <v>73</v>
      </c>
      <c r="F5" s="4"/>
      <c r="G5" s="4"/>
      <c r="H5" s="4"/>
      <c r="I5" s="4"/>
      <c r="J5" s="4"/>
    </row>
    <row r="6" spans="1:11" ht="5.0999999999999996" customHeight="1" x14ac:dyDescent="0.2">
      <c r="A6" s="4"/>
      <c r="C6" s="4"/>
      <c r="D6" s="4"/>
      <c r="E6" s="4"/>
      <c r="F6" s="4"/>
      <c r="G6" s="4"/>
      <c r="H6" s="4"/>
      <c r="I6" s="4"/>
      <c r="J6" s="4"/>
    </row>
    <row r="7" spans="1:11" ht="14.1" customHeight="1" x14ac:dyDescent="0.2">
      <c r="A7" s="4"/>
      <c r="C7" s="7" t="s">
        <v>1413</v>
      </c>
      <c r="D7" s="4" t="s">
        <v>1225</v>
      </c>
      <c r="E7" s="4"/>
      <c r="F7" s="4"/>
      <c r="G7" s="4"/>
      <c r="H7" s="4"/>
      <c r="I7" s="4"/>
      <c r="J7" s="4"/>
    </row>
    <row r="8" spans="1:11" ht="14.1" customHeight="1" x14ac:dyDescent="0.2">
      <c r="A8" s="4"/>
      <c r="C8" s="4"/>
      <c r="D8" s="4" t="s">
        <v>55</v>
      </c>
      <c r="E8" s="4" t="s">
        <v>74</v>
      </c>
      <c r="F8" s="4"/>
      <c r="G8" s="4"/>
      <c r="H8" s="4"/>
      <c r="I8" s="4"/>
      <c r="J8" s="4"/>
    </row>
    <row r="9" spans="1:11" ht="5.0999999999999996" customHeight="1" x14ac:dyDescent="0.2">
      <c r="A9" s="4"/>
      <c r="C9" s="4"/>
      <c r="D9" s="4"/>
      <c r="E9" s="4"/>
      <c r="F9" s="4"/>
      <c r="G9" s="4"/>
      <c r="H9" s="4"/>
      <c r="I9" s="4"/>
      <c r="J9" s="4"/>
    </row>
    <row r="10" spans="1:11" ht="14.1" customHeight="1" x14ac:dyDescent="0.2">
      <c r="A10" s="4"/>
      <c r="C10" s="4"/>
      <c r="D10" s="4" t="s">
        <v>58</v>
      </c>
      <c r="E10" s="4" t="s">
        <v>75</v>
      </c>
      <c r="F10" s="4"/>
      <c r="G10" s="4"/>
      <c r="H10" s="4"/>
      <c r="I10" s="4"/>
      <c r="J10" s="4"/>
    </row>
    <row r="11" spans="1:11" ht="5.0999999999999996" customHeight="1" x14ac:dyDescent="0.2">
      <c r="A11" s="4"/>
      <c r="C11" s="4"/>
      <c r="D11" s="4"/>
      <c r="E11" s="4"/>
      <c r="F11" s="4"/>
      <c r="G11" s="4"/>
      <c r="H11" s="4"/>
      <c r="I11" s="4"/>
      <c r="J11" s="4"/>
    </row>
    <row r="12" spans="1:11" ht="14.1" customHeight="1" x14ac:dyDescent="0.2">
      <c r="A12" s="4"/>
      <c r="C12" s="4"/>
      <c r="D12" s="4" t="s">
        <v>60</v>
      </c>
      <c r="E12" s="4" t="s">
        <v>76</v>
      </c>
      <c r="F12" s="4"/>
      <c r="G12" s="4"/>
      <c r="H12" s="4"/>
      <c r="I12" s="4"/>
      <c r="J12" s="4"/>
    </row>
    <row r="13" spans="1:11" ht="9.9499999999999993" customHeigh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</row>
    <row r="14" spans="1:11" ht="14.1" customHeight="1" x14ac:dyDescent="0.25">
      <c r="A14" s="4"/>
      <c r="B14" s="3" t="s">
        <v>77</v>
      </c>
      <c r="C14" s="4" t="s">
        <v>78</v>
      </c>
      <c r="D14" s="4"/>
      <c r="E14" s="4"/>
      <c r="F14" s="4"/>
      <c r="G14" s="4"/>
      <c r="H14" s="4"/>
      <c r="I14" s="4"/>
      <c r="J14" s="4"/>
    </row>
    <row r="15" spans="1:11" ht="14.1" customHeight="1" x14ac:dyDescent="0.2">
      <c r="A15" s="4"/>
      <c r="C15" s="4" t="s">
        <v>79</v>
      </c>
      <c r="D15" s="4"/>
      <c r="E15" s="4"/>
      <c r="F15" s="4"/>
      <c r="G15" s="4"/>
      <c r="H15" s="4"/>
      <c r="I15" s="4"/>
      <c r="J15" s="4"/>
    </row>
    <row r="16" spans="1:11" ht="14.1" customHeight="1" x14ac:dyDescent="0.2">
      <c r="A16" s="4"/>
      <c r="C16" s="4" t="s">
        <v>80</v>
      </c>
      <c r="D16" s="4"/>
      <c r="E16" s="4"/>
      <c r="F16" s="4"/>
      <c r="G16" s="4"/>
      <c r="H16" s="4"/>
      <c r="I16" s="4"/>
      <c r="J16" s="4"/>
    </row>
    <row r="17" spans="1:10" ht="14.1" customHeight="1" x14ac:dyDescent="0.2">
      <c r="A17" s="4"/>
      <c r="C17" s="4" t="s">
        <v>603</v>
      </c>
      <c r="D17" s="4"/>
      <c r="E17" s="4"/>
      <c r="F17" s="4"/>
      <c r="G17" s="4"/>
      <c r="H17" s="4"/>
      <c r="I17" s="4"/>
      <c r="J17" s="4"/>
    </row>
    <row r="18" spans="1:10" ht="14.1" customHeight="1" x14ac:dyDescent="0.2">
      <c r="A18" s="4"/>
      <c r="C18" s="4" t="s">
        <v>81</v>
      </c>
      <c r="D18" s="4"/>
      <c r="E18" s="4"/>
      <c r="F18" s="4"/>
      <c r="G18" s="4"/>
      <c r="H18" s="4"/>
      <c r="I18" s="4"/>
      <c r="J18" s="4"/>
    </row>
    <row r="19" spans="1:10" ht="9.9499999999999993" customHeight="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10" ht="14.1" customHeight="1" x14ac:dyDescent="0.25">
      <c r="A20" s="4"/>
      <c r="B20" s="3" t="s">
        <v>82</v>
      </c>
      <c r="C20" s="4" t="s">
        <v>83</v>
      </c>
      <c r="D20" s="4"/>
      <c r="E20" s="4"/>
      <c r="F20" s="4"/>
      <c r="G20" s="4"/>
      <c r="H20" s="4"/>
      <c r="I20" s="4"/>
      <c r="J20" s="4"/>
    </row>
    <row r="21" spans="1:10" ht="5.0999999999999996" customHeight="1" x14ac:dyDescent="0.2">
      <c r="A21" s="4"/>
      <c r="C21" s="4"/>
      <c r="D21" s="4"/>
      <c r="E21" s="4"/>
      <c r="F21" s="4"/>
      <c r="G21" s="4"/>
      <c r="H21" s="4"/>
      <c r="I21" s="4"/>
      <c r="J21" s="4"/>
    </row>
    <row r="22" spans="1:10" ht="14.1" customHeight="1" x14ac:dyDescent="0.2">
      <c r="A22" s="4"/>
      <c r="C22" s="4" t="s">
        <v>1019</v>
      </c>
      <c r="D22" s="4"/>
      <c r="E22" s="4"/>
      <c r="F22" s="4"/>
      <c r="G22" s="4"/>
      <c r="H22" s="4"/>
      <c r="I22" s="4"/>
      <c r="J22" s="4"/>
    </row>
    <row r="23" spans="1:10" ht="5.0999999999999996" customHeight="1" x14ac:dyDescent="0.2">
      <c r="A23" s="4"/>
      <c r="C23" s="4"/>
      <c r="D23" s="4"/>
      <c r="E23" s="4"/>
      <c r="F23" s="4"/>
      <c r="G23" s="4"/>
      <c r="H23" s="4"/>
      <c r="I23" s="4"/>
      <c r="J23" s="4"/>
    </row>
    <row r="24" spans="1:10" ht="14.1" customHeight="1" x14ac:dyDescent="0.2">
      <c r="A24" s="4"/>
      <c r="C24" s="4" t="s">
        <v>84</v>
      </c>
      <c r="D24" s="4"/>
      <c r="E24" s="4"/>
      <c r="F24" s="4"/>
      <c r="G24" s="4"/>
      <c r="H24" s="4"/>
      <c r="I24" s="4"/>
      <c r="J24" s="4"/>
    </row>
    <row r="25" spans="1:10" ht="14.1" customHeight="1" x14ac:dyDescent="0.2">
      <c r="A25" s="4"/>
      <c r="C25" s="4" t="s">
        <v>85</v>
      </c>
      <c r="D25" s="4"/>
      <c r="E25" s="4"/>
      <c r="F25" s="4"/>
      <c r="G25" s="4"/>
      <c r="H25" s="4"/>
      <c r="I25" s="4"/>
      <c r="J25" s="4"/>
    </row>
    <row r="26" spans="1:10" ht="14.1" customHeight="1" x14ac:dyDescent="0.2">
      <c r="A26" s="4"/>
      <c r="C26" s="4" t="s">
        <v>86</v>
      </c>
      <c r="D26" s="4"/>
      <c r="E26" s="4"/>
      <c r="F26" s="4"/>
      <c r="G26" s="4"/>
      <c r="H26" s="4"/>
      <c r="I26" s="4"/>
      <c r="J26" s="4"/>
    </row>
    <row r="27" spans="1:10" ht="9.9499999999999993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ht="14.1" customHeight="1" x14ac:dyDescent="0.25">
      <c r="A28" s="4"/>
      <c r="B28" s="3" t="s">
        <v>87</v>
      </c>
      <c r="C28" s="4" t="s">
        <v>88</v>
      </c>
      <c r="D28" s="4"/>
      <c r="E28" s="4"/>
      <c r="F28" s="4"/>
      <c r="G28" s="4"/>
      <c r="H28" s="4"/>
      <c r="I28" s="4"/>
      <c r="J28" s="4"/>
    </row>
    <row r="29" spans="1:10" ht="14.1" customHeight="1" x14ac:dyDescent="0.2">
      <c r="A29" s="4"/>
      <c r="C29" s="4" t="s">
        <v>89</v>
      </c>
      <c r="D29" s="4"/>
      <c r="E29" s="4"/>
      <c r="F29" s="4"/>
      <c r="G29" s="4"/>
      <c r="H29" s="4"/>
      <c r="I29" s="4"/>
      <c r="J29" s="4"/>
    </row>
    <row r="30" spans="1:10" ht="14.1" customHeight="1" x14ac:dyDescent="0.2">
      <c r="A30" s="4"/>
      <c r="C30" s="4" t="s">
        <v>90</v>
      </c>
      <c r="D30" s="4"/>
      <c r="E30" s="4"/>
      <c r="F30" s="4"/>
      <c r="G30" s="4"/>
      <c r="H30" s="4"/>
      <c r="I30" s="4"/>
      <c r="J30" s="4"/>
    </row>
    <row r="31" spans="1:10" ht="14.1" customHeight="1" x14ac:dyDescent="0.2">
      <c r="A31" s="4"/>
      <c r="C31" s="4" t="s">
        <v>91</v>
      </c>
      <c r="D31" s="4"/>
      <c r="E31" s="4"/>
      <c r="F31" s="4"/>
      <c r="G31" s="4"/>
      <c r="H31" s="4"/>
      <c r="I31" s="4"/>
      <c r="J31" s="4"/>
    </row>
    <row r="32" spans="1:10" ht="9.9499999999999993" customHeight="1" x14ac:dyDescent="0.2">
      <c r="A32" s="4"/>
      <c r="C32" s="4"/>
      <c r="D32" s="4"/>
      <c r="E32" s="4"/>
      <c r="F32" s="4"/>
      <c r="G32" s="4"/>
      <c r="H32" s="4"/>
      <c r="I32" s="4"/>
      <c r="J32" s="4"/>
    </row>
    <row r="33" spans="1:10" ht="14.1" customHeight="1" x14ac:dyDescent="0.25">
      <c r="A33" s="4"/>
      <c r="B33" s="3" t="s">
        <v>92</v>
      </c>
      <c r="C33" s="5" t="s">
        <v>93</v>
      </c>
      <c r="D33" s="4"/>
      <c r="E33" s="4"/>
      <c r="F33" s="4"/>
      <c r="G33" s="4"/>
      <c r="H33" s="4"/>
      <c r="I33" s="4"/>
      <c r="J33" s="4"/>
    </row>
    <row r="34" spans="1:10" ht="14.1" customHeight="1" x14ac:dyDescent="0.2">
      <c r="C34" s="5" t="s">
        <v>1325</v>
      </c>
    </row>
    <row r="35" spans="1:10" ht="14.1" customHeight="1" x14ac:dyDescent="0.2">
      <c r="C35" s="5" t="s">
        <v>1326</v>
      </c>
    </row>
    <row r="36" spans="1:10" ht="14.1" customHeight="1" x14ac:dyDescent="0.2">
      <c r="C36" s="8" t="s">
        <v>94</v>
      </c>
    </row>
    <row r="37" spans="1:10" ht="14.1" customHeight="1" x14ac:dyDescent="0.2">
      <c r="C37" s="4" t="s">
        <v>95</v>
      </c>
    </row>
    <row r="38" spans="1:10" ht="14.1" customHeight="1" x14ac:dyDescent="0.2">
      <c r="C38" s="4" t="s">
        <v>96</v>
      </c>
    </row>
    <row r="39" spans="1:10" ht="14.1" customHeight="1" x14ac:dyDescent="0.2">
      <c r="C39" s="8" t="s">
        <v>97</v>
      </c>
    </row>
    <row r="40" spans="1:10" ht="14.1" customHeight="1" x14ac:dyDescent="0.2">
      <c r="C40" s="5" t="s">
        <v>98</v>
      </c>
    </row>
    <row r="41" spans="1:10" ht="14.1" customHeight="1" x14ac:dyDescent="0.2">
      <c r="C41" s="4" t="s">
        <v>1226</v>
      </c>
    </row>
    <row r="42" spans="1:10" ht="14.1" customHeight="1" x14ac:dyDescent="0.2">
      <c r="C42" s="4" t="s">
        <v>99</v>
      </c>
    </row>
    <row r="43" spans="1:10" ht="9.9499999999999993" customHeight="1" x14ac:dyDescent="0.2"/>
    <row r="44" spans="1:10" ht="14.1" customHeight="1" x14ac:dyDescent="0.25">
      <c r="B44" s="3" t="s">
        <v>100</v>
      </c>
      <c r="C44" s="5" t="s">
        <v>101</v>
      </c>
    </row>
    <row r="45" spans="1:10" ht="14.1" customHeight="1" x14ac:dyDescent="0.2">
      <c r="C45" s="5" t="s">
        <v>102</v>
      </c>
    </row>
    <row r="46" spans="1:10" ht="9.9499999999999993" customHeight="1" x14ac:dyDescent="0.2">
      <c r="B46" s="4"/>
    </row>
    <row r="47" spans="1:10" ht="14.1" customHeight="1" x14ac:dyDescent="0.25">
      <c r="B47" s="3" t="s">
        <v>103</v>
      </c>
      <c r="C47" s="5" t="s">
        <v>104</v>
      </c>
    </row>
    <row r="48" spans="1:10" ht="14.1" customHeight="1" x14ac:dyDescent="0.2">
      <c r="C48" s="5" t="s">
        <v>105</v>
      </c>
    </row>
    <row r="49" spans="2:6" ht="14.1" customHeight="1" x14ac:dyDescent="0.2">
      <c r="C49" s="5" t="s">
        <v>106</v>
      </c>
    </row>
    <row r="50" spans="2:6" ht="14.1" customHeight="1" x14ac:dyDescent="0.2">
      <c r="C50" s="5" t="s">
        <v>107</v>
      </c>
    </row>
    <row r="51" spans="2:6" ht="14.1" customHeight="1" x14ac:dyDescent="0.2">
      <c r="C51" s="5" t="s">
        <v>108</v>
      </c>
    </row>
    <row r="52" spans="2:6" ht="9.9499999999999993" customHeight="1" x14ac:dyDescent="0.2">
      <c r="B52" s="4"/>
    </row>
    <row r="53" spans="2:6" ht="14.1" customHeight="1" x14ac:dyDescent="0.25">
      <c r="B53" s="3" t="s">
        <v>109</v>
      </c>
      <c r="C53" s="5" t="s">
        <v>197</v>
      </c>
      <c r="E53" s="5"/>
      <c r="F53" s="5"/>
    </row>
    <row r="54" spans="2:6" ht="14.1" customHeight="1" x14ac:dyDescent="0.2"/>
  </sheetData>
  <customSheetViews>
    <customSheetView guid="{B2DDA8C4-3089-41F7-BA6E-A0E09596A2CA}" scale="70" showPageBreaks="1" fitToPage="1" printArea="1">
      <selection activeCell="C42" sqref="C42"/>
      <pageMargins left="1" right="0.75" top="0.85" bottom="0.8" header="0.5" footer="0.35"/>
      <printOptions horizontalCentered="1"/>
      <pageSetup scale="93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C42" sqref="C42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C42" sqref="C42"/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selection activeCell="C42" sqref="C42"/>
      <pageMargins left="1" right="0.75" top="0.85" bottom="0.8" header="0.5" footer="0.35"/>
      <printOptions horizontalCentered="1"/>
      <pageSetup scale="92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selection activeCell="C42" sqref="C42"/>
      <pageMargins left="1" right="0.75" top="0.85" bottom="0.8" header="0.5" footer="0.35"/>
      <printOptions horizontalCentered="1"/>
      <pageSetup scale="93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2" width="9.140625" style="2"/>
    <col min="3" max="3" width="16" style="2" customWidth="1"/>
    <col min="4" max="4" width="10.140625" style="2" customWidth="1"/>
    <col min="5" max="5" width="4.85546875" style="2" customWidth="1"/>
    <col min="6" max="6" width="3.28515625" style="2" customWidth="1"/>
    <col min="7" max="7" width="11.5703125" style="2" customWidth="1"/>
    <col min="8" max="8" width="5.28515625" style="2" customWidth="1"/>
    <col min="9" max="9" width="3.28515625" style="2" customWidth="1"/>
    <col min="10" max="10" width="11.28515625" style="2" customWidth="1"/>
    <col min="11" max="11" width="2.140625" style="2" customWidth="1"/>
    <col min="12" max="12" width="14.42578125" style="2" customWidth="1"/>
    <col min="13" max="13" width="5" style="2" customWidth="1"/>
    <col min="14" max="14" width="2.7109375" style="312" customWidth="1"/>
    <col min="15" max="15" width="8.7109375" style="407" hidden="1" customWidth="1"/>
    <col min="16" max="16" width="2.7109375" style="407" hidden="1" customWidth="1"/>
    <col min="17" max="17" width="8.7109375" style="407" hidden="1" customWidth="1"/>
    <col min="18" max="18" width="2.7109375" style="407" hidden="1" customWidth="1"/>
    <col min="19" max="19" width="8.7109375" style="407" hidden="1" customWidth="1"/>
    <col min="20" max="20" width="2.7109375" style="407" hidden="1" customWidth="1"/>
    <col min="21" max="21" width="4.42578125" style="407" hidden="1" customWidth="1"/>
    <col min="22" max="22" width="3.140625" style="407" hidden="1" customWidth="1"/>
    <col min="23" max="23" width="9.7109375" style="407" hidden="1" customWidth="1"/>
    <col min="24" max="25" width="6.7109375" style="450" hidden="1" customWidth="1"/>
    <col min="26" max="27" width="10.7109375" style="450" hidden="1" customWidth="1"/>
    <col min="28" max="28" width="9.140625" style="312"/>
    <col min="29" max="16384" width="9.140625" style="2"/>
  </cols>
  <sheetData>
    <row r="1" spans="2:28" ht="28.5" customHeight="1" x14ac:dyDescent="0.2">
      <c r="U1" s="402"/>
      <c r="AB1" s="316"/>
    </row>
    <row r="2" spans="2:28" ht="15.95" customHeight="1" x14ac:dyDescent="0.25">
      <c r="B2" s="10" t="s">
        <v>1187</v>
      </c>
      <c r="U2" s="403"/>
      <c r="V2" s="403"/>
      <c r="W2" s="413" t="s">
        <v>1679</v>
      </c>
      <c r="X2" s="403"/>
      <c r="Y2" s="403"/>
      <c r="Z2" s="403"/>
      <c r="AA2" s="403"/>
      <c r="AB2" s="316"/>
    </row>
    <row r="3" spans="2:28" s="10" customFormat="1" ht="15.95" customHeight="1" x14ac:dyDescent="0.25">
      <c r="B3" s="10" t="s">
        <v>973</v>
      </c>
      <c r="D3" s="10" t="s">
        <v>1498</v>
      </c>
      <c r="F3" s="14" t="s">
        <v>329</v>
      </c>
      <c r="G3" s="10" t="s">
        <v>687</v>
      </c>
      <c r="I3" s="14" t="s">
        <v>111</v>
      </c>
      <c r="J3" s="11" t="s">
        <v>358</v>
      </c>
      <c r="M3" s="16"/>
      <c r="N3" s="313"/>
      <c r="O3" s="402"/>
      <c r="P3" s="412" t="s">
        <v>794</v>
      </c>
      <c r="Q3" s="402"/>
      <c r="R3" s="402"/>
      <c r="S3" s="402"/>
      <c r="T3" s="402"/>
      <c r="U3" s="405"/>
      <c r="V3" s="402"/>
      <c r="W3" s="402"/>
      <c r="X3" s="409" t="s">
        <v>39</v>
      </c>
      <c r="Y3" s="409" t="s">
        <v>40</v>
      </c>
      <c r="Z3" s="409" t="s">
        <v>41</v>
      </c>
      <c r="AA3" s="409" t="s">
        <v>42</v>
      </c>
      <c r="AB3" s="218"/>
    </row>
    <row r="4" spans="2:28" s="10" customFormat="1" ht="15.95" customHeight="1" thickBot="1" x14ac:dyDescent="0.3">
      <c r="D4" s="28">
        <f>O4</f>
        <v>125</v>
      </c>
      <c r="E4" s="21"/>
      <c r="F4" s="14" t="s">
        <v>329</v>
      </c>
      <c r="G4" s="28">
        <f>Q4</f>
        <v>92</v>
      </c>
      <c r="I4" s="14" t="s">
        <v>111</v>
      </c>
      <c r="J4" s="289" t="str">
        <f>CONCATENATE(TEXT(S4,"$#,##0")," (a)")</f>
        <v>$33 (a)</v>
      </c>
      <c r="K4" s="16"/>
      <c r="N4" s="313"/>
      <c r="O4" s="410">
        <f>X4</f>
        <v>125</v>
      </c>
      <c r="P4" s="410" t="s">
        <v>1589</v>
      </c>
      <c r="Q4" s="410">
        <f>X6</f>
        <v>92</v>
      </c>
      <c r="R4" s="410" t="s">
        <v>1587</v>
      </c>
      <c r="S4" s="410">
        <f>SUM(O4-Q4)</f>
        <v>33</v>
      </c>
      <c r="T4" s="451" t="s">
        <v>1507</v>
      </c>
      <c r="U4" s="402"/>
      <c r="V4" s="402"/>
      <c r="W4" s="405" t="s">
        <v>5</v>
      </c>
      <c r="X4" s="409">
        <v>125</v>
      </c>
      <c r="Y4" s="409">
        <v>715</v>
      </c>
      <c r="Z4" s="409" t="s">
        <v>974</v>
      </c>
      <c r="AA4" s="409">
        <v>2475</v>
      </c>
      <c r="AB4" s="218"/>
    </row>
    <row r="5" spans="2:28" s="10" customFormat="1" ht="5.0999999999999996" customHeight="1" thickTop="1" x14ac:dyDescent="0.25">
      <c r="D5" s="21"/>
      <c r="E5" s="21"/>
      <c r="F5" s="14"/>
      <c r="I5" s="14"/>
      <c r="J5" s="21"/>
      <c r="K5" s="21"/>
      <c r="L5" s="16"/>
      <c r="N5" s="313"/>
      <c r="O5" s="402"/>
      <c r="P5" s="402"/>
      <c r="Q5" s="402"/>
      <c r="R5" s="402"/>
      <c r="S5" s="402"/>
      <c r="T5" s="402"/>
      <c r="U5" s="402"/>
      <c r="V5" s="402"/>
      <c r="W5" s="402"/>
      <c r="X5" s="452"/>
      <c r="Y5" s="452"/>
      <c r="Z5" s="403"/>
      <c r="AA5" s="453"/>
      <c r="AB5" s="218"/>
    </row>
    <row r="6" spans="2:28" s="10" customFormat="1" ht="15.95" customHeight="1" x14ac:dyDescent="0.25">
      <c r="D6" s="10" t="s">
        <v>1490</v>
      </c>
      <c r="F6" s="14" t="s">
        <v>111</v>
      </c>
      <c r="G6" s="10" t="s">
        <v>1491</v>
      </c>
      <c r="I6" s="14" t="s">
        <v>1504</v>
      </c>
      <c r="J6" s="11" t="s">
        <v>949</v>
      </c>
      <c r="M6" s="16"/>
      <c r="N6" s="313"/>
      <c r="O6" s="402"/>
      <c r="P6" s="402"/>
      <c r="Q6" s="402"/>
      <c r="R6" s="402"/>
      <c r="S6" s="402"/>
      <c r="T6" s="402"/>
      <c r="U6" s="402"/>
      <c r="V6" s="402"/>
      <c r="W6" s="405" t="s">
        <v>6</v>
      </c>
      <c r="X6" s="409">
        <v>92</v>
      </c>
      <c r="Y6" s="409" t="s">
        <v>1510</v>
      </c>
      <c r="Z6" s="409">
        <v>54</v>
      </c>
      <c r="AA6" s="409" t="s">
        <v>975</v>
      </c>
      <c r="AB6" s="218"/>
    </row>
    <row r="7" spans="2:28" s="10" customFormat="1" ht="15.95" customHeight="1" thickBot="1" x14ac:dyDescent="0.3">
      <c r="D7" s="28">
        <f>O7</f>
        <v>905</v>
      </c>
      <c r="F7" s="14" t="s">
        <v>111</v>
      </c>
      <c r="G7" s="28">
        <f>Q7</f>
        <v>412</v>
      </c>
      <c r="I7" s="14" t="s">
        <v>1504</v>
      </c>
      <c r="J7" s="289" t="str">
        <f>CONCATENATE(TEXT(S7,"$#,##0")," (b)")</f>
        <v>$493 (b)</v>
      </c>
      <c r="K7" s="16"/>
      <c r="N7" s="313"/>
      <c r="O7" s="410">
        <f>X9</f>
        <v>905</v>
      </c>
      <c r="P7" s="410" t="s">
        <v>1589</v>
      </c>
      <c r="Q7" s="410">
        <f>X10</f>
        <v>412</v>
      </c>
      <c r="R7" s="410" t="s">
        <v>1587</v>
      </c>
      <c r="S7" s="410">
        <f>SUM(O7-Q7)</f>
        <v>493</v>
      </c>
      <c r="T7" s="451" t="s">
        <v>1509</v>
      </c>
      <c r="U7" s="402"/>
      <c r="V7" s="402"/>
      <c r="W7" s="405" t="s">
        <v>7</v>
      </c>
      <c r="X7" s="409" t="s">
        <v>1507</v>
      </c>
      <c r="Y7" s="409">
        <v>184</v>
      </c>
      <c r="Z7" s="409">
        <v>18</v>
      </c>
      <c r="AA7" s="409">
        <v>-600</v>
      </c>
      <c r="AB7" s="218"/>
    </row>
    <row r="8" spans="2:28" s="10" customFormat="1" ht="9.9499999999999993" customHeight="1" thickTop="1" x14ac:dyDescent="0.25">
      <c r="N8" s="313"/>
      <c r="O8" s="402"/>
      <c r="P8" s="402"/>
      <c r="Q8" s="402"/>
      <c r="R8" s="402"/>
      <c r="S8" s="402"/>
      <c r="T8" s="402"/>
      <c r="U8" s="402"/>
      <c r="V8" s="402"/>
      <c r="W8" s="402"/>
      <c r="X8" s="402"/>
      <c r="Y8" s="402"/>
      <c r="Z8" s="402"/>
      <c r="AA8" s="402"/>
      <c r="AB8" s="218"/>
    </row>
    <row r="9" spans="2:28" s="10" customFormat="1" ht="15.95" customHeight="1" x14ac:dyDescent="0.25">
      <c r="B9" s="10" t="s">
        <v>977</v>
      </c>
      <c r="D9" s="10" t="s">
        <v>1498</v>
      </c>
      <c r="F9" s="14" t="s">
        <v>329</v>
      </c>
      <c r="G9" s="10" t="s">
        <v>687</v>
      </c>
      <c r="I9" s="14" t="s">
        <v>111</v>
      </c>
      <c r="J9" s="11" t="s">
        <v>358</v>
      </c>
      <c r="N9" s="313"/>
      <c r="O9" s="402"/>
      <c r="P9" s="402"/>
      <c r="Q9" s="402"/>
      <c r="R9" s="402"/>
      <c r="S9" s="402"/>
      <c r="T9" s="402"/>
      <c r="U9" s="402"/>
      <c r="V9" s="402"/>
      <c r="W9" s="405" t="s">
        <v>780</v>
      </c>
      <c r="X9" s="409">
        <v>905</v>
      </c>
      <c r="Y9" s="409">
        <v>1988</v>
      </c>
      <c r="Z9" s="409" t="s">
        <v>976</v>
      </c>
      <c r="AA9" s="409">
        <v>8140</v>
      </c>
      <c r="AB9" s="218"/>
    </row>
    <row r="10" spans="2:28" s="10" customFormat="1" ht="15.95" customHeight="1" thickBot="1" x14ac:dyDescent="0.3">
      <c r="D10" s="28">
        <f>O10</f>
        <v>715</v>
      </c>
      <c r="E10" s="21"/>
      <c r="F10" s="14" t="s">
        <v>329</v>
      </c>
      <c r="G10" s="282" t="str">
        <f>CONCATENATE(TEXT(S10,"$#,##0")," (c)")</f>
        <v>$531 (c)</v>
      </c>
      <c r="H10" s="21"/>
      <c r="I10" s="14" t="s">
        <v>111</v>
      </c>
      <c r="J10" s="224">
        <f>Q10</f>
        <v>184</v>
      </c>
      <c r="N10" s="313"/>
      <c r="O10" s="410">
        <f>Y4</f>
        <v>715</v>
      </c>
      <c r="P10" s="410" t="s">
        <v>1589</v>
      </c>
      <c r="Q10" s="410">
        <f>Y7</f>
        <v>184</v>
      </c>
      <c r="R10" s="410" t="s">
        <v>1587</v>
      </c>
      <c r="S10" s="410">
        <f>SUM(O10-Q10)</f>
        <v>531</v>
      </c>
      <c r="T10" s="451" t="s">
        <v>1510</v>
      </c>
      <c r="U10" s="402"/>
      <c r="V10" s="402"/>
      <c r="W10" s="405" t="s">
        <v>778</v>
      </c>
      <c r="X10" s="409">
        <v>412</v>
      </c>
      <c r="Y10" s="409" t="s">
        <v>953</v>
      </c>
      <c r="Z10" s="409">
        <v>117</v>
      </c>
      <c r="AA10" s="409">
        <v>2280</v>
      </c>
      <c r="AB10" s="313"/>
    </row>
    <row r="11" spans="2:28" s="10" customFormat="1" ht="5.0999999999999996" customHeight="1" thickTop="1" x14ac:dyDescent="0.25">
      <c r="D11" s="21"/>
      <c r="E11" s="21"/>
      <c r="F11" s="14"/>
      <c r="G11" s="21"/>
      <c r="H11" s="21"/>
      <c r="I11" s="14"/>
      <c r="N11" s="313"/>
      <c r="O11" s="402"/>
      <c r="P11" s="402"/>
      <c r="Q11" s="402"/>
      <c r="R11" s="402"/>
      <c r="S11" s="402"/>
      <c r="T11" s="402"/>
      <c r="U11" s="402"/>
      <c r="V11" s="402"/>
      <c r="W11" s="402"/>
      <c r="X11" s="402"/>
      <c r="Y11" s="402"/>
      <c r="Z11" s="402"/>
      <c r="AA11" s="402"/>
      <c r="AB11" s="218"/>
    </row>
    <row r="12" spans="2:28" s="10" customFormat="1" ht="15.95" customHeight="1" x14ac:dyDescent="0.25">
      <c r="D12" s="10" t="s">
        <v>1490</v>
      </c>
      <c r="F12" s="14" t="s">
        <v>111</v>
      </c>
      <c r="G12" s="10" t="s">
        <v>1491</v>
      </c>
      <c r="I12" s="14" t="s">
        <v>1504</v>
      </c>
      <c r="J12" s="11" t="s">
        <v>949</v>
      </c>
      <c r="N12" s="313"/>
      <c r="O12" s="402"/>
      <c r="P12" s="402"/>
      <c r="Q12" s="402"/>
      <c r="R12" s="402"/>
      <c r="S12" s="402"/>
      <c r="T12" s="402"/>
      <c r="U12" s="402"/>
      <c r="V12" s="402"/>
      <c r="W12" s="405" t="s">
        <v>779</v>
      </c>
      <c r="X12" s="409" t="s">
        <v>1509</v>
      </c>
      <c r="Y12" s="409">
        <v>823</v>
      </c>
      <c r="Z12" s="409">
        <v>80</v>
      </c>
      <c r="AA12" s="409" t="s">
        <v>979</v>
      </c>
      <c r="AB12" s="218"/>
    </row>
    <row r="13" spans="2:28" s="10" customFormat="1" ht="15.95" customHeight="1" thickBot="1" x14ac:dyDescent="0.3">
      <c r="D13" s="28">
        <f>O13</f>
        <v>1988</v>
      </c>
      <c r="E13" s="77"/>
      <c r="F13" s="14" t="s">
        <v>111</v>
      </c>
      <c r="G13" s="282" t="str">
        <f>CONCATENATE(TEXT(S13,"$#,##0")," (d)")</f>
        <v>$1,165 (d)</v>
      </c>
      <c r="I13" s="14" t="s">
        <v>1504</v>
      </c>
      <c r="J13" s="224">
        <f>Q13</f>
        <v>823</v>
      </c>
      <c r="K13" s="28"/>
      <c r="N13" s="313"/>
      <c r="O13" s="410">
        <f>Y9</f>
        <v>1988</v>
      </c>
      <c r="P13" s="410" t="s">
        <v>1589</v>
      </c>
      <c r="Q13" s="410">
        <f>Y12</f>
        <v>823</v>
      </c>
      <c r="R13" s="410" t="s">
        <v>1587</v>
      </c>
      <c r="S13" s="410">
        <f>SUM(O13-Q13)</f>
        <v>1165</v>
      </c>
      <c r="T13" s="451" t="s">
        <v>953</v>
      </c>
      <c r="U13" s="402"/>
      <c r="V13" s="402"/>
      <c r="W13" s="402"/>
      <c r="X13" s="403"/>
      <c r="Y13" s="403"/>
      <c r="Z13" s="403"/>
      <c r="AA13" s="403"/>
      <c r="AB13" s="313"/>
    </row>
    <row r="14" spans="2:28" s="10" customFormat="1" ht="9.9499999999999993" customHeight="1" thickTop="1" x14ac:dyDescent="0.25">
      <c r="N14" s="313"/>
      <c r="O14" s="402"/>
      <c r="P14" s="402"/>
      <c r="Q14" s="402"/>
      <c r="R14" s="402"/>
      <c r="S14" s="402"/>
      <c r="T14" s="402"/>
      <c r="U14" s="402"/>
      <c r="V14" s="402"/>
      <c r="W14" s="402"/>
      <c r="X14" s="403"/>
      <c r="Y14" s="403"/>
      <c r="Z14" s="403"/>
      <c r="AA14" s="403"/>
      <c r="AB14" s="313"/>
    </row>
    <row r="15" spans="2:28" s="10" customFormat="1" ht="15.95" customHeight="1" x14ac:dyDescent="0.25">
      <c r="B15" s="10" t="s">
        <v>980</v>
      </c>
      <c r="D15" s="10" t="s">
        <v>1498</v>
      </c>
      <c r="F15" s="14" t="s">
        <v>329</v>
      </c>
      <c r="G15" s="10" t="s">
        <v>982</v>
      </c>
      <c r="I15" s="14" t="s">
        <v>111</v>
      </c>
      <c r="J15" s="11" t="s">
        <v>358</v>
      </c>
      <c r="N15" s="313"/>
      <c r="O15" s="402"/>
      <c r="P15" s="402"/>
      <c r="Q15" s="402"/>
      <c r="R15" s="402"/>
      <c r="S15" s="402"/>
      <c r="T15" s="402"/>
      <c r="U15" s="402"/>
      <c r="V15" s="402"/>
      <c r="W15" s="402"/>
      <c r="X15" s="403"/>
      <c r="Y15" s="403"/>
      <c r="Z15" s="403"/>
      <c r="AA15" s="403"/>
      <c r="AB15" s="313"/>
    </row>
    <row r="16" spans="2:28" s="10" customFormat="1" ht="15.95" customHeight="1" thickBot="1" x14ac:dyDescent="0.3">
      <c r="D16" s="282" t="str">
        <f>CONCATENATE(TEXT(S16,"$#,##0")," (e)")</f>
        <v>$72 (e)</v>
      </c>
      <c r="F16" s="14" t="s">
        <v>329</v>
      </c>
      <c r="G16" s="28">
        <f>O16</f>
        <v>54</v>
      </c>
      <c r="I16" s="14" t="s">
        <v>111</v>
      </c>
      <c r="J16" s="224">
        <f>Q16</f>
        <v>18</v>
      </c>
      <c r="K16" s="28"/>
      <c r="N16" s="313"/>
      <c r="O16" s="410">
        <f>Z6</f>
        <v>54</v>
      </c>
      <c r="P16" s="410" t="s">
        <v>1588</v>
      </c>
      <c r="Q16" s="410">
        <f>Z7</f>
        <v>18</v>
      </c>
      <c r="R16" s="410" t="s">
        <v>1587</v>
      </c>
      <c r="S16" s="410">
        <f>SUM(O16+Q16)</f>
        <v>72</v>
      </c>
      <c r="T16" s="451" t="s">
        <v>981</v>
      </c>
      <c r="U16" s="402"/>
      <c r="V16" s="402"/>
      <c r="W16" s="402"/>
      <c r="X16" s="403"/>
      <c r="Y16" s="403"/>
      <c r="Z16" s="403"/>
      <c r="AA16" s="403"/>
      <c r="AB16" s="313"/>
    </row>
    <row r="17" spans="1:28" s="10" customFormat="1" ht="5.0999999999999996" customHeight="1" thickTop="1" x14ac:dyDescent="0.25">
      <c r="F17" s="14"/>
      <c r="I17" s="14"/>
      <c r="N17" s="313"/>
      <c r="O17" s="402"/>
      <c r="P17" s="402"/>
      <c r="Q17" s="402"/>
      <c r="R17" s="402"/>
      <c r="S17" s="402"/>
      <c r="T17" s="402"/>
      <c r="U17" s="402"/>
      <c r="V17" s="402"/>
      <c r="W17" s="402"/>
      <c r="X17" s="403"/>
      <c r="Y17" s="403"/>
      <c r="Z17" s="403"/>
      <c r="AA17" s="403"/>
      <c r="AB17" s="313"/>
    </row>
    <row r="18" spans="1:28" s="10" customFormat="1" ht="15.95" customHeight="1" x14ac:dyDescent="0.25">
      <c r="D18" s="10" t="s">
        <v>909</v>
      </c>
      <c r="F18" s="14" t="s">
        <v>111</v>
      </c>
      <c r="G18" s="10" t="s">
        <v>1491</v>
      </c>
      <c r="I18" s="14" t="s">
        <v>1504</v>
      </c>
      <c r="J18" s="11" t="s">
        <v>949</v>
      </c>
      <c r="N18" s="313"/>
      <c r="O18" s="402"/>
      <c r="P18" s="402"/>
      <c r="Q18" s="402"/>
      <c r="R18" s="402"/>
      <c r="S18" s="402"/>
      <c r="T18" s="402"/>
      <c r="U18" s="402"/>
      <c r="V18" s="402"/>
      <c r="W18" s="402"/>
      <c r="X18" s="403"/>
      <c r="Y18" s="403"/>
      <c r="Z18" s="403"/>
      <c r="AA18" s="403"/>
      <c r="AB18" s="313"/>
    </row>
    <row r="19" spans="1:28" s="10" customFormat="1" ht="15.95" customHeight="1" thickBot="1" x14ac:dyDescent="0.3">
      <c r="D19" s="282" t="str">
        <f>CONCATENATE(TEXT(S19,"$#,##0")," (f)")</f>
        <v>$197 (f)</v>
      </c>
      <c r="F19" s="14" t="s">
        <v>111</v>
      </c>
      <c r="G19" s="28">
        <f>O19</f>
        <v>117</v>
      </c>
      <c r="I19" s="14" t="s">
        <v>1504</v>
      </c>
      <c r="J19" s="224">
        <f>Q19</f>
        <v>80</v>
      </c>
      <c r="K19" s="28"/>
      <c r="N19" s="313"/>
      <c r="O19" s="410">
        <f>Z10</f>
        <v>117</v>
      </c>
      <c r="P19" s="410" t="s">
        <v>1588</v>
      </c>
      <c r="Q19" s="410">
        <f>Z12</f>
        <v>80</v>
      </c>
      <c r="R19" s="410" t="s">
        <v>1587</v>
      </c>
      <c r="S19" s="410">
        <f>SUM(O19+Q19)</f>
        <v>197</v>
      </c>
      <c r="T19" s="451" t="s">
        <v>983</v>
      </c>
      <c r="U19" s="402"/>
      <c r="V19" s="402"/>
      <c r="W19" s="402"/>
      <c r="X19" s="403"/>
      <c r="Y19" s="403"/>
      <c r="Z19" s="403"/>
      <c r="AA19" s="403"/>
      <c r="AB19" s="313"/>
    </row>
    <row r="20" spans="1:28" s="10" customFormat="1" ht="9.9499999999999993" customHeight="1" thickTop="1" x14ac:dyDescent="0.25">
      <c r="N20" s="313"/>
      <c r="O20" s="402"/>
      <c r="P20" s="402"/>
      <c r="Q20" s="402"/>
      <c r="R20" s="402"/>
      <c r="S20" s="402"/>
      <c r="T20" s="402"/>
      <c r="U20" s="402"/>
      <c r="V20" s="402"/>
      <c r="W20" s="402"/>
      <c r="X20" s="403"/>
      <c r="Y20" s="403"/>
      <c r="Z20" s="403"/>
      <c r="AA20" s="403"/>
      <c r="AB20" s="313"/>
    </row>
    <row r="21" spans="1:28" s="10" customFormat="1" ht="15.95" customHeight="1" x14ac:dyDescent="0.25">
      <c r="B21" s="10" t="s">
        <v>569</v>
      </c>
      <c r="D21" s="10" t="s">
        <v>984</v>
      </c>
      <c r="F21" s="14" t="s">
        <v>329</v>
      </c>
      <c r="G21" s="10" t="s">
        <v>687</v>
      </c>
      <c r="I21" s="14" t="s">
        <v>111</v>
      </c>
      <c r="J21" s="11" t="s">
        <v>359</v>
      </c>
      <c r="N21" s="313"/>
      <c r="O21" s="402"/>
      <c r="P21" s="402"/>
      <c r="Q21" s="402"/>
      <c r="R21" s="402"/>
      <c r="S21" s="402"/>
      <c r="T21" s="402"/>
      <c r="U21" s="402"/>
      <c r="V21" s="402"/>
      <c r="W21" s="402"/>
      <c r="X21" s="403"/>
      <c r="Y21" s="403"/>
      <c r="Z21" s="403"/>
      <c r="AA21" s="403"/>
      <c r="AB21" s="313"/>
    </row>
    <row r="22" spans="1:28" s="10" customFormat="1" ht="15.95" customHeight="1" thickBot="1" x14ac:dyDescent="0.3">
      <c r="D22" s="28">
        <f>O22</f>
        <v>2475</v>
      </c>
      <c r="F22" s="14" t="s">
        <v>329</v>
      </c>
      <c r="G22" s="282" t="str">
        <f>CONCATENATE(TEXT(S22,"$#,##0")," (g)")</f>
        <v>$3,075 (g)</v>
      </c>
      <c r="I22" s="14" t="s">
        <v>111</v>
      </c>
      <c r="J22" s="224">
        <f>Q22</f>
        <v>-600</v>
      </c>
      <c r="K22" s="100"/>
      <c r="N22" s="313"/>
      <c r="O22" s="410">
        <f>AA4</f>
        <v>2475</v>
      </c>
      <c r="P22" s="410" t="s">
        <v>1589</v>
      </c>
      <c r="Q22" s="410">
        <f>AA7</f>
        <v>-600</v>
      </c>
      <c r="R22" s="410" t="s">
        <v>1587</v>
      </c>
      <c r="S22" s="410">
        <f>SUM(O22-Q22)</f>
        <v>3075</v>
      </c>
      <c r="T22" s="451" t="s">
        <v>975</v>
      </c>
      <c r="U22" s="402"/>
      <c r="V22" s="402"/>
      <c r="W22" s="402"/>
      <c r="X22" s="403"/>
      <c r="Y22" s="403"/>
      <c r="Z22" s="403"/>
      <c r="AA22" s="403"/>
      <c r="AB22" s="313"/>
    </row>
    <row r="23" spans="1:28" s="10" customFormat="1" ht="5.0999999999999996" customHeight="1" thickTop="1" x14ac:dyDescent="0.25">
      <c r="D23" s="77"/>
      <c r="F23" s="14"/>
      <c r="G23" s="77"/>
      <c r="I23" s="14"/>
      <c r="J23" s="93"/>
      <c r="K23" s="93"/>
      <c r="N23" s="313"/>
      <c r="O23" s="402"/>
      <c r="P23" s="402"/>
      <c r="Q23" s="402"/>
      <c r="R23" s="402"/>
      <c r="S23" s="402"/>
      <c r="T23" s="402"/>
      <c r="U23" s="402"/>
      <c r="V23" s="402"/>
      <c r="W23" s="402"/>
      <c r="X23" s="403"/>
      <c r="Y23" s="403"/>
      <c r="Z23" s="403"/>
      <c r="AA23" s="403"/>
      <c r="AB23" s="313"/>
    </row>
    <row r="24" spans="1:28" s="10" customFormat="1" ht="15.95" customHeight="1" x14ac:dyDescent="0.25">
      <c r="D24" s="10" t="s">
        <v>909</v>
      </c>
      <c r="F24" s="14" t="s">
        <v>111</v>
      </c>
      <c r="G24" s="10" t="s">
        <v>1491</v>
      </c>
      <c r="I24" s="14" t="s">
        <v>1504</v>
      </c>
      <c r="J24" s="11" t="s">
        <v>949</v>
      </c>
      <c r="M24" s="16"/>
      <c r="N24" s="313"/>
      <c r="O24" s="402"/>
      <c r="P24" s="402"/>
      <c r="Q24" s="402"/>
      <c r="R24" s="402"/>
      <c r="S24" s="402"/>
      <c r="T24" s="402"/>
      <c r="U24" s="402"/>
      <c r="V24" s="402"/>
      <c r="W24" s="402"/>
      <c r="X24" s="403"/>
      <c r="Y24" s="403"/>
      <c r="Z24" s="403"/>
      <c r="AA24" s="403"/>
      <c r="AB24" s="313"/>
    </row>
    <row r="25" spans="1:28" s="10" customFormat="1" ht="15.95" customHeight="1" thickBot="1" x14ac:dyDescent="0.3">
      <c r="D25" s="28">
        <f>O25</f>
        <v>8140</v>
      </c>
      <c r="F25" s="14" t="s">
        <v>111</v>
      </c>
      <c r="G25" s="28">
        <f>Q25</f>
        <v>2280</v>
      </c>
      <c r="I25" s="14" t="s">
        <v>1504</v>
      </c>
      <c r="J25" s="290" t="str">
        <f>CONCATENATE(TEXT(S25,"$#,##0")," (h)")</f>
        <v>$5,860 (h)</v>
      </c>
      <c r="K25" s="28"/>
      <c r="L25" s="16"/>
      <c r="N25" s="313"/>
      <c r="O25" s="410">
        <f>AA9</f>
        <v>8140</v>
      </c>
      <c r="P25" s="410" t="s">
        <v>1589</v>
      </c>
      <c r="Q25" s="410">
        <f>AA10</f>
        <v>2280</v>
      </c>
      <c r="R25" s="410" t="s">
        <v>1587</v>
      </c>
      <c r="S25" s="410">
        <f>SUM(O25-Q25)</f>
        <v>5860</v>
      </c>
      <c r="T25" s="451" t="s">
        <v>979</v>
      </c>
      <c r="U25" s="402"/>
      <c r="V25" s="402"/>
      <c r="W25" s="402"/>
      <c r="X25" s="403"/>
      <c r="Y25" s="403"/>
      <c r="Z25" s="403"/>
      <c r="AA25" s="403"/>
      <c r="AB25" s="313"/>
    </row>
    <row r="26" spans="1:28" s="10" customFormat="1" ht="5.0999999999999996" customHeight="1" thickTop="1" x14ac:dyDescent="0.25">
      <c r="N26" s="313"/>
      <c r="O26" s="402"/>
      <c r="P26" s="402"/>
      <c r="Q26" s="402"/>
      <c r="R26" s="402"/>
      <c r="S26" s="402"/>
      <c r="T26" s="402"/>
      <c r="U26" s="402"/>
      <c r="V26" s="402"/>
      <c r="W26" s="402"/>
      <c r="X26" s="403"/>
      <c r="Y26" s="403"/>
      <c r="Z26" s="403"/>
      <c r="AA26" s="403"/>
      <c r="AB26" s="313"/>
    </row>
    <row r="27" spans="1:28" s="10" customFormat="1" ht="15.95" customHeight="1" x14ac:dyDescent="0.25"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313"/>
      <c r="O27" s="402"/>
      <c r="P27" s="402"/>
      <c r="Q27" s="402"/>
      <c r="R27" s="402"/>
      <c r="S27" s="402"/>
      <c r="T27" s="402"/>
      <c r="U27" s="402"/>
      <c r="V27" s="402"/>
      <c r="W27" s="402"/>
      <c r="X27" s="403"/>
      <c r="Y27" s="403"/>
      <c r="Z27" s="403"/>
      <c r="AA27" s="403"/>
      <c r="AB27" s="313"/>
    </row>
    <row r="28" spans="1:28" s="10" customFormat="1" ht="5.0999999999999996" customHeight="1" x14ac:dyDescent="0.25">
      <c r="M28" s="26"/>
      <c r="N28" s="218"/>
      <c r="O28" s="402"/>
      <c r="P28" s="402"/>
      <c r="Q28" s="402"/>
      <c r="R28" s="402"/>
      <c r="S28" s="402"/>
      <c r="T28" s="402"/>
      <c r="U28" s="402"/>
      <c r="V28" s="402"/>
      <c r="W28" s="402"/>
      <c r="X28" s="403"/>
      <c r="Y28" s="403"/>
      <c r="Z28" s="403"/>
      <c r="AA28" s="403"/>
      <c r="AB28" s="313"/>
    </row>
    <row r="29" spans="1:28" s="10" customFormat="1" ht="15" customHeight="1" x14ac:dyDescent="0.25">
      <c r="A29" s="16"/>
      <c r="M29" s="79"/>
      <c r="N29" s="218"/>
      <c r="O29" s="402"/>
      <c r="P29" s="402"/>
      <c r="Q29" s="402"/>
      <c r="R29" s="402"/>
      <c r="S29" s="402"/>
      <c r="T29" s="402"/>
      <c r="U29" s="402"/>
      <c r="V29" s="402"/>
      <c r="W29" s="402"/>
      <c r="X29" s="403"/>
      <c r="Y29" s="403"/>
      <c r="Z29" s="403"/>
      <c r="AA29" s="403"/>
      <c r="AB29" s="313"/>
    </row>
    <row r="30" spans="1:28" s="10" customFormat="1" ht="15" customHeight="1" x14ac:dyDescent="0.25">
      <c r="A30" s="16"/>
      <c r="M30" s="79"/>
      <c r="N30" s="218"/>
      <c r="O30" s="402"/>
      <c r="P30" s="402"/>
      <c r="Q30" s="402"/>
      <c r="R30" s="402"/>
      <c r="S30" s="402"/>
      <c r="T30" s="402"/>
      <c r="U30" s="402"/>
      <c r="V30" s="402"/>
      <c r="W30" s="402"/>
      <c r="X30" s="403"/>
      <c r="Y30" s="403"/>
      <c r="Z30" s="403"/>
      <c r="AA30" s="403"/>
      <c r="AB30" s="313"/>
    </row>
    <row r="31" spans="1:28" s="10" customFormat="1" ht="15" customHeight="1" x14ac:dyDescent="0.25">
      <c r="A31" s="16"/>
      <c r="M31" s="79"/>
      <c r="N31" s="218"/>
      <c r="O31" s="402"/>
      <c r="P31" s="402"/>
      <c r="Q31" s="402"/>
      <c r="R31" s="402"/>
      <c r="S31" s="402"/>
      <c r="T31" s="402"/>
      <c r="U31" s="402"/>
      <c r="V31" s="402"/>
      <c r="W31" s="402"/>
      <c r="X31" s="403"/>
      <c r="Y31" s="403"/>
      <c r="Z31" s="403"/>
      <c r="AA31" s="403"/>
      <c r="AB31" s="313"/>
    </row>
    <row r="32" spans="1:28" s="10" customFormat="1" ht="5.0999999999999996" customHeight="1" x14ac:dyDescent="0.25">
      <c r="A32" s="16"/>
      <c r="M32" s="79"/>
      <c r="N32" s="218"/>
      <c r="O32" s="402"/>
      <c r="P32" s="402"/>
      <c r="Q32" s="402"/>
      <c r="R32" s="402"/>
      <c r="S32" s="402"/>
      <c r="T32" s="402"/>
      <c r="U32" s="402"/>
      <c r="V32" s="402"/>
      <c r="W32" s="402"/>
      <c r="X32" s="403"/>
      <c r="Y32" s="403"/>
      <c r="Z32" s="403"/>
      <c r="AA32" s="403"/>
      <c r="AB32" s="313"/>
    </row>
    <row r="33" spans="2:28" s="10" customFormat="1" ht="18" customHeight="1" x14ac:dyDescent="0.25">
      <c r="M33" s="26"/>
      <c r="N33" s="218"/>
      <c r="O33" s="402"/>
      <c r="P33" s="402"/>
      <c r="Q33" s="402"/>
      <c r="R33" s="402"/>
      <c r="S33" s="402"/>
      <c r="T33" s="402"/>
      <c r="U33" s="402"/>
      <c r="V33" s="402"/>
      <c r="W33" s="402"/>
      <c r="X33" s="403"/>
      <c r="Y33" s="403"/>
      <c r="Z33" s="403"/>
      <c r="AA33" s="403"/>
      <c r="AB33" s="313"/>
    </row>
    <row r="34" spans="2:28" s="10" customFormat="1" ht="17.100000000000001" customHeight="1" x14ac:dyDescent="0.25">
      <c r="M34" s="17"/>
      <c r="N34" s="313"/>
      <c r="O34" s="402"/>
      <c r="P34" s="402"/>
      <c r="Q34" s="402"/>
      <c r="R34" s="402"/>
      <c r="S34" s="402"/>
      <c r="T34" s="402"/>
      <c r="U34" s="402"/>
      <c r="V34" s="402"/>
      <c r="W34" s="402"/>
      <c r="X34" s="403"/>
      <c r="Y34" s="403"/>
      <c r="Z34" s="403"/>
      <c r="AA34" s="403"/>
      <c r="AB34" s="313"/>
    </row>
    <row r="35" spans="2:28" s="10" customFormat="1" ht="17.100000000000001" customHeight="1" x14ac:dyDescent="0.25">
      <c r="N35" s="313"/>
      <c r="O35" s="402"/>
      <c r="P35" s="402"/>
      <c r="Q35" s="402"/>
      <c r="R35" s="402"/>
      <c r="S35" s="402"/>
      <c r="T35" s="402"/>
      <c r="U35" s="402"/>
      <c r="V35" s="402"/>
      <c r="W35" s="402"/>
      <c r="X35" s="403"/>
      <c r="Y35" s="403"/>
      <c r="Z35" s="403"/>
      <c r="AA35" s="403"/>
      <c r="AB35" s="313"/>
    </row>
    <row r="36" spans="2:28" s="10" customFormat="1" ht="17.100000000000001" customHeight="1" x14ac:dyDescent="0.25">
      <c r="N36" s="313"/>
      <c r="O36" s="402"/>
      <c r="P36" s="402"/>
      <c r="Q36" s="402"/>
      <c r="R36" s="402"/>
      <c r="S36" s="402"/>
      <c r="T36" s="402"/>
      <c r="U36" s="402"/>
      <c r="V36" s="402"/>
      <c r="W36" s="402"/>
      <c r="X36" s="403"/>
      <c r="Y36" s="403"/>
      <c r="Z36" s="403"/>
      <c r="AA36" s="403"/>
      <c r="AB36" s="313"/>
    </row>
    <row r="37" spans="2:28" s="10" customFormat="1" ht="17.100000000000001" customHeight="1" x14ac:dyDescent="0.25">
      <c r="N37" s="313"/>
      <c r="O37" s="402"/>
      <c r="P37" s="402"/>
      <c r="Q37" s="402"/>
      <c r="R37" s="402"/>
      <c r="S37" s="402"/>
      <c r="T37" s="402"/>
      <c r="U37" s="402"/>
      <c r="V37" s="402"/>
      <c r="W37" s="402"/>
      <c r="X37" s="403"/>
      <c r="Y37" s="403"/>
      <c r="Z37" s="403"/>
      <c r="AA37" s="403"/>
      <c r="AB37" s="313"/>
    </row>
    <row r="38" spans="2:28" s="10" customFormat="1" ht="17.100000000000001" customHeight="1" x14ac:dyDescent="0.25">
      <c r="N38" s="313"/>
      <c r="O38" s="402"/>
      <c r="P38" s="402"/>
      <c r="Q38" s="402"/>
      <c r="R38" s="402"/>
      <c r="S38" s="402"/>
      <c r="T38" s="402"/>
      <c r="U38" s="402"/>
      <c r="V38" s="402"/>
      <c r="W38" s="402"/>
      <c r="X38" s="403"/>
      <c r="Y38" s="403"/>
      <c r="Z38" s="403"/>
      <c r="AA38" s="403"/>
      <c r="AB38" s="313"/>
    </row>
    <row r="39" spans="2:28" s="10" customFormat="1" ht="17.100000000000001" customHeight="1" x14ac:dyDescent="0.25">
      <c r="N39" s="313"/>
      <c r="O39" s="402"/>
      <c r="P39" s="402"/>
      <c r="Q39" s="402"/>
      <c r="R39" s="402"/>
      <c r="S39" s="402"/>
      <c r="T39" s="402"/>
      <c r="U39" s="402"/>
      <c r="V39" s="402"/>
      <c r="W39" s="402"/>
      <c r="X39" s="403"/>
      <c r="Y39" s="403"/>
      <c r="Z39" s="403"/>
      <c r="AA39" s="403"/>
      <c r="AB39" s="313"/>
    </row>
    <row r="40" spans="2:28" s="10" customFormat="1" ht="17.100000000000001" customHeight="1" x14ac:dyDescent="0.25">
      <c r="M40" s="78"/>
      <c r="N40" s="313"/>
      <c r="O40" s="402"/>
      <c r="P40" s="402"/>
      <c r="Q40" s="402"/>
      <c r="R40" s="402"/>
      <c r="S40" s="402"/>
      <c r="T40" s="402"/>
      <c r="U40" s="402"/>
      <c r="V40" s="402"/>
      <c r="W40" s="402"/>
      <c r="X40" s="403"/>
      <c r="Y40" s="403"/>
      <c r="Z40" s="403"/>
      <c r="AA40" s="403"/>
      <c r="AB40" s="313"/>
    </row>
    <row r="41" spans="2:28" s="10" customFormat="1" ht="17.100000000000001" customHeight="1" x14ac:dyDescent="0.25">
      <c r="M41" s="64"/>
      <c r="N41" s="313"/>
      <c r="O41" s="402"/>
      <c r="P41" s="402"/>
      <c r="Q41" s="402"/>
      <c r="R41" s="402"/>
      <c r="S41" s="402"/>
      <c r="T41" s="402"/>
      <c r="U41" s="402"/>
      <c r="V41" s="402"/>
      <c r="W41" s="402"/>
      <c r="X41" s="403"/>
      <c r="Y41" s="403"/>
      <c r="Z41" s="403"/>
      <c r="AA41" s="403"/>
      <c r="AB41" s="313"/>
    </row>
    <row r="42" spans="2:28" s="10" customFormat="1" ht="9.9499999999999993" customHeight="1" x14ac:dyDescent="0.25">
      <c r="I42" s="26"/>
      <c r="J42" s="26"/>
      <c r="K42" s="26"/>
      <c r="M42" s="26"/>
      <c r="N42" s="313"/>
      <c r="O42" s="402"/>
      <c r="P42" s="402"/>
      <c r="Q42" s="402"/>
      <c r="R42" s="402"/>
      <c r="S42" s="402"/>
      <c r="T42" s="402"/>
      <c r="U42" s="402"/>
      <c r="V42" s="402"/>
      <c r="W42" s="402"/>
      <c r="X42" s="403"/>
      <c r="Y42" s="403"/>
      <c r="Z42" s="403"/>
      <c r="AA42" s="403"/>
      <c r="AB42" s="313"/>
    </row>
    <row r="43" spans="2:28" s="10" customFormat="1" ht="15" customHeight="1" x14ac:dyDescent="0.25">
      <c r="B43" s="16"/>
      <c r="I43" s="26"/>
      <c r="J43" s="26"/>
      <c r="K43" s="26"/>
      <c r="L43" s="394"/>
      <c r="M43" s="394"/>
      <c r="N43" s="313"/>
      <c r="O43" s="402"/>
      <c r="P43" s="402"/>
      <c r="Q43" s="402"/>
      <c r="R43" s="402"/>
      <c r="S43" s="402"/>
      <c r="T43" s="402"/>
      <c r="U43" s="402"/>
      <c r="V43" s="402"/>
      <c r="W43" s="402"/>
      <c r="X43" s="403"/>
      <c r="Y43" s="403"/>
      <c r="Z43" s="403"/>
      <c r="AA43" s="403"/>
      <c r="AB43" s="313"/>
    </row>
    <row r="44" spans="2:28" s="10" customFormat="1" ht="15" customHeight="1" x14ac:dyDescent="0.25">
      <c r="I44" s="26"/>
      <c r="J44" s="26"/>
      <c r="K44" s="26"/>
      <c r="N44" s="313"/>
      <c r="O44" s="402"/>
      <c r="P44" s="402"/>
      <c r="Q44" s="402"/>
      <c r="R44" s="402"/>
      <c r="S44" s="402"/>
      <c r="T44" s="402"/>
      <c r="U44" s="402"/>
      <c r="V44" s="402"/>
      <c r="W44" s="402"/>
      <c r="X44" s="403"/>
      <c r="Y44" s="403"/>
      <c r="Z44" s="403"/>
      <c r="AA44" s="403"/>
      <c r="AB44" s="313"/>
    </row>
    <row r="45" spans="2:28" s="10" customFormat="1" ht="15" customHeight="1" x14ac:dyDescent="0.25">
      <c r="I45" s="26"/>
      <c r="J45" s="26"/>
      <c r="K45" s="26"/>
      <c r="N45" s="313"/>
      <c r="O45" s="402"/>
      <c r="P45" s="402"/>
      <c r="Q45" s="402"/>
      <c r="R45" s="402"/>
      <c r="S45" s="402"/>
      <c r="T45" s="402"/>
      <c r="U45" s="402"/>
      <c r="V45" s="402"/>
      <c r="W45" s="402"/>
      <c r="X45" s="403"/>
      <c r="Y45" s="403"/>
      <c r="Z45" s="403"/>
      <c r="AA45" s="403"/>
      <c r="AB45" s="313"/>
    </row>
    <row r="46" spans="2:28" s="10" customFormat="1" ht="15" customHeight="1" x14ac:dyDescent="0.25">
      <c r="N46" s="313"/>
      <c r="O46" s="402"/>
      <c r="P46" s="402"/>
      <c r="Q46" s="402"/>
      <c r="R46" s="402"/>
      <c r="S46" s="402"/>
      <c r="T46" s="402"/>
      <c r="U46" s="402"/>
      <c r="V46" s="402"/>
      <c r="W46" s="402"/>
      <c r="X46" s="403"/>
      <c r="Y46" s="403"/>
      <c r="Z46" s="403"/>
      <c r="AA46" s="403"/>
      <c r="AB46" s="313"/>
    </row>
    <row r="47" spans="2:28" s="10" customFormat="1" ht="15" customHeight="1" x14ac:dyDescent="0.25">
      <c r="N47" s="313"/>
      <c r="O47" s="402"/>
      <c r="P47" s="402"/>
      <c r="Q47" s="402"/>
      <c r="R47" s="402"/>
      <c r="S47" s="402"/>
      <c r="T47" s="402"/>
      <c r="U47" s="402"/>
      <c r="V47" s="402"/>
      <c r="W47" s="402"/>
      <c r="X47" s="403"/>
      <c r="Y47" s="403"/>
      <c r="Z47" s="403"/>
      <c r="AA47" s="403"/>
      <c r="AB47" s="313"/>
    </row>
    <row r="48" spans="2:28" s="10" customFormat="1" ht="15" customHeight="1" x14ac:dyDescent="0.25">
      <c r="N48" s="313"/>
      <c r="O48" s="402"/>
      <c r="P48" s="402"/>
      <c r="Q48" s="402"/>
      <c r="R48" s="402"/>
      <c r="S48" s="402"/>
      <c r="T48" s="402"/>
      <c r="U48" s="402"/>
      <c r="V48" s="402"/>
      <c r="W48" s="402"/>
      <c r="X48" s="403"/>
      <c r="Y48" s="403"/>
      <c r="Z48" s="403"/>
      <c r="AA48" s="403"/>
      <c r="AB48" s="313"/>
    </row>
    <row r="49" spans="1:28" s="10" customFormat="1" ht="15" customHeight="1" x14ac:dyDescent="0.25">
      <c r="N49" s="313"/>
      <c r="O49" s="402"/>
      <c r="P49" s="402"/>
      <c r="Q49" s="402"/>
      <c r="R49" s="402"/>
      <c r="S49" s="402"/>
      <c r="T49" s="402"/>
      <c r="U49" s="402"/>
      <c r="V49" s="402"/>
      <c r="W49" s="402"/>
      <c r="X49" s="403"/>
      <c r="Y49" s="403"/>
      <c r="Z49" s="403"/>
      <c r="AA49" s="403"/>
      <c r="AB49" s="313"/>
    </row>
    <row r="50" spans="1:28" s="10" customFormat="1" ht="15" customHeight="1" x14ac:dyDescent="0.25">
      <c r="N50" s="313"/>
      <c r="O50" s="402"/>
      <c r="P50" s="402"/>
      <c r="Q50" s="402"/>
      <c r="R50" s="402"/>
      <c r="S50" s="402"/>
      <c r="T50" s="402"/>
      <c r="U50" s="402"/>
      <c r="V50" s="402"/>
      <c r="W50" s="402"/>
      <c r="X50" s="403"/>
      <c r="Y50" s="403"/>
      <c r="Z50" s="403"/>
      <c r="AA50" s="403"/>
      <c r="AB50" s="313"/>
    </row>
    <row r="51" spans="1:28" s="10" customFormat="1" ht="15" customHeight="1" x14ac:dyDescent="0.25">
      <c r="N51" s="313"/>
      <c r="O51" s="402"/>
      <c r="P51" s="402"/>
      <c r="Q51" s="402"/>
      <c r="R51" s="402"/>
      <c r="S51" s="402"/>
      <c r="T51" s="402"/>
      <c r="U51" s="402"/>
      <c r="V51" s="402"/>
      <c r="W51" s="402"/>
      <c r="X51" s="403"/>
      <c r="Y51" s="403"/>
      <c r="Z51" s="403"/>
      <c r="AA51" s="403"/>
      <c r="AB51" s="313"/>
    </row>
    <row r="52" spans="1:28" s="10" customFormat="1" ht="15" customHeight="1" x14ac:dyDescent="0.25">
      <c r="N52" s="313"/>
      <c r="O52" s="402"/>
      <c r="P52" s="402"/>
      <c r="Q52" s="402"/>
      <c r="R52" s="402"/>
      <c r="S52" s="402"/>
      <c r="T52" s="402"/>
      <c r="U52" s="402"/>
      <c r="V52" s="402"/>
      <c r="W52" s="402"/>
      <c r="X52" s="403"/>
      <c r="Y52" s="403"/>
      <c r="Z52" s="403"/>
      <c r="AA52" s="403"/>
      <c r="AB52" s="313"/>
    </row>
    <row r="53" spans="1:28" s="10" customFormat="1" ht="15" customHeight="1" x14ac:dyDescent="0.25">
      <c r="N53" s="313"/>
      <c r="O53" s="402"/>
      <c r="P53" s="402"/>
      <c r="Q53" s="402"/>
      <c r="R53" s="402"/>
      <c r="S53" s="402"/>
      <c r="T53" s="402"/>
      <c r="U53" s="402"/>
      <c r="V53" s="402"/>
      <c r="W53" s="402"/>
      <c r="X53" s="403"/>
      <c r="Y53" s="403"/>
      <c r="Z53" s="403"/>
      <c r="AA53" s="403"/>
      <c r="AB53" s="313"/>
    </row>
    <row r="54" spans="1:28" s="10" customFormat="1" ht="15" customHeight="1" x14ac:dyDescent="0.25">
      <c r="N54" s="313"/>
      <c r="O54" s="402"/>
      <c r="P54" s="402"/>
      <c r="Q54" s="402"/>
      <c r="R54" s="402"/>
      <c r="S54" s="402"/>
      <c r="T54" s="402"/>
      <c r="U54" s="402"/>
      <c r="V54" s="402"/>
      <c r="W54" s="402"/>
      <c r="X54" s="403"/>
      <c r="Y54" s="403"/>
      <c r="Z54" s="403"/>
      <c r="AA54" s="403"/>
      <c r="AB54" s="313"/>
    </row>
    <row r="55" spans="1:28" s="10" customFormat="1" ht="15" customHeight="1" x14ac:dyDescent="0.25">
      <c r="N55" s="313"/>
      <c r="O55" s="402"/>
      <c r="P55" s="402"/>
      <c r="Q55" s="402"/>
      <c r="R55" s="402"/>
      <c r="S55" s="402"/>
      <c r="T55" s="402"/>
      <c r="U55" s="402"/>
      <c r="V55" s="402"/>
      <c r="W55" s="402"/>
      <c r="X55" s="403"/>
      <c r="Y55" s="403"/>
      <c r="Z55" s="403"/>
      <c r="AA55" s="403"/>
      <c r="AB55" s="313"/>
    </row>
    <row r="56" spans="1:28" ht="15.75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U56" s="402"/>
      <c r="V56" s="402"/>
      <c r="W56" s="402"/>
      <c r="X56" s="403"/>
      <c r="Y56" s="403"/>
      <c r="Z56" s="403"/>
      <c r="AA56" s="403"/>
    </row>
  </sheetData>
  <customSheetViews>
    <customSheetView guid="{B2DDA8C4-3089-41F7-BA6E-A0E09596A2CA}" scale="70" showPageBreaks="1" fitToPage="1" printArea="1">
      <pageMargins left="0.75" right="1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pageMargins left="0.75" right="1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pageMargins left="0.75" right="1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">
    <mergeCell ref="L43:M43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showGridLines="0" zoomScale="70" zoomScaleNormal="70" workbookViewId="0"/>
  </sheetViews>
  <sheetFormatPr defaultRowHeight="12.75" x14ac:dyDescent="0.2"/>
  <cols>
    <col min="1" max="1" width="1.7109375" style="2" customWidth="1"/>
    <col min="2" max="2" width="2.7109375" style="2" customWidth="1"/>
    <col min="3" max="3" width="10.7109375" style="2" customWidth="1"/>
    <col min="4" max="4" width="9.140625" style="2"/>
    <col min="5" max="5" width="10" style="2" customWidth="1"/>
    <col min="6" max="6" width="13.5703125" style="2" customWidth="1"/>
    <col min="7" max="7" width="15" style="2" customWidth="1"/>
    <col min="8" max="8" width="1.85546875" style="2" customWidth="1"/>
    <col min="9" max="9" width="11.7109375" style="2" customWidth="1"/>
    <col min="10" max="10" width="1.85546875" style="2" customWidth="1"/>
    <col min="11" max="11" width="11.42578125" style="2" customWidth="1"/>
    <col min="12" max="12" width="6.28515625" style="2" customWidth="1"/>
    <col min="13" max="13" width="2.7109375" style="2" customWidth="1"/>
    <col min="14" max="14" width="9.7109375" style="407" hidden="1" customWidth="1"/>
    <col min="15" max="15" width="2.7109375" style="407" hidden="1" customWidth="1"/>
    <col min="16" max="16" width="9.7109375" style="407" hidden="1" customWidth="1"/>
    <col min="17" max="17" width="2.7109375" style="407" hidden="1" customWidth="1"/>
    <col min="18" max="18" width="9.7109375" style="407" hidden="1" customWidth="1"/>
    <col min="19" max="19" width="2.7109375" style="312" customWidth="1"/>
    <col min="20" max="20" width="9.140625" style="312"/>
    <col min="21" max="21" width="9.42578125" style="2" bestFit="1" customWidth="1"/>
    <col min="22" max="22" width="7" style="2" customWidth="1"/>
    <col min="23" max="23" width="8.7109375" style="2" customWidth="1"/>
    <col min="24" max="16384" width="9.140625" style="2"/>
  </cols>
  <sheetData>
    <row r="1" spans="2:24" ht="28.5" customHeight="1" x14ac:dyDescent="0.2">
      <c r="T1" s="316"/>
      <c r="U1" s="48"/>
      <c r="V1" s="48"/>
      <c r="W1" s="48"/>
      <c r="X1" s="48"/>
    </row>
    <row r="2" spans="2:24" ht="15.95" customHeight="1" x14ac:dyDescent="0.25">
      <c r="B2" s="26" t="s">
        <v>1188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S2" s="316"/>
      <c r="T2" s="218"/>
      <c r="U2" s="26"/>
      <c r="V2" s="26"/>
      <c r="W2" s="26"/>
      <c r="X2" s="48"/>
    </row>
    <row r="3" spans="2:24" ht="5.0999999999999996" customHeight="1" x14ac:dyDescent="0.25">
      <c r="B3" s="39"/>
      <c r="C3" s="39"/>
      <c r="D3" s="39"/>
      <c r="E3" s="39"/>
      <c r="F3" s="39"/>
      <c r="G3" s="39"/>
      <c r="H3" s="39"/>
      <c r="I3" s="39"/>
      <c r="J3" s="39"/>
      <c r="K3" s="39"/>
      <c r="L3" s="26"/>
      <c r="M3" s="26"/>
      <c r="N3" s="402"/>
      <c r="S3" s="316"/>
      <c r="T3" s="218"/>
      <c r="U3" s="26"/>
      <c r="V3" s="26"/>
      <c r="W3" s="26"/>
      <c r="X3" s="48"/>
    </row>
    <row r="4" spans="2:24" ht="15.95" customHeight="1" x14ac:dyDescent="0.25">
      <c r="B4" s="363" t="s">
        <v>985</v>
      </c>
      <c r="C4" s="363"/>
      <c r="D4" s="363"/>
      <c r="E4" s="363"/>
      <c r="F4" s="363"/>
      <c r="G4" s="363"/>
      <c r="H4" s="363"/>
      <c r="I4" s="363"/>
      <c r="J4" s="363"/>
      <c r="K4" s="363"/>
      <c r="L4" s="303"/>
      <c r="M4" s="10"/>
      <c r="N4" s="402"/>
      <c r="S4" s="316"/>
      <c r="T4" s="218"/>
      <c r="U4" s="26"/>
      <c r="V4" s="26"/>
      <c r="W4" s="26"/>
      <c r="X4" s="48"/>
    </row>
    <row r="5" spans="2:24" ht="15.95" customHeight="1" x14ac:dyDescent="0.25">
      <c r="B5" s="363" t="s">
        <v>467</v>
      </c>
      <c r="C5" s="363"/>
      <c r="D5" s="363"/>
      <c r="E5" s="363"/>
      <c r="F5" s="363"/>
      <c r="G5" s="363"/>
      <c r="H5" s="363"/>
      <c r="I5" s="363"/>
      <c r="J5" s="363"/>
      <c r="K5" s="363"/>
      <c r="L5" s="303"/>
      <c r="M5" s="10"/>
      <c r="N5" s="402"/>
      <c r="S5" s="316"/>
      <c r="T5" s="218"/>
      <c r="U5" s="26"/>
      <c r="V5" s="26"/>
      <c r="W5" s="26"/>
      <c r="X5" s="48"/>
    </row>
    <row r="6" spans="2:24" ht="15.95" customHeight="1" x14ac:dyDescent="0.25">
      <c r="B6" s="366" t="s">
        <v>1118</v>
      </c>
      <c r="C6" s="395"/>
      <c r="D6" s="395"/>
      <c r="E6" s="395"/>
      <c r="F6" s="395"/>
      <c r="G6" s="395"/>
      <c r="H6" s="395"/>
      <c r="I6" s="395"/>
      <c r="J6" s="395"/>
      <c r="K6" s="395"/>
      <c r="L6" s="307"/>
      <c r="M6" s="26"/>
      <c r="N6" s="402"/>
      <c r="S6" s="316"/>
      <c r="T6" s="218"/>
      <c r="U6" s="26"/>
      <c r="V6" s="26"/>
      <c r="W6" s="26"/>
      <c r="X6" s="48"/>
    </row>
    <row r="7" spans="2:24" ht="5.0999999999999996" customHeight="1" x14ac:dyDescent="0.25">
      <c r="B7" s="79"/>
      <c r="C7" s="79"/>
      <c r="D7" s="79"/>
      <c r="E7" s="79"/>
      <c r="F7" s="79"/>
      <c r="G7" s="79"/>
      <c r="H7" s="79"/>
      <c r="I7" s="79"/>
      <c r="J7" s="79"/>
      <c r="K7" s="79"/>
      <c r="L7" s="308"/>
      <c r="M7" s="79"/>
      <c r="N7" s="403"/>
      <c r="S7" s="316"/>
      <c r="T7" s="218"/>
      <c r="U7" s="26"/>
      <c r="V7" s="26"/>
      <c r="W7" s="26"/>
      <c r="X7" s="48"/>
    </row>
    <row r="8" spans="2:24" ht="15.95" customHeight="1" x14ac:dyDescent="0.25">
      <c r="B8" s="101" t="s">
        <v>469</v>
      </c>
      <c r="C8" s="10"/>
      <c r="D8" s="10"/>
      <c r="E8" s="10"/>
      <c r="F8" s="10"/>
      <c r="G8" s="10"/>
      <c r="H8" s="10"/>
      <c r="I8" s="10"/>
      <c r="J8" s="26"/>
      <c r="K8" s="26"/>
      <c r="L8" s="309"/>
      <c r="M8" s="26"/>
      <c r="N8" s="402"/>
      <c r="R8" s="418" t="s">
        <v>1682</v>
      </c>
      <c r="S8" s="316"/>
      <c r="T8" s="218"/>
      <c r="U8" s="26"/>
      <c r="V8" s="26"/>
      <c r="W8" s="26"/>
      <c r="X8" s="48"/>
    </row>
    <row r="9" spans="2:24" ht="15.95" customHeight="1" x14ac:dyDescent="0.25">
      <c r="B9" s="69" t="s">
        <v>167</v>
      </c>
      <c r="C9" s="10"/>
      <c r="D9" s="10"/>
      <c r="E9" s="10"/>
      <c r="F9" s="10"/>
      <c r="G9" s="10"/>
      <c r="H9" s="10" t="s">
        <v>337</v>
      </c>
      <c r="I9" s="26" t="s">
        <v>337</v>
      </c>
      <c r="J9" s="26"/>
      <c r="K9" s="17">
        <f>'1-31'!R9</f>
        <v>463500</v>
      </c>
      <c r="L9" s="17"/>
      <c r="Q9" s="405" t="s">
        <v>484</v>
      </c>
      <c r="R9" s="409">
        <v>463500</v>
      </c>
      <c r="S9" s="316"/>
      <c r="T9" s="218"/>
      <c r="U9" s="26"/>
      <c r="V9" s="26"/>
      <c r="W9" s="26"/>
      <c r="X9" s="48"/>
    </row>
    <row r="10" spans="2:24" ht="15.95" customHeight="1" x14ac:dyDescent="0.25">
      <c r="B10" s="10" t="s">
        <v>470</v>
      </c>
      <c r="C10" s="10"/>
      <c r="D10" s="10"/>
      <c r="E10" s="10"/>
      <c r="F10" s="10"/>
      <c r="G10" s="10"/>
      <c r="H10" s="10"/>
      <c r="I10" s="26"/>
      <c r="J10" s="26"/>
      <c r="K10" s="10"/>
      <c r="L10" s="10"/>
      <c r="S10" s="316"/>
      <c r="T10" s="218"/>
      <c r="U10" s="26"/>
      <c r="V10" s="26"/>
      <c r="W10" s="26"/>
      <c r="X10" s="48"/>
    </row>
    <row r="11" spans="2:24" ht="15.95" customHeight="1" x14ac:dyDescent="0.25">
      <c r="B11" s="69" t="s">
        <v>168</v>
      </c>
      <c r="C11" s="10"/>
      <c r="D11" s="10"/>
      <c r="E11" s="10"/>
      <c r="F11" s="10"/>
      <c r="G11" s="10"/>
      <c r="H11" s="10" t="s">
        <v>337</v>
      </c>
      <c r="I11" s="17">
        <f>'1-31'!R11</f>
        <v>235200</v>
      </c>
      <c r="J11" s="17"/>
      <c r="K11" s="10"/>
      <c r="L11" s="10"/>
      <c r="Q11" s="405" t="s">
        <v>1500</v>
      </c>
      <c r="R11" s="409">
        <v>235200</v>
      </c>
      <c r="S11" s="316"/>
      <c r="T11" s="218"/>
      <c r="U11" s="26"/>
      <c r="V11" s="26"/>
      <c r="W11" s="26"/>
      <c r="X11" s="48"/>
    </row>
    <row r="12" spans="2:24" ht="15.95" customHeight="1" x14ac:dyDescent="0.25">
      <c r="B12" s="69" t="s">
        <v>169</v>
      </c>
      <c r="C12" s="10"/>
      <c r="D12" s="10"/>
      <c r="E12" s="10"/>
      <c r="F12" s="10"/>
      <c r="G12" s="10"/>
      <c r="H12" s="10" t="s">
        <v>337</v>
      </c>
      <c r="I12" s="78">
        <f>'1-31'!R12</f>
        <v>135000</v>
      </c>
      <c r="J12" s="102"/>
      <c r="K12" s="10"/>
      <c r="L12" s="10"/>
      <c r="Q12" s="405" t="s">
        <v>721</v>
      </c>
      <c r="R12" s="409">
        <v>135000</v>
      </c>
      <c r="S12" s="316"/>
      <c r="T12" s="218"/>
      <c r="U12" s="26"/>
      <c r="V12" s="26"/>
      <c r="W12" s="26"/>
      <c r="X12" s="48"/>
    </row>
    <row r="13" spans="2:24" ht="15.95" customHeight="1" x14ac:dyDescent="0.25">
      <c r="B13" s="69" t="s">
        <v>170</v>
      </c>
      <c r="C13" s="10"/>
      <c r="D13" s="10"/>
      <c r="E13" s="10"/>
      <c r="F13" s="10"/>
      <c r="G13" s="10"/>
      <c r="H13" s="10" t="s">
        <v>337</v>
      </c>
      <c r="I13" s="78">
        <f>'1-31'!R13</f>
        <v>34400</v>
      </c>
      <c r="J13" s="102"/>
      <c r="K13" s="10"/>
      <c r="L13" s="10"/>
      <c r="Q13" s="405" t="s">
        <v>486</v>
      </c>
      <c r="R13" s="409">
        <v>34400</v>
      </c>
      <c r="S13" s="316"/>
      <c r="T13" s="218"/>
      <c r="U13" s="26"/>
      <c r="V13" s="26"/>
      <c r="W13" s="26"/>
      <c r="X13" s="48"/>
    </row>
    <row r="14" spans="2:24" ht="15.95" customHeight="1" x14ac:dyDescent="0.25">
      <c r="B14" s="69" t="s">
        <v>171</v>
      </c>
      <c r="C14" s="10"/>
      <c r="D14" s="10"/>
      <c r="E14" s="10"/>
      <c r="F14" s="10"/>
      <c r="G14" s="10"/>
      <c r="H14" s="10" t="s">
        <v>337</v>
      </c>
      <c r="I14" s="78">
        <f>'1-31'!R14</f>
        <v>16000</v>
      </c>
      <c r="J14" s="102"/>
      <c r="K14" s="10"/>
      <c r="L14" s="10"/>
      <c r="Q14" s="405" t="s">
        <v>474</v>
      </c>
      <c r="R14" s="409">
        <v>16000</v>
      </c>
      <c r="S14" s="316"/>
      <c r="T14" s="218"/>
      <c r="U14" s="26"/>
      <c r="V14" s="26"/>
      <c r="W14" s="26"/>
      <c r="X14" s="48"/>
    </row>
    <row r="15" spans="2:24" ht="15.95" customHeight="1" x14ac:dyDescent="0.25">
      <c r="B15" s="69" t="s">
        <v>172</v>
      </c>
      <c r="C15" s="10"/>
      <c r="D15" s="10"/>
      <c r="E15" s="10"/>
      <c r="F15" s="10"/>
      <c r="G15" s="10"/>
      <c r="H15" s="10" t="s">
        <v>337</v>
      </c>
      <c r="I15" s="53">
        <f>'1-31'!R15</f>
        <v>12800</v>
      </c>
      <c r="J15" s="103"/>
      <c r="K15" s="53">
        <f>SUM(I11:I15)</f>
        <v>433400</v>
      </c>
      <c r="L15" s="78"/>
      <c r="Q15" s="405" t="s">
        <v>475</v>
      </c>
      <c r="R15" s="409">
        <v>12800</v>
      </c>
      <c r="S15" s="316"/>
      <c r="T15" s="218"/>
      <c r="U15" s="26"/>
      <c r="V15" s="26"/>
      <c r="W15" s="26"/>
      <c r="X15" s="48"/>
    </row>
    <row r="16" spans="2:24" ht="15.95" customHeight="1" thickBot="1" x14ac:dyDescent="0.3">
      <c r="B16" s="10" t="s">
        <v>986</v>
      </c>
      <c r="C16" s="10"/>
      <c r="D16" s="10"/>
      <c r="E16" s="10"/>
      <c r="F16" s="10"/>
      <c r="G16" s="10"/>
      <c r="H16" s="10" t="s">
        <v>337</v>
      </c>
      <c r="I16" s="26" t="s">
        <v>337</v>
      </c>
      <c r="J16" s="26"/>
      <c r="K16" s="54">
        <f>K9-K15</f>
        <v>30100</v>
      </c>
      <c r="L16" s="64"/>
      <c r="S16" s="316"/>
      <c r="T16" s="218"/>
      <c r="U16" s="26"/>
      <c r="V16" s="26"/>
      <c r="W16" s="26"/>
      <c r="X16" s="48"/>
    </row>
    <row r="17" spans="2:24" ht="9.9499999999999993" customHeight="1" thickTop="1" x14ac:dyDescent="0.25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8"/>
      <c r="M17" s="48"/>
      <c r="S17" s="316"/>
      <c r="T17" s="218"/>
      <c r="U17" s="26"/>
      <c r="V17" s="26"/>
      <c r="W17" s="26"/>
      <c r="X17" s="48"/>
    </row>
    <row r="18" spans="2:24" s="10" customFormat="1" ht="15.95" customHeight="1" x14ac:dyDescent="0.25">
      <c r="B18" s="359" t="s">
        <v>985</v>
      </c>
      <c r="C18" s="360"/>
      <c r="D18" s="360"/>
      <c r="E18" s="360"/>
      <c r="F18" s="360"/>
      <c r="G18" s="360"/>
      <c r="H18" s="360"/>
      <c r="I18" s="360"/>
      <c r="J18" s="360"/>
      <c r="K18" s="361"/>
      <c r="L18" s="303"/>
      <c r="N18" s="402"/>
      <c r="O18" s="402"/>
      <c r="P18" s="402"/>
      <c r="Q18" s="402"/>
      <c r="R18" s="402"/>
      <c r="S18" s="313"/>
      <c r="T18" s="218"/>
      <c r="U18" s="26"/>
      <c r="X18" s="26"/>
    </row>
    <row r="19" spans="2:24" s="10" customFormat="1" ht="15.95" customHeight="1" x14ac:dyDescent="0.25">
      <c r="B19" s="362" t="s">
        <v>763</v>
      </c>
      <c r="C19" s="363"/>
      <c r="D19" s="363"/>
      <c r="E19" s="363"/>
      <c r="F19" s="363"/>
      <c r="G19" s="363"/>
      <c r="H19" s="363"/>
      <c r="I19" s="363"/>
      <c r="J19" s="363"/>
      <c r="K19" s="364"/>
      <c r="L19" s="303"/>
      <c r="N19" s="402"/>
      <c r="O19" s="402"/>
      <c r="P19" s="402"/>
      <c r="Q19" s="402"/>
      <c r="R19" s="402"/>
      <c r="S19" s="313"/>
      <c r="T19" s="218"/>
      <c r="U19" s="26"/>
      <c r="X19" s="26"/>
    </row>
    <row r="20" spans="2:24" s="10" customFormat="1" ht="15.95" customHeight="1" x14ac:dyDescent="0.25">
      <c r="B20" s="365" t="s">
        <v>1119</v>
      </c>
      <c r="C20" s="395"/>
      <c r="D20" s="395"/>
      <c r="E20" s="395"/>
      <c r="F20" s="395"/>
      <c r="G20" s="395"/>
      <c r="H20" s="395"/>
      <c r="I20" s="395"/>
      <c r="J20" s="395"/>
      <c r="K20" s="396"/>
      <c r="L20" s="307"/>
      <c r="M20" s="26"/>
      <c r="N20" s="402"/>
      <c r="O20" s="402"/>
      <c r="P20" s="402"/>
      <c r="Q20" s="402"/>
      <c r="R20" s="402"/>
      <c r="S20" s="218"/>
      <c r="T20" s="313"/>
      <c r="V20" s="209"/>
      <c r="X20" s="26"/>
    </row>
    <row r="21" spans="2:24" s="10" customFormat="1" ht="5.0999999999999996" customHeight="1" x14ac:dyDescent="0.25">
      <c r="B21" s="15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26"/>
      <c r="N21" s="402"/>
      <c r="O21" s="402"/>
      <c r="P21" s="402"/>
      <c r="Q21" s="402"/>
      <c r="R21" s="402"/>
      <c r="S21" s="218"/>
      <c r="T21" s="218"/>
      <c r="U21" s="104"/>
      <c r="V21" s="26"/>
      <c r="W21" s="104"/>
      <c r="X21" s="26"/>
    </row>
    <row r="22" spans="2:24" s="10" customFormat="1" ht="15.95" customHeight="1" x14ac:dyDescent="0.25">
      <c r="B22" s="357" t="s">
        <v>1490</v>
      </c>
      <c r="C22" s="357"/>
      <c r="D22" s="357"/>
      <c r="E22" s="357"/>
      <c r="F22" s="357"/>
      <c r="G22" s="357"/>
      <c r="H22" s="357"/>
      <c r="I22" s="357"/>
      <c r="J22" s="357"/>
      <c r="K22" s="357"/>
      <c r="L22" s="13"/>
      <c r="N22" s="402"/>
      <c r="O22" s="402"/>
      <c r="P22" s="402"/>
      <c r="Q22" s="402"/>
      <c r="R22" s="402"/>
      <c r="S22" s="313"/>
      <c r="T22" s="218"/>
      <c r="U22" s="26"/>
      <c r="X22" s="26"/>
    </row>
    <row r="23" spans="2:24" s="10" customFormat="1" ht="15.95" customHeight="1" x14ac:dyDescent="0.25">
      <c r="B23" s="10" t="s">
        <v>872</v>
      </c>
      <c r="I23" s="26"/>
      <c r="N23" s="402"/>
      <c r="O23" s="402"/>
      <c r="P23" s="402"/>
      <c r="Q23" s="402"/>
      <c r="R23" s="418" t="s">
        <v>1682</v>
      </c>
      <c r="S23" s="313"/>
      <c r="T23" s="218"/>
      <c r="U23" s="26"/>
      <c r="X23" s="26"/>
    </row>
    <row r="24" spans="2:24" s="10" customFormat="1" ht="15.95" customHeight="1" x14ac:dyDescent="0.25">
      <c r="B24" s="69" t="s">
        <v>988</v>
      </c>
      <c r="H24" s="10" t="s">
        <v>337</v>
      </c>
      <c r="I24" s="64">
        <f>R24</f>
        <v>13240</v>
      </c>
      <c r="J24" s="25"/>
      <c r="K24" s="25"/>
      <c r="L24" s="25"/>
      <c r="N24" s="402"/>
      <c r="O24" s="402"/>
      <c r="P24" s="402"/>
      <c r="Q24" s="405" t="s">
        <v>363</v>
      </c>
      <c r="R24" s="409">
        <v>13240</v>
      </c>
      <c r="S24" s="313"/>
      <c r="T24" s="218"/>
      <c r="U24" s="26"/>
      <c r="X24" s="26"/>
    </row>
    <row r="25" spans="2:24" s="10" customFormat="1" ht="15.95" customHeight="1" x14ac:dyDescent="0.25">
      <c r="B25" s="69" t="s">
        <v>765</v>
      </c>
      <c r="H25" s="10" t="s">
        <v>337</v>
      </c>
      <c r="I25" s="78">
        <f>R25</f>
        <v>72920</v>
      </c>
      <c r="J25" s="25"/>
      <c r="K25" s="25"/>
      <c r="L25" s="25"/>
      <c r="N25" s="402"/>
      <c r="O25" s="402"/>
      <c r="P25" s="402"/>
      <c r="Q25" s="405" t="s">
        <v>792</v>
      </c>
      <c r="R25" s="409">
        <v>72920</v>
      </c>
      <c r="S25" s="313"/>
      <c r="T25" s="218"/>
      <c r="U25" s="26"/>
      <c r="X25" s="26"/>
    </row>
    <row r="26" spans="2:24" s="10" customFormat="1" ht="15.95" customHeight="1" x14ac:dyDescent="0.25">
      <c r="B26" s="69" t="s">
        <v>767</v>
      </c>
      <c r="H26" s="10" t="s">
        <v>337</v>
      </c>
      <c r="I26" s="78">
        <f>R26</f>
        <v>42000</v>
      </c>
      <c r="J26" s="25"/>
      <c r="K26" s="25"/>
      <c r="L26" s="25"/>
      <c r="N26" s="402"/>
      <c r="O26" s="402"/>
      <c r="P26" s="402"/>
      <c r="Q26" s="405" t="s">
        <v>375</v>
      </c>
      <c r="R26" s="409">
        <v>42000</v>
      </c>
      <c r="S26" s="313"/>
      <c r="T26" s="218"/>
      <c r="U26" s="26"/>
      <c r="X26" s="26"/>
    </row>
    <row r="27" spans="2:24" s="10" customFormat="1" ht="15.95" customHeight="1" x14ac:dyDescent="0.25">
      <c r="B27" s="69" t="s">
        <v>989</v>
      </c>
      <c r="H27" s="10" t="s">
        <v>337</v>
      </c>
      <c r="I27" s="53">
        <f>R27</f>
        <v>31500</v>
      </c>
      <c r="J27" s="25"/>
      <c r="K27" s="25"/>
      <c r="L27" s="25"/>
      <c r="N27" s="402"/>
      <c r="O27" s="402"/>
      <c r="P27" s="402"/>
      <c r="Q27" s="405" t="s">
        <v>8</v>
      </c>
      <c r="R27" s="409">
        <v>31500</v>
      </c>
      <c r="S27" s="313"/>
      <c r="T27" s="218"/>
      <c r="U27" s="26"/>
      <c r="X27" s="26"/>
    </row>
    <row r="28" spans="2:24" s="10" customFormat="1" ht="15.95" customHeight="1" x14ac:dyDescent="0.25">
      <c r="B28" s="158" t="s">
        <v>990</v>
      </c>
      <c r="H28" s="10" t="s">
        <v>337</v>
      </c>
      <c r="I28" s="83" t="s">
        <v>337</v>
      </c>
      <c r="J28" s="25"/>
      <c r="K28" s="17">
        <f>SUM(I24:I27)</f>
        <v>159660</v>
      </c>
      <c r="L28" s="17"/>
      <c r="N28" s="402"/>
      <c r="O28" s="402"/>
      <c r="P28" s="402"/>
      <c r="Q28" s="402"/>
      <c r="R28" s="402"/>
      <c r="S28" s="313"/>
      <c r="T28" s="218"/>
      <c r="U28" s="26"/>
      <c r="X28" s="26"/>
    </row>
    <row r="29" spans="2:24" s="10" customFormat="1" ht="15.95" customHeight="1" x14ac:dyDescent="0.25">
      <c r="B29" s="10" t="s">
        <v>991</v>
      </c>
      <c r="H29" s="10" t="s">
        <v>337</v>
      </c>
      <c r="I29" s="83" t="s">
        <v>337</v>
      </c>
      <c r="J29" s="25"/>
      <c r="K29" s="46">
        <f>R29</f>
        <v>90000</v>
      </c>
      <c r="L29" s="46"/>
      <c r="N29" s="402"/>
      <c r="O29" s="402"/>
      <c r="P29" s="402"/>
      <c r="Q29" s="405" t="s">
        <v>9</v>
      </c>
      <c r="R29" s="409">
        <v>90000</v>
      </c>
      <c r="S29" s="313"/>
      <c r="T29" s="218"/>
      <c r="U29" s="26"/>
      <c r="X29" s="26"/>
    </row>
    <row r="30" spans="2:24" s="10" customFormat="1" ht="15.95" customHeight="1" thickBot="1" x14ac:dyDescent="0.3">
      <c r="B30" s="10" t="s">
        <v>992</v>
      </c>
      <c r="H30" s="10" t="s">
        <v>337</v>
      </c>
      <c r="I30" s="83" t="s">
        <v>337</v>
      </c>
      <c r="J30" s="25"/>
      <c r="K30" s="47">
        <f>SUM(K28:K29)</f>
        <v>249660</v>
      </c>
      <c r="L30" s="41"/>
      <c r="N30" s="402"/>
      <c r="O30" s="402"/>
      <c r="P30" s="402"/>
      <c r="Q30" s="402"/>
      <c r="R30" s="402"/>
      <c r="S30" s="313"/>
      <c r="T30" s="218"/>
      <c r="U30" s="26"/>
      <c r="X30" s="26"/>
    </row>
    <row r="31" spans="2:24" s="10" customFormat="1" ht="5.0999999999999996" customHeight="1" thickTop="1" x14ac:dyDescent="0.25">
      <c r="I31" s="83"/>
      <c r="J31" s="25"/>
      <c r="K31" s="41"/>
      <c r="L31" s="41"/>
      <c r="N31" s="402"/>
      <c r="O31" s="402"/>
      <c r="P31" s="402"/>
      <c r="Q31" s="402"/>
      <c r="R31" s="402"/>
      <c r="S31" s="313"/>
      <c r="T31" s="218"/>
      <c r="U31" s="26"/>
      <c r="X31" s="26"/>
    </row>
    <row r="32" spans="2:24" s="10" customFormat="1" ht="15.95" customHeight="1" x14ac:dyDescent="0.25">
      <c r="B32" s="357" t="s">
        <v>771</v>
      </c>
      <c r="C32" s="357"/>
      <c r="D32" s="357"/>
      <c r="E32" s="357"/>
      <c r="F32" s="357"/>
      <c r="G32" s="357"/>
      <c r="H32" s="357"/>
      <c r="I32" s="357"/>
      <c r="J32" s="357"/>
      <c r="K32" s="357"/>
      <c r="L32" s="13"/>
      <c r="N32" s="402"/>
      <c r="O32" s="402"/>
      <c r="P32" s="402"/>
      <c r="Q32" s="402"/>
      <c r="R32" s="402"/>
      <c r="S32" s="313"/>
      <c r="T32" s="218"/>
      <c r="U32" s="26"/>
      <c r="X32" s="26"/>
    </row>
    <row r="33" spans="2:24" s="10" customFormat="1" ht="15.95" customHeight="1" x14ac:dyDescent="0.25">
      <c r="B33" s="10" t="s">
        <v>881</v>
      </c>
      <c r="I33" s="26"/>
      <c r="N33" s="402"/>
      <c r="O33" s="402"/>
      <c r="P33" s="402"/>
      <c r="Q33" s="402"/>
      <c r="R33" s="402"/>
      <c r="S33" s="313"/>
      <c r="T33" s="218"/>
      <c r="U33" s="26"/>
      <c r="X33" s="26"/>
    </row>
    <row r="34" spans="2:24" s="10" customFormat="1" ht="15.95" customHeight="1" x14ac:dyDescent="0.25">
      <c r="B34" s="69" t="s">
        <v>994</v>
      </c>
      <c r="H34" s="10" t="s">
        <v>337</v>
      </c>
      <c r="I34" s="64">
        <f>R34</f>
        <v>14800</v>
      </c>
      <c r="J34" s="25"/>
      <c r="K34" s="25"/>
      <c r="L34" s="25"/>
      <c r="N34" s="402"/>
      <c r="O34" s="402"/>
      <c r="P34" s="402"/>
      <c r="Q34" s="405" t="s">
        <v>10</v>
      </c>
      <c r="R34" s="409">
        <v>14800</v>
      </c>
      <c r="S34" s="313"/>
      <c r="T34" s="218"/>
      <c r="U34" s="26"/>
      <c r="X34" s="26"/>
    </row>
    <row r="35" spans="2:24" s="10" customFormat="1" ht="15.95" customHeight="1" x14ac:dyDescent="0.25">
      <c r="B35" s="69" t="s">
        <v>995</v>
      </c>
      <c r="H35" s="10" t="s">
        <v>337</v>
      </c>
      <c r="I35" s="53">
        <f>R35</f>
        <v>4150</v>
      </c>
      <c r="J35" s="25"/>
      <c r="K35" s="25"/>
      <c r="L35" s="25"/>
      <c r="N35" s="402"/>
      <c r="O35" s="402"/>
      <c r="P35" s="402"/>
      <c r="Q35" s="405" t="s">
        <v>11</v>
      </c>
      <c r="R35" s="409">
        <v>4150</v>
      </c>
      <c r="S35" s="313"/>
      <c r="T35" s="218"/>
      <c r="U35" s="26"/>
      <c r="V35" s="26"/>
      <c r="W35" s="26"/>
      <c r="X35" s="26"/>
    </row>
    <row r="36" spans="2:24" s="10" customFormat="1" ht="15.95" customHeight="1" x14ac:dyDescent="0.25">
      <c r="B36" s="158" t="s">
        <v>996</v>
      </c>
      <c r="H36" s="10" t="s">
        <v>337</v>
      </c>
      <c r="I36" s="83" t="s">
        <v>337</v>
      </c>
      <c r="J36" s="25"/>
      <c r="K36" s="64">
        <f>SUM(I34:I35)</f>
        <v>18950</v>
      </c>
      <c r="L36" s="64"/>
      <c r="N36" s="402"/>
      <c r="O36" s="402"/>
      <c r="P36" s="402"/>
      <c r="Q36" s="402"/>
      <c r="R36" s="402"/>
      <c r="S36" s="313"/>
      <c r="T36" s="218"/>
      <c r="U36" s="26"/>
      <c r="V36" s="26"/>
      <c r="W36" s="26"/>
      <c r="X36" s="26"/>
    </row>
    <row r="37" spans="2:24" s="10" customFormat="1" ht="15.95" customHeight="1" x14ac:dyDescent="0.25">
      <c r="B37" s="10" t="s">
        <v>997</v>
      </c>
      <c r="I37" s="83"/>
      <c r="J37" s="25"/>
      <c r="K37" s="25"/>
      <c r="L37" s="25"/>
      <c r="N37" s="402"/>
      <c r="O37" s="402"/>
      <c r="P37" s="402"/>
      <c r="Q37" s="402"/>
      <c r="R37" s="402"/>
      <c r="S37" s="313"/>
      <c r="T37" s="313"/>
    </row>
    <row r="38" spans="2:24" s="10" customFormat="1" ht="15.95" customHeight="1" x14ac:dyDescent="0.25">
      <c r="B38" s="69" t="s">
        <v>998</v>
      </c>
      <c r="H38" s="10" t="s">
        <v>337</v>
      </c>
      <c r="I38" s="83" t="s">
        <v>337</v>
      </c>
      <c r="J38" s="25"/>
      <c r="K38" s="53">
        <f>R38</f>
        <v>25000</v>
      </c>
      <c r="L38" s="78"/>
      <c r="N38" s="402"/>
      <c r="O38" s="402"/>
      <c r="P38" s="402"/>
      <c r="Q38" s="405" t="s">
        <v>12</v>
      </c>
      <c r="R38" s="409">
        <v>25000</v>
      </c>
      <c r="S38" s="313"/>
      <c r="T38" s="313"/>
    </row>
    <row r="39" spans="2:24" s="10" customFormat="1" ht="15.95" customHeight="1" x14ac:dyDescent="0.25">
      <c r="B39" s="158" t="s">
        <v>999</v>
      </c>
      <c r="H39" s="10" t="s">
        <v>337</v>
      </c>
      <c r="I39" s="83" t="s">
        <v>337</v>
      </c>
      <c r="J39" s="25"/>
      <c r="K39" s="64">
        <f>SUM(K36:K38)</f>
        <v>43950</v>
      </c>
      <c r="L39" s="64"/>
      <c r="M39" s="105"/>
      <c r="N39" s="454"/>
      <c r="O39" s="454"/>
      <c r="P39" s="454"/>
      <c r="Q39" s="454"/>
      <c r="R39" s="454"/>
      <c r="S39" s="332"/>
      <c r="T39" s="313"/>
    </row>
    <row r="40" spans="2:24" s="10" customFormat="1" ht="15.95" customHeight="1" x14ac:dyDescent="0.25">
      <c r="B40" s="10" t="s">
        <v>1000</v>
      </c>
      <c r="I40" s="83"/>
      <c r="J40" s="25"/>
      <c r="K40" s="83"/>
      <c r="L40" s="83"/>
      <c r="M40" s="26"/>
      <c r="N40" s="402"/>
      <c r="O40" s="402"/>
      <c r="P40" s="402"/>
      <c r="Q40" s="402"/>
      <c r="R40" s="402"/>
      <c r="S40" s="218"/>
      <c r="T40" s="313"/>
    </row>
    <row r="41" spans="2:24" s="10" customFormat="1" ht="15.95" customHeight="1" x14ac:dyDescent="0.25">
      <c r="B41" s="69" t="s">
        <v>1001</v>
      </c>
      <c r="H41" s="10" t="s">
        <v>337</v>
      </c>
      <c r="I41" s="64">
        <f>R41</f>
        <v>70000</v>
      </c>
      <c r="J41" s="25"/>
      <c r="K41" s="25"/>
      <c r="L41" s="25"/>
      <c r="N41" s="402"/>
      <c r="O41" s="402"/>
      <c r="P41" s="402"/>
      <c r="Q41" s="405" t="s">
        <v>987</v>
      </c>
      <c r="R41" s="409">
        <v>70000</v>
      </c>
      <c r="S41" s="217"/>
      <c r="T41" s="313"/>
    </row>
    <row r="42" spans="2:24" s="10" customFormat="1" ht="15.95" customHeight="1" x14ac:dyDescent="0.25">
      <c r="B42" s="69" t="s">
        <v>1002</v>
      </c>
      <c r="H42" s="10" t="s">
        <v>337</v>
      </c>
      <c r="I42" s="53">
        <f>R42</f>
        <v>135710</v>
      </c>
      <c r="J42" s="25"/>
      <c r="K42" s="25"/>
      <c r="L42" s="25"/>
      <c r="N42" s="410">
        <f>K43</f>
        <v>205710</v>
      </c>
      <c r="O42" s="410" t="s">
        <v>1589</v>
      </c>
      <c r="P42" s="410">
        <f>I41</f>
        <v>70000</v>
      </c>
      <c r="Q42" s="410" t="s">
        <v>1587</v>
      </c>
      <c r="R42" s="410">
        <f>SUM(N42-P42)</f>
        <v>135710</v>
      </c>
      <c r="S42" s="313"/>
      <c r="T42" s="313"/>
    </row>
    <row r="43" spans="2:24" s="10" customFormat="1" ht="15.95" customHeight="1" x14ac:dyDescent="0.25">
      <c r="B43" s="158" t="s">
        <v>1003</v>
      </c>
      <c r="H43" s="10" t="s">
        <v>337</v>
      </c>
      <c r="I43" s="83" t="s">
        <v>337</v>
      </c>
      <c r="J43" s="25"/>
      <c r="K43" s="46">
        <f>K44-K39</f>
        <v>205710</v>
      </c>
      <c r="L43" s="46"/>
      <c r="N43" s="402"/>
      <c r="O43" s="402"/>
      <c r="P43" s="402"/>
      <c r="Q43" s="402"/>
      <c r="R43" s="402"/>
      <c r="S43" s="313"/>
      <c r="T43" s="313"/>
    </row>
    <row r="44" spans="2:24" s="10" customFormat="1" ht="15.95" customHeight="1" thickBot="1" x14ac:dyDescent="0.3">
      <c r="B44" s="10" t="s">
        <v>1004</v>
      </c>
      <c r="H44" s="10" t="s">
        <v>337</v>
      </c>
      <c r="I44" s="83" t="s">
        <v>337</v>
      </c>
      <c r="J44" s="25"/>
      <c r="K44" s="47">
        <f>K30</f>
        <v>249660</v>
      </c>
      <c r="L44" s="41"/>
      <c r="N44" s="402"/>
      <c r="O44" s="402"/>
      <c r="P44" s="402"/>
      <c r="Q44" s="402"/>
      <c r="R44" s="402"/>
      <c r="S44" s="313"/>
      <c r="T44" s="313"/>
    </row>
    <row r="45" spans="2:24" s="10" customFormat="1" ht="5.0999999999999996" customHeight="1" thickTop="1" x14ac:dyDescent="0.25">
      <c r="B45" s="26"/>
      <c r="C45" s="26"/>
      <c r="D45" s="26"/>
      <c r="E45" s="26"/>
      <c r="F45" s="26"/>
      <c r="G45" s="26"/>
      <c r="H45" s="26"/>
      <c r="I45" s="83"/>
      <c r="J45" s="83"/>
      <c r="K45" s="83"/>
      <c r="L45" s="83"/>
      <c r="M45" s="26"/>
      <c r="N45" s="402"/>
      <c r="O45" s="402"/>
      <c r="P45" s="402"/>
      <c r="Q45" s="402"/>
      <c r="R45" s="402"/>
      <c r="S45" s="313"/>
      <c r="T45" s="313"/>
    </row>
    <row r="46" spans="2:24" s="10" customFormat="1" ht="14.1" customHeight="1" x14ac:dyDescent="0.25">
      <c r="B46" s="25" t="s">
        <v>748</v>
      </c>
      <c r="C46" s="29" t="s">
        <v>1556</v>
      </c>
      <c r="N46" s="402"/>
      <c r="O46" s="402"/>
      <c r="P46" s="402"/>
      <c r="Q46" s="402"/>
      <c r="R46" s="402"/>
      <c r="S46" s="313"/>
      <c r="T46" s="313"/>
    </row>
    <row r="47" spans="2:24" s="10" customFormat="1" ht="14.1" customHeight="1" x14ac:dyDescent="0.25">
      <c r="C47" s="29" t="s">
        <v>1557</v>
      </c>
      <c r="N47" s="402"/>
      <c r="O47" s="402"/>
      <c r="P47" s="402"/>
      <c r="Q47" s="402"/>
      <c r="R47" s="402"/>
      <c r="S47" s="313"/>
      <c r="T47" s="313"/>
    </row>
    <row r="48" spans="2:24" s="10" customFormat="1" ht="5.0999999999999996" customHeight="1" x14ac:dyDescent="0.25">
      <c r="M48" s="26"/>
      <c r="N48" s="402"/>
      <c r="O48" s="402"/>
      <c r="P48" s="402"/>
      <c r="Q48" s="402"/>
      <c r="R48" s="402"/>
      <c r="S48" s="218"/>
      <c r="T48" s="313"/>
    </row>
    <row r="49" spans="1:23" s="10" customFormat="1" ht="15.95" customHeight="1" x14ac:dyDescent="0.25">
      <c r="M49" s="26"/>
      <c r="N49" s="402"/>
      <c r="O49" s="402"/>
      <c r="P49" s="402"/>
      <c r="Q49" s="402"/>
      <c r="R49" s="402"/>
      <c r="S49" s="218"/>
      <c r="T49" s="313"/>
    </row>
    <row r="50" spans="1:23" s="10" customFormat="1" ht="15.95" customHeight="1" x14ac:dyDescent="0.25">
      <c r="M50" s="26"/>
      <c r="N50" s="402"/>
      <c r="O50" s="402"/>
      <c r="P50" s="402"/>
      <c r="Q50" s="402"/>
      <c r="R50" s="402"/>
      <c r="S50" s="218"/>
      <c r="T50" s="313"/>
    </row>
    <row r="51" spans="1:23" s="10" customFormat="1" ht="15.95" customHeight="1" x14ac:dyDescent="0.25">
      <c r="M51" s="26"/>
      <c r="N51" s="402"/>
      <c r="O51" s="402"/>
      <c r="P51" s="402"/>
      <c r="Q51" s="402"/>
      <c r="R51" s="402"/>
      <c r="S51" s="218"/>
      <c r="T51" s="313"/>
    </row>
    <row r="52" spans="1:23" s="10" customFormat="1" ht="5.0999999999999996" customHeight="1" x14ac:dyDescent="0.25">
      <c r="N52" s="402"/>
      <c r="O52" s="402"/>
      <c r="P52" s="402"/>
      <c r="Q52" s="402"/>
      <c r="R52" s="402"/>
      <c r="S52" s="313"/>
      <c r="T52" s="313"/>
    </row>
    <row r="53" spans="1:23" s="10" customFormat="1" ht="15.95" customHeight="1" x14ac:dyDescent="0.25">
      <c r="N53" s="402"/>
      <c r="O53" s="402"/>
      <c r="P53" s="402"/>
      <c r="Q53" s="402"/>
      <c r="R53" s="402"/>
      <c r="S53" s="313"/>
      <c r="T53" s="313"/>
    </row>
    <row r="54" spans="1:23" s="10" customFormat="1" ht="18" customHeight="1" x14ac:dyDescent="0.25">
      <c r="N54" s="402"/>
      <c r="O54" s="402"/>
      <c r="P54" s="402"/>
      <c r="Q54" s="402"/>
      <c r="R54" s="402"/>
      <c r="S54" s="313"/>
      <c r="T54" s="313"/>
    </row>
    <row r="55" spans="1:23" s="10" customFormat="1" ht="17.100000000000001" customHeight="1" x14ac:dyDescent="0.25">
      <c r="N55" s="402"/>
      <c r="O55" s="402"/>
      <c r="P55" s="402"/>
      <c r="Q55" s="402"/>
      <c r="R55" s="402"/>
      <c r="S55" s="313"/>
      <c r="T55" s="313"/>
    </row>
    <row r="56" spans="1:23" s="10" customFormat="1" ht="17.100000000000001" customHeight="1" x14ac:dyDescent="0.25">
      <c r="N56" s="402"/>
      <c r="O56" s="402"/>
      <c r="P56" s="402"/>
      <c r="Q56" s="402"/>
      <c r="R56" s="402"/>
      <c r="S56" s="313"/>
      <c r="T56" s="313"/>
    </row>
    <row r="57" spans="1:23" s="10" customFormat="1" ht="17.100000000000001" customHeight="1" x14ac:dyDescent="0.25">
      <c r="N57" s="402"/>
      <c r="O57" s="402"/>
      <c r="P57" s="402"/>
      <c r="Q57" s="402"/>
      <c r="R57" s="402"/>
      <c r="S57" s="313"/>
      <c r="T57" s="313"/>
    </row>
    <row r="58" spans="1:23" s="10" customFormat="1" ht="15" customHeight="1" x14ac:dyDescent="0.25">
      <c r="A58" s="2"/>
      <c r="B58" s="2"/>
      <c r="C58" s="2"/>
      <c r="D58" s="2"/>
      <c r="E58" s="2"/>
      <c r="F58" s="2"/>
      <c r="G58" s="2"/>
      <c r="H58" s="2"/>
      <c r="I58" s="48"/>
      <c r="J58" s="2"/>
      <c r="K58" s="2"/>
      <c r="L58" s="2"/>
      <c r="N58" s="402"/>
      <c r="O58" s="402"/>
      <c r="P58" s="402"/>
      <c r="Q58" s="402"/>
      <c r="R58" s="402"/>
      <c r="S58" s="313"/>
      <c r="T58" s="312"/>
      <c r="U58" s="2"/>
      <c r="V58" s="2"/>
      <c r="W58" s="2"/>
    </row>
    <row r="59" spans="1:23" x14ac:dyDescent="0.2">
      <c r="I59" s="48"/>
    </row>
    <row r="60" spans="1:23" x14ac:dyDescent="0.2">
      <c r="I60" s="48"/>
    </row>
  </sheetData>
  <customSheetViews>
    <customSheetView guid="{B2DDA8C4-3089-41F7-BA6E-A0E09596A2CA}" scale="80" showPageBreaks="1" fitToPage="1" printArea="1"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34">
      <selection activeCell="A34" sqref="A34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8">
    <mergeCell ref="B4:K4"/>
    <mergeCell ref="B5:K5"/>
    <mergeCell ref="B6:K6"/>
    <mergeCell ref="B32:K32"/>
    <mergeCell ref="B18:K18"/>
    <mergeCell ref="B19:K19"/>
    <mergeCell ref="B20:K20"/>
    <mergeCell ref="B22:K22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60"/>
  <sheetViews>
    <sheetView zoomScale="70" zoomScaleNormal="70" workbookViewId="0">
      <selection activeCell="C2" sqref="C2"/>
    </sheetView>
  </sheetViews>
  <sheetFormatPr defaultRowHeight="12.75" x14ac:dyDescent="0.2"/>
  <cols>
    <col min="1" max="1" width="1.7109375" style="2" customWidth="1"/>
    <col min="2" max="2" width="4.7109375" style="2" customWidth="1"/>
    <col min="3" max="3" width="2.85546875" style="2" customWidth="1"/>
    <col min="4" max="4" width="10.28515625" style="2" bestFit="1" customWidth="1"/>
    <col min="5" max="5" width="4.7109375" style="2" customWidth="1"/>
    <col min="6" max="6" width="12.85546875" style="2" customWidth="1"/>
    <col min="7" max="7" width="1.85546875" style="2" customWidth="1"/>
    <col min="8" max="8" width="11.5703125" style="2" customWidth="1"/>
    <col min="9" max="9" width="3.140625" style="2" customWidth="1"/>
    <col min="10" max="10" width="10.5703125" style="2" customWidth="1"/>
    <col min="11" max="11" width="1.5703125" style="2" customWidth="1"/>
    <col min="12" max="12" width="12.42578125" style="2" customWidth="1"/>
    <col min="13" max="13" width="2.140625" style="2" customWidth="1"/>
    <col min="14" max="14" width="11.7109375" style="2" customWidth="1"/>
    <col min="15" max="15" width="2.7109375" style="2" customWidth="1"/>
    <col min="16" max="16" width="9.28515625" style="407" hidden="1" customWidth="1"/>
    <col min="17" max="17" width="2.7109375" style="407" hidden="1" customWidth="1"/>
    <col min="18" max="18" width="9.28515625" style="407" hidden="1" customWidth="1"/>
    <col min="19" max="19" width="2.7109375" style="407" hidden="1" customWidth="1"/>
    <col min="20" max="20" width="9.42578125" style="407" hidden="1" customWidth="1"/>
    <col min="21" max="21" width="2.7109375" style="407" hidden="1" customWidth="1"/>
    <col min="22" max="22" width="10.85546875" style="407" hidden="1" customWidth="1"/>
    <col min="23" max="23" width="2.7109375" style="407" hidden="1" customWidth="1"/>
    <col min="24" max="24" width="11.85546875" style="407" hidden="1" customWidth="1"/>
    <col min="25" max="25" width="7.85546875" style="407" hidden="1" customWidth="1"/>
    <col min="26" max="26" width="0.85546875" style="407" hidden="1" customWidth="1"/>
    <col min="27" max="27" width="7.85546875" style="407" hidden="1" customWidth="1"/>
    <col min="28" max="28" width="0.85546875" style="407" hidden="1" customWidth="1"/>
    <col min="29" max="29" width="7.85546875" style="407" hidden="1" customWidth="1"/>
    <col min="30" max="30" width="9.140625" style="312"/>
    <col min="31" max="16384" width="9.140625" style="2"/>
  </cols>
  <sheetData>
    <row r="1" spans="2:30" ht="28.5" customHeight="1" x14ac:dyDescent="0.2"/>
    <row r="2" spans="2:30" ht="15.95" customHeight="1" x14ac:dyDescent="0.25">
      <c r="B2" s="26" t="s">
        <v>1189</v>
      </c>
      <c r="C2" s="26"/>
      <c r="D2" s="26"/>
      <c r="E2" s="26"/>
      <c r="F2" s="26"/>
      <c r="G2" s="26"/>
      <c r="H2" s="26"/>
      <c r="I2" s="26"/>
      <c r="J2" s="26"/>
      <c r="K2" s="26"/>
      <c r="W2" s="455"/>
      <c r="X2" s="455"/>
      <c r="Y2" s="402"/>
    </row>
    <row r="3" spans="2:30" ht="5.0999999999999996" customHeight="1" x14ac:dyDescent="0.25">
      <c r="B3" s="26"/>
      <c r="C3" s="26"/>
      <c r="D3" s="26"/>
      <c r="E3" s="26"/>
      <c r="F3" s="26"/>
      <c r="G3" s="26"/>
      <c r="H3" s="26"/>
      <c r="I3" s="26"/>
      <c r="J3" s="26"/>
      <c r="K3" s="26"/>
      <c r="W3" s="455"/>
      <c r="X3" s="455"/>
      <c r="Y3" s="402"/>
    </row>
    <row r="4" spans="2:30" ht="15.95" customHeight="1" x14ac:dyDescent="0.25">
      <c r="B4" s="360" t="s">
        <v>1005</v>
      </c>
      <c r="C4" s="360"/>
      <c r="D4" s="360"/>
      <c r="E4" s="360"/>
      <c r="F4" s="360"/>
      <c r="G4" s="360"/>
      <c r="H4" s="360"/>
      <c r="I4" s="360"/>
      <c r="J4" s="360"/>
      <c r="K4" s="360"/>
      <c r="L4" s="360"/>
      <c r="M4" s="360"/>
      <c r="N4" s="360"/>
      <c r="W4" s="455"/>
      <c r="X4" s="455"/>
      <c r="Y4" s="402"/>
    </row>
    <row r="5" spans="2:30" ht="15.95" customHeight="1" x14ac:dyDescent="0.25">
      <c r="B5" s="363" t="s">
        <v>1065</v>
      </c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W5" s="455"/>
      <c r="X5" s="455"/>
      <c r="Y5" s="402"/>
    </row>
    <row r="6" spans="2:30" ht="15.95" customHeight="1" x14ac:dyDescent="0.25">
      <c r="B6" s="372" t="s">
        <v>1123</v>
      </c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2"/>
      <c r="T6" s="418" t="s">
        <v>1682</v>
      </c>
      <c r="W6" s="455"/>
      <c r="X6" s="455"/>
      <c r="Y6" s="402"/>
    </row>
    <row r="7" spans="2:30" ht="5.0999999999999996" customHeight="1" x14ac:dyDescent="0.25"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W7" s="455"/>
      <c r="X7" s="455"/>
      <c r="Y7" s="402"/>
    </row>
    <row r="8" spans="2:30" ht="15.95" customHeight="1" x14ac:dyDescent="0.25">
      <c r="B8" s="10"/>
      <c r="C8" s="10"/>
      <c r="D8" s="10"/>
      <c r="E8" s="10"/>
      <c r="F8" s="10"/>
      <c r="G8" s="10"/>
      <c r="L8" s="67">
        <v>2013</v>
      </c>
      <c r="M8" s="20"/>
      <c r="N8" s="67">
        <v>2014</v>
      </c>
      <c r="T8" s="456">
        <v>2013</v>
      </c>
      <c r="U8" s="457"/>
      <c r="V8" s="456">
        <v>2014</v>
      </c>
      <c r="W8" s="455"/>
      <c r="X8" s="455"/>
      <c r="Y8" s="402"/>
    </row>
    <row r="9" spans="2:30" ht="5.0999999999999996" customHeight="1" x14ac:dyDescent="0.25">
      <c r="B9" s="10"/>
      <c r="C9" s="10"/>
      <c r="D9" s="10"/>
      <c r="E9" s="10"/>
      <c r="F9" s="10"/>
      <c r="G9" s="10"/>
      <c r="L9" s="20"/>
      <c r="M9" s="20"/>
      <c r="N9" s="20"/>
      <c r="W9" s="455"/>
      <c r="X9" s="455"/>
      <c r="Y9" s="402"/>
    </row>
    <row r="10" spans="2:30" ht="15.95" customHeight="1" x14ac:dyDescent="0.25">
      <c r="B10" s="10" t="s">
        <v>177</v>
      </c>
      <c r="C10" s="10"/>
      <c r="D10" s="10"/>
      <c r="E10" s="10"/>
      <c r="F10" s="10"/>
      <c r="G10" s="10"/>
      <c r="K10" s="2" t="s">
        <v>337</v>
      </c>
      <c r="L10" s="260">
        <f>T10</f>
        <v>20900</v>
      </c>
      <c r="M10" s="21"/>
      <c r="N10" s="253">
        <f>V10</f>
        <v>36050</v>
      </c>
      <c r="S10" s="413" t="s">
        <v>1026</v>
      </c>
      <c r="T10" s="409">
        <v>20900</v>
      </c>
      <c r="V10" s="410">
        <f>L13</f>
        <v>36050</v>
      </c>
      <c r="W10" s="415" t="s">
        <v>1686</v>
      </c>
      <c r="Y10" s="402"/>
    </row>
    <row r="11" spans="2:30" ht="15.95" customHeight="1" x14ac:dyDescent="0.25">
      <c r="B11" s="10" t="s">
        <v>178</v>
      </c>
      <c r="C11" s="10"/>
      <c r="D11" s="10"/>
      <c r="E11" s="10"/>
      <c r="F11" s="10"/>
      <c r="G11" s="10"/>
      <c r="K11" s="2" t="s">
        <v>337</v>
      </c>
      <c r="L11" s="42">
        <f>H21</f>
        <v>25400</v>
      </c>
      <c r="M11" s="50"/>
      <c r="N11" s="50">
        <f>J21</f>
        <v>33000</v>
      </c>
      <c r="S11" s="413" t="s">
        <v>1604</v>
      </c>
      <c r="T11" s="409">
        <v>407500</v>
      </c>
      <c r="V11" s="409">
        <v>451600</v>
      </c>
      <c r="W11" s="402"/>
    </row>
    <row r="12" spans="2:30" ht="15.95" customHeight="1" x14ac:dyDescent="0.25">
      <c r="B12" s="10" t="s">
        <v>1047</v>
      </c>
      <c r="C12" s="10"/>
      <c r="D12" s="10"/>
      <c r="E12" s="10"/>
      <c r="F12" s="10"/>
      <c r="G12" s="10"/>
      <c r="K12" s="2" t="s">
        <v>337</v>
      </c>
      <c r="L12" s="89">
        <f>-T12</f>
        <v>-10250</v>
      </c>
      <c r="M12" s="51"/>
      <c r="N12" s="51">
        <f>-V12</f>
        <v>-12920</v>
      </c>
      <c r="S12" s="413" t="s">
        <v>938</v>
      </c>
      <c r="T12" s="409">
        <v>10250</v>
      </c>
      <c r="V12" s="409">
        <v>12920</v>
      </c>
      <c r="W12" s="455"/>
      <c r="X12" s="455"/>
      <c r="Y12" s="402"/>
    </row>
    <row r="13" spans="2:30" ht="15.95" customHeight="1" thickBot="1" x14ac:dyDescent="0.3">
      <c r="B13" s="10" t="s">
        <v>1048</v>
      </c>
      <c r="C13" s="10"/>
      <c r="D13" s="10"/>
      <c r="E13" s="10"/>
      <c r="F13" s="10"/>
      <c r="G13" s="10"/>
      <c r="K13" s="2" t="s">
        <v>337</v>
      </c>
      <c r="L13" s="252">
        <f>SUM(L10:L12)</f>
        <v>36050</v>
      </c>
      <c r="M13" s="45"/>
      <c r="N13" s="252">
        <f>SUM(N10:N12)</f>
        <v>56130</v>
      </c>
      <c r="S13" s="413" t="s">
        <v>1605</v>
      </c>
      <c r="T13" s="409">
        <v>382100</v>
      </c>
      <c r="V13" s="409">
        <v>418600</v>
      </c>
      <c r="W13" s="455"/>
      <c r="Y13" s="402"/>
    </row>
    <row r="14" spans="2:30" s="10" customFormat="1" ht="6.95" customHeight="1" thickTop="1" x14ac:dyDescent="0.25">
      <c r="J14" s="20"/>
      <c r="K14" s="26"/>
      <c r="L14" s="20"/>
      <c r="M14" s="20"/>
      <c r="N14" s="26"/>
      <c r="P14" s="402"/>
      <c r="Q14" s="402"/>
      <c r="R14" s="405"/>
      <c r="S14" s="405"/>
      <c r="T14" s="402"/>
      <c r="U14" s="402"/>
      <c r="V14" s="402"/>
      <c r="W14" s="402"/>
      <c r="X14" s="402"/>
      <c r="Y14" s="402"/>
      <c r="Z14" s="402"/>
      <c r="AA14" s="402"/>
      <c r="AB14" s="402"/>
      <c r="AC14" s="402"/>
      <c r="AD14" s="313"/>
    </row>
    <row r="15" spans="2:30" s="10" customFormat="1" ht="12.95" customHeight="1" x14ac:dyDescent="0.25">
      <c r="B15" s="25" t="s">
        <v>748</v>
      </c>
      <c r="C15" s="29" t="s">
        <v>1124</v>
      </c>
      <c r="J15" s="20"/>
      <c r="K15" s="26"/>
      <c r="L15" s="20"/>
      <c r="M15" s="20"/>
      <c r="N15" s="26"/>
      <c r="P15" s="402"/>
      <c r="Q15" s="402"/>
      <c r="R15" s="402"/>
      <c r="S15" s="402"/>
      <c r="T15" s="402"/>
      <c r="U15" s="402"/>
      <c r="V15" s="402"/>
      <c r="W15" s="402"/>
      <c r="X15" s="402"/>
      <c r="Y15" s="402"/>
      <c r="Z15" s="402"/>
      <c r="AA15" s="402"/>
      <c r="AB15" s="402"/>
      <c r="AC15" s="402"/>
      <c r="AD15" s="313"/>
    </row>
    <row r="16" spans="2:30" s="10" customFormat="1" ht="12.95" customHeight="1" x14ac:dyDescent="0.25">
      <c r="C16" s="29" t="s">
        <v>1120</v>
      </c>
      <c r="J16" s="20"/>
      <c r="K16" s="26"/>
      <c r="L16" s="20"/>
      <c r="M16" s="20"/>
      <c r="N16" s="26"/>
      <c r="P16" s="402"/>
      <c r="Q16" s="402"/>
      <c r="R16" s="402"/>
      <c r="S16" s="402"/>
      <c r="T16" s="402"/>
      <c r="U16" s="402"/>
      <c r="V16" s="402"/>
      <c r="W16" s="402"/>
      <c r="X16" s="402"/>
      <c r="Y16" s="402"/>
      <c r="Z16" s="402"/>
      <c r="AA16" s="402"/>
      <c r="AB16" s="402"/>
      <c r="AC16" s="402"/>
      <c r="AD16" s="313"/>
    </row>
    <row r="17" spans="2:30" s="10" customFormat="1" ht="6.95" customHeight="1" x14ac:dyDescent="0.25">
      <c r="J17" s="20"/>
      <c r="K17" s="26"/>
      <c r="L17" s="20"/>
      <c r="M17" s="20"/>
      <c r="N17" s="26"/>
      <c r="P17" s="402"/>
      <c r="Q17" s="402"/>
      <c r="R17" s="402"/>
      <c r="S17" s="402"/>
      <c r="T17" s="402"/>
      <c r="U17" s="402"/>
      <c r="V17" s="402"/>
      <c r="W17" s="402"/>
      <c r="X17" s="402"/>
      <c r="Y17" s="402"/>
      <c r="Z17" s="402"/>
      <c r="AA17" s="402"/>
      <c r="AB17" s="402"/>
      <c r="AC17" s="402"/>
      <c r="AD17" s="313"/>
    </row>
    <row r="18" spans="2:30" s="10" customFormat="1" ht="14.1" customHeight="1" x14ac:dyDescent="0.25">
      <c r="B18" s="25" t="s">
        <v>749</v>
      </c>
      <c r="C18" s="29" t="s">
        <v>176</v>
      </c>
      <c r="D18" s="29"/>
      <c r="E18" s="29"/>
      <c r="F18" s="29"/>
      <c r="G18" s="29"/>
      <c r="H18" s="168" t="s">
        <v>1121</v>
      </c>
      <c r="I18" s="169"/>
      <c r="J18" s="168" t="s">
        <v>1122</v>
      </c>
      <c r="K18" s="29"/>
      <c r="L18" s="29"/>
      <c r="M18" s="29"/>
      <c r="P18" s="402"/>
      <c r="Q18" s="402"/>
      <c r="R18" s="402"/>
      <c r="S18" s="413"/>
      <c r="T18" s="402"/>
      <c r="U18" s="402"/>
      <c r="V18" s="413"/>
      <c r="W18" s="402"/>
      <c r="X18" s="405"/>
      <c r="Y18" s="402"/>
      <c r="Z18" s="402"/>
      <c r="AA18" s="402"/>
      <c r="AB18" s="402"/>
      <c r="AC18" s="402"/>
      <c r="AD18" s="313"/>
    </row>
    <row r="19" spans="2:30" s="10" customFormat="1" ht="17.100000000000001" customHeight="1" x14ac:dyDescent="0.25">
      <c r="B19" s="25"/>
      <c r="C19" s="29"/>
      <c r="D19" s="29" t="s">
        <v>173</v>
      </c>
      <c r="E19" s="29"/>
      <c r="F19" s="29"/>
      <c r="G19" s="29" t="s">
        <v>337</v>
      </c>
      <c r="H19" s="263">
        <f>T11</f>
        <v>407500</v>
      </c>
      <c r="I19" s="29"/>
      <c r="J19" s="263">
        <f>V11</f>
        <v>451600</v>
      </c>
      <c r="K19" s="152"/>
      <c r="P19" s="402"/>
      <c r="Q19" s="402"/>
      <c r="R19" s="402"/>
      <c r="S19" s="445"/>
      <c r="T19" s="402"/>
      <c r="U19" s="402"/>
      <c r="V19" s="445"/>
      <c r="W19" s="402"/>
      <c r="X19" s="405"/>
      <c r="Y19" s="402"/>
      <c r="Z19" s="402"/>
      <c r="AA19" s="402"/>
      <c r="AB19" s="402"/>
      <c r="AC19" s="402"/>
      <c r="AD19" s="313"/>
    </row>
    <row r="20" spans="2:30" s="10" customFormat="1" ht="15" customHeight="1" x14ac:dyDescent="0.25">
      <c r="B20" s="25"/>
      <c r="C20" s="29"/>
      <c r="D20" s="29" t="s">
        <v>174</v>
      </c>
      <c r="E20" s="29"/>
      <c r="F20" s="29"/>
      <c r="G20" s="29" t="s">
        <v>337</v>
      </c>
      <c r="H20" s="262">
        <f>-T13</f>
        <v>-382100</v>
      </c>
      <c r="I20" s="29"/>
      <c r="J20" s="262">
        <f>-V13</f>
        <v>-418600</v>
      </c>
      <c r="K20" s="153"/>
      <c r="P20" s="402"/>
      <c r="Q20" s="402"/>
      <c r="R20" s="402"/>
      <c r="S20" s="445"/>
      <c r="T20" s="402"/>
      <c r="U20" s="402"/>
      <c r="V20" s="445"/>
      <c r="W20" s="402"/>
      <c r="X20" s="405"/>
      <c r="Y20" s="402"/>
      <c r="Z20" s="402"/>
      <c r="AA20" s="402"/>
      <c r="AB20" s="402"/>
      <c r="AC20" s="402"/>
      <c r="AD20" s="313"/>
    </row>
    <row r="21" spans="2:30" s="10" customFormat="1" ht="15" customHeight="1" thickBot="1" x14ac:dyDescent="0.3">
      <c r="B21" s="25"/>
      <c r="D21" s="29" t="s">
        <v>175</v>
      </c>
      <c r="E21" s="29"/>
      <c r="F21" s="29"/>
      <c r="G21" s="29" t="s">
        <v>337</v>
      </c>
      <c r="H21" s="261">
        <f>H19+H20</f>
        <v>25400</v>
      </c>
      <c r="I21" s="29"/>
      <c r="J21" s="261">
        <f>J19+J20</f>
        <v>33000</v>
      </c>
      <c r="K21" s="154"/>
      <c r="P21" s="402"/>
      <c r="Q21" s="402"/>
      <c r="R21" s="402"/>
      <c r="S21" s="402"/>
      <c r="T21" s="402"/>
      <c r="U21" s="402"/>
      <c r="V21" s="402"/>
      <c r="W21" s="402"/>
      <c r="X21" s="405"/>
      <c r="Y21" s="402"/>
      <c r="Z21" s="402"/>
      <c r="AA21" s="402"/>
      <c r="AB21" s="402"/>
      <c r="AC21" s="402"/>
      <c r="AD21" s="313"/>
    </row>
    <row r="22" spans="2:30" s="10" customFormat="1" ht="15.95" customHeight="1" thickTop="1" x14ac:dyDescent="0.25">
      <c r="P22" s="402"/>
      <c r="Q22" s="402"/>
      <c r="R22" s="402"/>
      <c r="S22" s="402"/>
      <c r="T22" s="402"/>
      <c r="U22" s="402"/>
      <c r="V22" s="402"/>
      <c r="W22" s="402"/>
      <c r="X22" s="402"/>
      <c r="Y22" s="402"/>
      <c r="Z22" s="402"/>
      <c r="AA22" s="402"/>
      <c r="AB22" s="402"/>
      <c r="AC22" s="402"/>
      <c r="AD22" s="313"/>
    </row>
    <row r="23" spans="2:30" s="10" customFormat="1" ht="15.95" customHeight="1" x14ac:dyDescent="0.25">
      <c r="B23" s="10" t="s">
        <v>1190</v>
      </c>
      <c r="P23" s="402"/>
      <c r="Q23" s="412" t="s">
        <v>794</v>
      </c>
      <c r="R23" s="402"/>
      <c r="S23" s="402"/>
      <c r="T23" s="402"/>
      <c r="U23" s="402"/>
      <c r="V23" s="402"/>
      <c r="W23" s="402"/>
      <c r="X23" s="413" t="s">
        <v>1679</v>
      </c>
      <c r="Y23" s="458">
        <v>2012</v>
      </c>
      <c r="Z23" s="459"/>
      <c r="AA23" s="458">
        <v>2013</v>
      </c>
      <c r="AB23" s="459"/>
      <c r="AC23" s="458">
        <v>2014</v>
      </c>
      <c r="AD23" s="313"/>
    </row>
    <row r="24" spans="2:30" s="10" customFormat="1" ht="15.95" customHeight="1" x14ac:dyDescent="0.25">
      <c r="B24" s="11" t="s">
        <v>1507</v>
      </c>
      <c r="C24" s="10" t="str">
        <f>CONCATENATE(TEXT(P24,"$#,##0"),Q24,"Dividends (a)",S24,TEXT(R24,"$#,##0"),)</f>
        <v>$30,700 – Dividends (a) = $27,200</v>
      </c>
      <c r="G24" s="21"/>
      <c r="P24" s="410">
        <f>Y27</f>
        <v>30700</v>
      </c>
      <c r="Q24" s="410" t="s">
        <v>1589</v>
      </c>
      <c r="R24" s="410">
        <f>Y30</f>
        <v>27200</v>
      </c>
      <c r="S24" s="410" t="s">
        <v>1587</v>
      </c>
      <c r="T24" s="410">
        <f>SUM(P24-R24)</f>
        <v>3500</v>
      </c>
      <c r="U24" s="451" t="s">
        <v>1507</v>
      </c>
      <c r="V24" s="402"/>
      <c r="W24" s="402"/>
      <c r="X24" s="405" t="s">
        <v>13</v>
      </c>
      <c r="Y24" s="409">
        <v>21500</v>
      </c>
      <c r="Z24" s="402"/>
      <c r="AA24" s="409" t="s">
        <v>1049</v>
      </c>
      <c r="AB24" s="402"/>
      <c r="AC24" s="409">
        <v>33600</v>
      </c>
      <c r="AD24" s="313"/>
    </row>
    <row r="25" spans="2:30" s="10" customFormat="1" ht="15.95" customHeight="1" x14ac:dyDescent="0.25">
      <c r="C25" s="10" t="str">
        <f>CONCATENATE("Dividends (a)",S24,TEXT(T24,"$#,##0"),)</f>
        <v>Dividends (a) = $3,500</v>
      </c>
      <c r="E25" s="14"/>
      <c r="F25" s="28"/>
      <c r="P25" s="402"/>
      <c r="Q25" s="402"/>
      <c r="R25" s="402"/>
      <c r="S25" s="402"/>
      <c r="T25" s="402"/>
      <c r="U25" s="402"/>
      <c r="V25" s="402"/>
      <c r="W25" s="402"/>
      <c r="X25" s="405" t="s">
        <v>14</v>
      </c>
      <c r="Y25" s="409">
        <v>9200</v>
      </c>
      <c r="Z25" s="402"/>
      <c r="AA25" s="409">
        <v>10100</v>
      </c>
      <c r="AB25" s="402"/>
      <c r="AC25" s="409" t="s">
        <v>976</v>
      </c>
      <c r="AD25" s="313"/>
    </row>
    <row r="26" spans="2:30" s="10" customFormat="1" ht="5.0999999999999996" customHeight="1" x14ac:dyDescent="0.25">
      <c r="P26" s="402"/>
      <c r="Q26" s="402"/>
      <c r="R26" s="402"/>
      <c r="S26" s="402"/>
      <c r="T26" s="402"/>
      <c r="U26" s="402"/>
      <c r="V26" s="402"/>
      <c r="W26" s="402"/>
      <c r="X26" s="402"/>
      <c r="Y26" s="402"/>
      <c r="Z26" s="402"/>
      <c r="AA26" s="402"/>
      <c r="AB26" s="402"/>
      <c r="AC26" s="402"/>
      <c r="AD26" s="313"/>
    </row>
    <row r="27" spans="2:30" s="10" customFormat="1" ht="15.95" customHeight="1" x14ac:dyDescent="0.25">
      <c r="B27" s="11" t="s">
        <v>1509</v>
      </c>
      <c r="C27" s="10" t="s">
        <v>621</v>
      </c>
      <c r="I27" s="11" t="s">
        <v>111</v>
      </c>
      <c r="J27" s="10" t="s">
        <v>622</v>
      </c>
      <c r="P27" s="402"/>
      <c r="Q27" s="402"/>
      <c r="R27" s="402"/>
      <c r="S27" s="402"/>
      <c r="T27" s="402"/>
      <c r="U27" s="402"/>
      <c r="V27" s="402"/>
      <c r="W27" s="402"/>
      <c r="X27" s="402"/>
      <c r="Y27" s="409">
        <v>30700</v>
      </c>
      <c r="Z27" s="402"/>
      <c r="AA27" s="409" t="s">
        <v>1510</v>
      </c>
      <c r="AB27" s="402"/>
      <c r="AC27" s="409" t="s">
        <v>975</v>
      </c>
      <c r="AD27" s="313"/>
    </row>
    <row r="28" spans="2:30" s="10" customFormat="1" ht="15.95" customHeight="1" x14ac:dyDescent="0.25">
      <c r="I28" s="11" t="s">
        <v>111</v>
      </c>
      <c r="J28" s="356">
        <f>P28</f>
        <v>27200</v>
      </c>
      <c r="K28" s="356"/>
      <c r="P28" s="410">
        <f>Y30</f>
        <v>27200</v>
      </c>
      <c r="Q28" s="451" t="s">
        <v>1509</v>
      </c>
      <c r="R28" s="402"/>
      <c r="S28" s="402"/>
      <c r="T28" s="402"/>
      <c r="U28" s="402"/>
      <c r="V28" s="402"/>
      <c r="W28" s="402"/>
      <c r="X28" s="405" t="s">
        <v>15</v>
      </c>
      <c r="Y28" s="409" t="s">
        <v>1507</v>
      </c>
      <c r="Z28" s="402"/>
      <c r="AA28" s="409" t="s">
        <v>953</v>
      </c>
      <c r="AB28" s="402"/>
      <c r="AC28" s="409">
        <v>3900</v>
      </c>
      <c r="AD28" s="313"/>
    </row>
    <row r="29" spans="2:30" s="10" customFormat="1" ht="5.0999999999999996" customHeight="1" x14ac:dyDescent="0.25">
      <c r="P29" s="402"/>
      <c r="Q29" s="402"/>
      <c r="R29" s="402"/>
      <c r="S29" s="402"/>
      <c r="T29" s="402"/>
      <c r="U29" s="402"/>
      <c r="V29" s="402"/>
      <c r="W29" s="402"/>
      <c r="X29" s="402"/>
      <c r="Y29" s="402"/>
      <c r="Z29" s="402"/>
      <c r="AA29" s="402"/>
      <c r="AB29" s="402"/>
      <c r="AC29" s="402"/>
      <c r="AD29" s="313"/>
    </row>
    <row r="30" spans="2:30" s="10" customFormat="1" ht="15.95" customHeight="1" x14ac:dyDescent="0.25">
      <c r="B30" s="11" t="s">
        <v>1510</v>
      </c>
      <c r="C30" s="10" t="s">
        <v>1050</v>
      </c>
      <c r="P30" s="402"/>
      <c r="Q30" s="412" t="s">
        <v>809</v>
      </c>
      <c r="R30" s="402"/>
      <c r="S30" s="402"/>
      <c r="T30" s="402"/>
      <c r="U30" s="402"/>
      <c r="V30" s="402"/>
      <c r="W30" s="402"/>
      <c r="X30" s="405" t="s">
        <v>16</v>
      </c>
      <c r="Y30" s="409">
        <v>27200</v>
      </c>
      <c r="Z30" s="402"/>
      <c r="AA30" s="409" t="s">
        <v>724</v>
      </c>
      <c r="AB30" s="402"/>
      <c r="AC30" s="409">
        <v>41200</v>
      </c>
      <c r="AD30" s="313"/>
    </row>
    <row r="31" spans="2:30" s="10" customFormat="1" ht="15.95" customHeight="1" x14ac:dyDescent="0.25">
      <c r="C31" s="10" t="str">
        <f>CONCATENATE(TEXT(P31,"$#,##0"),Q31,TEXT(R31,"$#,##0"),S31,TEXT(T31,"$#,##0"),)</f>
        <v>$27,200 + $10,100 = $37,300</v>
      </c>
      <c r="G31" s="28"/>
      <c r="H31" s="28"/>
      <c r="P31" s="410">
        <f>Y30</f>
        <v>27200</v>
      </c>
      <c r="Q31" s="410" t="s">
        <v>1588</v>
      </c>
      <c r="R31" s="410">
        <f>AA25</f>
        <v>10100</v>
      </c>
      <c r="S31" s="410" t="s">
        <v>1587</v>
      </c>
      <c r="T31" s="410">
        <f>SUM(P31+R31)</f>
        <v>37300</v>
      </c>
      <c r="U31" s="451" t="s">
        <v>1510</v>
      </c>
      <c r="V31" s="402"/>
      <c r="W31" s="402"/>
      <c r="X31" s="402"/>
      <c r="Y31" s="402"/>
      <c r="Z31" s="402"/>
      <c r="AA31" s="402"/>
      <c r="AB31" s="402"/>
      <c r="AC31" s="402"/>
      <c r="AD31" s="313"/>
    </row>
    <row r="32" spans="2:30" s="10" customFormat="1" ht="9.9499999999999993" customHeight="1" x14ac:dyDescent="0.25">
      <c r="P32" s="402"/>
      <c r="Q32" s="402"/>
      <c r="R32" s="402"/>
      <c r="S32" s="402"/>
      <c r="T32" s="402"/>
      <c r="U32" s="402"/>
      <c r="V32" s="402"/>
      <c r="W32" s="402"/>
      <c r="X32" s="402"/>
      <c r="Y32" s="402"/>
      <c r="Z32" s="402"/>
      <c r="AA32" s="402"/>
      <c r="AB32" s="402"/>
      <c r="AC32" s="402"/>
      <c r="AD32" s="313"/>
    </row>
    <row r="33" spans="2:30" s="10" customFormat="1" ht="15.95" customHeight="1" x14ac:dyDescent="0.25">
      <c r="B33" s="10" t="s">
        <v>1051</v>
      </c>
      <c r="P33" s="402"/>
      <c r="Q33" s="402"/>
      <c r="R33" s="402"/>
      <c r="S33" s="402"/>
      <c r="T33" s="402"/>
      <c r="U33" s="402"/>
      <c r="V33" s="402"/>
      <c r="W33" s="402"/>
      <c r="X33" s="402"/>
      <c r="Y33" s="402"/>
      <c r="Z33" s="453"/>
      <c r="AA33" s="403"/>
      <c r="AB33" s="403"/>
      <c r="AC33" s="402"/>
      <c r="AD33" s="313"/>
    </row>
    <row r="34" spans="2:30" s="10" customFormat="1" ht="5.0999999999999996" customHeight="1" x14ac:dyDescent="0.25">
      <c r="P34" s="402"/>
      <c r="Q34" s="402"/>
      <c r="R34" s="402"/>
      <c r="S34" s="402"/>
      <c r="T34" s="402"/>
      <c r="U34" s="402"/>
      <c r="V34" s="402"/>
      <c r="W34" s="402"/>
      <c r="X34" s="402"/>
      <c r="Y34" s="402"/>
      <c r="Z34" s="402"/>
      <c r="AA34" s="402"/>
      <c r="AB34" s="402"/>
      <c r="AC34" s="402"/>
      <c r="AD34" s="313"/>
    </row>
    <row r="35" spans="2:30" s="10" customFormat="1" ht="15.95" customHeight="1" x14ac:dyDescent="0.25">
      <c r="B35" s="11" t="s">
        <v>981</v>
      </c>
      <c r="C35" s="10" t="s">
        <v>624</v>
      </c>
      <c r="I35" s="11" t="s">
        <v>111</v>
      </c>
      <c r="J35" s="10" t="s">
        <v>623</v>
      </c>
      <c r="P35" s="402"/>
      <c r="Q35" s="402"/>
      <c r="R35" s="402"/>
      <c r="S35" s="402"/>
      <c r="T35" s="402"/>
      <c r="U35" s="402"/>
      <c r="V35" s="402"/>
      <c r="W35" s="402"/>
      <c r="X35" s="402"/>
      <c r="Y35" s="402"/>
      <c r="Z35" s="402"/>
      <c r="AA35" s="402"/>
      <c r="AB35" s="402"/>
      <c r="AC35" s="402"/>
      <c r="AD35" s="313"/>
    </row>
    <row r="36" spans="2:30" s="10" customFormat="1" ht="15.95" customHeight="1" x14ac:dyDescent="0.25">
      <c r="I36" s="10" t="s">
        <v>111</v>
      </c>
      <c r="J36" s="356">
        <f>P36</f>
        <v>33600</v>
      </c>
      <c r="K36" s="356"/>
      <c r="P36" s="410">
        <f>AC24</f>
        <v>33600</v>
      </c>
      <c r="Q36" s="451" t="s">
        <v>981</v>
      </c>
      <c r="R36" s="402"/>
      <c r="S36" s="402"/>
      <c r="T36" s="402"/>
      <c r="U36" s="402"/>
      <c r="V36" s="402"/>
      <c r="W36" s="402"/>
      <c r="X36" s="402"/>
      <c r="Y36" s="402"/>
      <c r="Z36" s="402"/>
      <c r="AA36" s="402"/>
      <c r="AB36" s="402"/>
      <c r="AC36" s="402"/>
      <c r="AD36" s="313"/>
    </row>
    <row r="37" spans="2:30" s="10" customFormat="1" ht="5.0999999999999996" customHeight="1" x14ac:dyDescent="0.25">
      <c r="P37" s="402"/>
      <c r="Q37" s="402"/>
      <c r="R37" s="402"/>
      <c r="S37" s="402"/>
      <c r="T37" s="402"/>
      <c r="U37" s="402"/>
      <c r="V37" s="402"/>
      <c r="W37" s="402"/>
      <c r="X37" s="402"/>
      <c r="Y37" s="402"/>
      <c r="Z37" s="402"/>
      <c r="AA37" s="402"/>
      <c r="AB37" s="402"/>
      <c r="AC37" s="402"/>
      <c r="AD37" s="313"/>
    </row>
    <row r="38" spans="2:30" s="10" customFormat="1" ht="15.95" customHeight="1" x14ac:dyDescent="0.25">
      <c r="B38" s="11" t="s">
        <v>953</v>
      </c>
      <c r="C38" s="10" t="s">
        <v>725</v>
      </c>
      <c r="P38" s="402"/>
      <c r="Q38" s="412" t="s">
        <v>809</v>
      </c>
      <c r="R38" s="402"/>
      <c r="S38" s="402"/>
      <c r="T38" s="402"/>
      <c r="U38" s="402"/>
      <c r="V38" s="402"/>
      <c r="W38" s="402"/>
      <c r="X38" s="402"/>
      <c r="Y38" s="402"/>
      <c r="Z38" s="402"/>
      <c r="AA38" s="402"/>
      <c r="AB38" s="402"/>
      <c r="AC38" s="402"/>
      <c r="AD38" s="313"/>
    </row>
    <row r="39" spans="2:30" s="10" customFormat="1" ht="15.95" customHeight="1" x14ac:dyDescent="0.25">
      <c r="C39" s="10" t="str">
        <f>CONCATENATE(TEXT(R39,"$#,##0"),S39,TEXT(P39,"$#,##0"),Q39,"Dividends (d)",)</f>
        <v>$33,600 = $37,300 – Dividends (d)</v>
      </c>
      <c r="P39" s="410">
        <f>T31</f>
        <v>37300</v>
      </c>
      <c r="Q39" s="410" t="s">
        <v>1589</v>
      </c>
      <c r="R39" s="410">
        <f>AC24</f>
        <v>33600</v>
      </c>
      <c r="S39" s="410" t="s">
        <v>1587</v>
      </c>
      <c r="T39" s="410">
        <f>SUM(P39-R39)</f>
        <v>3700</v>
      </c>
      <c r="U39" s="451" t="s">
        <v>953</v>
      </c>
      <c r="V39" s="402"/>
      <c r="W39" s="402"/>
      <c r="X39" s="402"/>
      <c r="Y39" s="402"/>
      <c r="Z39" s="402"/>
      <c r="AA39" s="402"/>
      <c r="AB39" s="402"/>
      <c r="AC39" s="402"/>
      <c r="AD39" s="313"/>
    </row>
    <row r="40" spans="2:30" s="10" customFormat="1" ht="15.95" customHeight="1" x14ac:dyDescent="0.25">
      <c r="C40" s="10" t="str">
        <f>CONCATENATE("Dividends (d) = ",TEXT(T39,"$#,##0"),)</f>
        <v>Dividends (d) = $3,700</v>
      </c>
      <c r="P40" s="402"/>
      <c r="Q40" s="402"/>
      <c r="R40" s="402"/>
      <c r="S40" s="402"/>
      <c r="T40" s="402"/>
      <c r="U40" s="402"/>
      <c r="V40" s="402"/>
      <c r="W40" s="402"/>
      <c r="X40" s="402"/>
      <c r="Y40" s="402"/>
      <c r="Z40" s="402"/>
      <c r="AA40" s="402"/>
      <c r="AB40" s="402"/>
      <c r="AC40" s="402"/>
      <c r="AD40" s="313"/>
    </row>
    <row r="41" spans="2:30" s="10" customFormat="1" ht="9.9499999999999993" customHeight="1" x14ac:dyDescent="0.25">
      <c r="P41" s="402"/>
      <c r="Q41" s="402"/>
      <c r="R41" s="402"/>
      <c r="S41" s="402"/>
      <c r="T41" s="402"/>
      <c r="U41" s="402"/>
      <c r="V41" s="402"/>
      <c r="W41" s="402"/>
      <c r="X41" s="402"/>
      <c r="Y41" s="402"/>
      <c r="Z41" s="402"/>
      <c r="AA41" s="402"/>
      <c r="AB41" s="402"/>
      <c r="AC41" s="402"/>
      <c r="AD41" s="313"/>
    </row>
    <row r="42" spans="2:30" s="10" customFormat="1" ht="15.95" customHeight="1" x14ac:dyDescent="0.25">
      <c r="B42" s="10" t="s">
        <v>726</v>
      </c>
      <c r="P42" s="402"/>
      <c r="Q42" s="402"/>
      <c r="R42" s="402"/>
      <c r="S42" s="402"/>
      <c r="T42" s="402"/>
      <c r="U42" s="402"/>
      <c r="V42" s="402"/>
      <c r="W42" s="402"/>
      <c r="X42" s="402"/>
      <c r="Y42" s="402"/>
      <c r="Z42" s="402"/>
      <c r="AA42" s="402"/>
      <c r="AB42" s="402"/>
      <c r="AC42" s="402"/>
      <c r="AD42" s="313"/>
    </row>
    <row r="43" spans="2:30" s="10" customFormat="1" ht="5.0999999999999996" customHeight="1" x14ac:dyDescent="0.25">
      <c r="P43" s="402"/>
      <c r="Q43" s="402"/>
      <c r="R43" s="402"/>
      <c r="S43" s="402"/>
      <c r="T43" s="402"/>
      <c r="U43" s="402"/>
      <c r="V43" s="402"/>
      <c r="W43" s="402"/>
      <c r="X43" s="402"/>
      <c r="Y43" s="402"/>
      <c r="Z43" s="402"/>
      <c r="AA43" s="402"/>
      <c r="AB43" s="402"/>
      <c r="AC43" s="402"/>
      <c r="AD43" s="313"/>
    </row>
    <row r="44" spans="2:30" s="10" customFormat="1" ht="15.95" customHeight="1" x14ac:dyDescent="0.25">
      <c r="B44" s="11" t="s">
        <v>975</v>
      </c>
      <c r="C44" s="10" t="s">
        <v>727</v>
      </c>
      <c r="P44" s="402"/>
      <c r="Q44" s="402"/>
      <c r="R44" s="402"/>
      <c r="S44" s="402"/>
      <c r="T44" s="402"/>
      <c r="U44" s="402"/>
      <c r="V44" s="402"/>
      <c r="W44" s="402"/>
      <c r="X44" s="402"/>
      <c r="Y44" s="402"/>
      <c r="Z44" s="402"/>
      <c r="AA44" s="402"/>
      <c r="AB44" s="402"/>
      <c r="AC44" s="402"/>
      <c r="AD44" s="313"/>
    </row>
    <row r="45" spans="2:30" s="10" customFormat="1" ht="15.95" customHeight="1" x14ac:dyDescent="0.25">
      <c r="C45" s="10" t="str">
        <f>CONCATENATE(TEXT(P45,"$#,##0"),S45,"(g) – ",TEXT(R45,"$#,##0"),)</f>
        <v>$41,200 = (g) – $3,900</v>
      </c>
      <c r="P45" s="410">
        <f>AC30</f>
        <v>41200</v>
      </c>
      <c r="Q45" s="410" t="s">
        <v>1588</v>
      </c>
      <c r="R45" s="410">
        <f>AC28</f>
        <v>3900</v>
      </c>
      <c r="S45" s="410" t="s">
        <v>1587</v>
      </c>
      <c r="T45" s="410">
        <f>SUM(P45+R45)</f>
        <v>45100</v>
      </c>
      <c r="U45" s="451" t="s">
        <v>975</v>
      </c>
      <c r="V45" s="402"/>
      <c r="W45" s="402"/>
      <c r="X45" s="402"/>
      <c r="Y45" s="402"/>
      <c r="Z45" s="402"/>
      <c r="AA45" s="402"/>
      <c r="AB45" s="402"/>
      <c r="AC45" s="402"/>
      <c r="AD45" s="313"/>
    </row>
    <row r="46" spans="2:30" s="10" customFormat="1" ht="15.95" customHeight="1" x14ac:dyDescent="0.25">
      <c r="C46" s="10" t="str">
        <f>CONCATENATE("(g) = ",TEXT(T45,"$#,##0"),)</f>
        <v>(g) = $45,100</v>
      </c>
      <c r="E46" s="28"/>
      <c r="F46" s="28"/>
      <c r="P46" s="402"/>
      <c r="Q46" s="402"/>
      <c r="R46" s="402"/>
      <c r="S46" s="402"/>
      <c r="T46" s="402"/>
      <c r="U46" s="402"/>
      <c r="V46" s="402"/>
      <c r="W46" s="402"/>
      <c r="X46" s="402"/>
      <c r="Y46" s="402"/>
      <c r="Z46" s="402"/>
      <c r="AA46" s="402"/>
      <c r="AB46" s="402"/>
      <c r="AC46" s="402"/>
      <c r="AD46" s="313"/>
    </row>
    <row r="47" spans="2:30" s="10" customFormat="1" ht="5.0999999999999996" customHeight="1" x14ac:dyDescent="0.25">
      <c r="P47" s="402"/>
      <c r="Q47" s="402"/>
      <c r="R47" s="402"/>
      <c r="S47" s="402"/>
      <c r="T47" s="402"/>
      <c r="U47" s="402"/>
      <c r="V47" s="402"/>
      <c r="W47" s="402"/>
      <c r="X47" s="402"/>
      <c r="Y47" s="402"/>
      <c r="Z47" s="402"/>
      <c r="AA47" s="402"/>
      <c r="AB47" s="402"/>
      <c r="AC47" s="402"/>
      <c r="AD47" s="313"/>
    </row>
    <row r="48" spans="2:30" s="10" customFormat="1" ht="15.95" customHeight="1" x14ac:dyDescent="0.25">
      <c r="B48" s="11" t="s">
        <v>983</v>
      </c>
      <c r="C48" s="10" t="s">
        <v>728</v>
      </c>
      <c r="P48" s="402"/>
      <c r="Q48" s="412" t="s">
        <v>809</v>
      </c>
      <c r="R48" s="402"/>
      <c r="S48" s="402"/>
      <c r="T48" s="402"/>
      <c r="U48" s="402"/>
      <c r="V48" s="402"/>
      <c r="W48" s="402"/>
      <c r="X48" s="402"/>
      <c r="Y48" s="402"/>
      <c r="Z48" s="402"/>
      <c r="AA48" s="402"/>
      <c r="AB48" s="402"/>
      <c r="AC48" s="402"/>
      <c r="AD48" s="313"/>
    </row>
    <row r="49" spans="3:30" s="10" customFormat="1" ht="15.95" customHeight="1" x14ac:dyDescent="0.25">
      <c r="C49" s="12" t="str">
        <f>CONCATENATE(TEXT(R49,"$#,##0")," + Net Income (f) = ",TEXT(P49,"$#,##0"),)</f>
        <v>$33,600 + Net Income (f) = $45,100</v>
      </c>
      <c r="D49" s="12"/>
      <c r="E49" s="12"/>
      <c r="F49" s="12"/>
      <c r="P49" s="410">
        <f>T45</f>
        <v>45100</v>
      </c>
      <c r="Q49" s="410" t="s">
        <v>1589</v>
      </c>
      <c r="R49" s="410">
        <f>AC24</f>
        <v>33600</v>
      </c>
      <c r="S49" s="410" t="s">
        <v>1587</v>
      </c>
      <c r="T49" s="410">
        <f>SUM(P49-R49)</f>
        <v>11500</v>
      </c>
      <c r="U49" s="451" t="s">
        <v>983</v>
      </c>
      <c r="V49" s="402"/>
      <c r="W49" s="402"/>
      <c r="X49" s="402"/>
      <c r="Y49" s="402"/>
      <c r="Z49" s="402"/>
      <c r="AA49" s="402"/>
      <c r="AB49" s="402"/>
      <c r="AC49" s="402"/>
      <c r="AD49" s="313"/>
    </row>
    <row r="50" spans="3:30" s="10" customFormat="1" ht="15.95" customHeight="1" x14ac:dyDescent="0.25">
      <c r="C50" s="10" t="str">
        <f>CONCATENATE("Net Income (f) = ",TEXT(T49,"$#,##0"),)</f>
        <v>Net Income (f) = $11,500</v>
      </c>
      <c r="D50" s="12"/>
      <c r="P50" s="402"/>
      <c r="Q50" s="402"/>
      <c r="R50" s="402"/>
      <c r="S50" s="402"/>
      <c r="T50" s="402"/>
      <c r="U50" s="402"/>
      <c r="V50" s="402"/>
      <c r="W50" s="402"/>
      <c r="X50" s="402"/>
      <c r="Y50" s="402"/>
      <c r="Z50" s="402"/>
      <c r="AA50" s="402"/>
      <c r="AB50" s="402"/>
      <c r="AC50" s="402"/>
      <c r="AD50" s="313"/>
    </row>
    <row r="51" spans="3:30" s="10" customFormat="1" ht="5.0999999999999996" customHeight="1" x14ac:dyDescent="0.25">
      <c r="E51" s="356"/>
      <c r="F51" s="356"/>
      <c r="P51" s="402"/>
      <c r="Q51" s="402"/>
      <c r="R51" s="402"/>
      <c r="S51" s="402"/>
      <c r="T51" s="402"/>
      <c r="U51" s="402"/>
      <c r="V51" s="402"/>
      <c r="W51" s="402"/>
      <c r="X51" s="402"/>
      <c r="Y51" s="402"/>
      <c r="Z51" s="402"/>
      <c r="AA51" s="402"/>
      <c r="AB51" s="402"/>
      <c r="AC51" s="402"/>
      <c r="AD51" s="313"/>
    </row>
    <row r="52" spans="3:30" ht="15.95" customHeight="1" x14ac:dyDescent="0.2">
      <c r="W52" s="402"/>
      <c r="X52" s="402"/>
      <c r="Y52" s="402"/>
      <c r="Z52" s="402"/>
      <c r="AA52" s="402"/>
      <c r="AB52" s="402"/>
    </row>
    <row r="53" spans="3:30" ht="15.95" customHeight="1" x14ac:dyDescent="0.2">
      <c r="W53" s="402"/>
      <c r="X53" s="402"/>
      <c r="Y53" s="402"/>
      <c r="Z53" s="402"/>
      <c r="AA53" s="402"/>
      <c r="AB53" s="402"/>
    </row>
    <row r="54" spans="3:30" ht="15.95" customHeight="1" x14ac:dyDescent="0.2">
      <c r="W54" s="402"/>
      <c r="X54" s="402"/>
      <c r="Y54" s="402"/>
      <c r="Z54" s="402"/>
      <c r="AA54" s="402"/>
      <c r="AB54" s="402"/>
    </row>
    <row r="55" spans="3:30" ht="15.95" customHeight="1" x14ac:dyDescent="0.2">
      <c r="W55" s="402"/>
      <c r="X55" s="402"/>
      <c r="Y55" s="402"/>
    </row>
    <row r="56" spans="3:30" ht="15.95" customHeight="1" x14ac:dyDescent="0.2">
      <c r="W56" s="402"/>
      <c r="X56" s="402"/>
      <c r="Y56" s="402"/>
    </row>
    <row r="57" spans="3:30" ht="15.95" customHeight="1" x14ac:dyDescent="0.2"/>
    <row r="58" spans="3:30" ht="15.95" customHeight="1" x14ac:dyDescent="0.2"/>
    <row r="59" spans="3:30" ht="15.95" customHeight="1" x14ac:dyDescent="0.2"/>
    <row r="60" spans="3:30" ht="15.95" customHeight="1" x14ac:dyDescent="0.2"/>
  </sheetData>
  <customSheetViews>
    <customSheetView guid="{B2DDA8C4-3089-41F7-BA6E-A0E09596A2CA}" scale="70" showPageBreaks="1" fitToPage="1" printArea="1">
      <selection activeCell="D50" sqref="D50"/>
      <pageMargins left="0.75" right="1" top="0.85" bottom="0.8" header="0.5" footer="0.35"/>
      <printOptions horizontalCentered="1"/>
      <pageSetup scale="93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90" showPageBreaks="1" fitToPage="1" printArea="1">
      <selection activeCell="L32" sqref="L32"/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90" fitToPage="1">
      <selection activeCell="L32" sqref="L32"/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selection activeCell="D50" sqref="D50"/>
      <pageMargins left="0.75" right="1" top="0.85" bottom="0.8" header="0.5" footer="0.35"/>
      <printOptions horizontalCentered="1"/>
      <pageSetup scale="92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selection activeCell="D50" sqref="D50"/>
      <pageMargins left="0.75" right="1" top="0.85" bottom="0.8" header="0.5" footer="0.35"/>
      <printOptions horizontalCentered="1"/>
      <pageSetup scale="93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6">
    <mergeCell ref="E51:F51"/>
    <mergeCell ref="J28:K28"/>
    <mergeCell ref="J36:K36"/>
    <mergeCell ref="B4:N4"/>
    <mergeCell ref="B5:N5"/>
    <mergeCell ref="B6:N6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drawing r:id="rId7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59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2" width="4.7109375" style="2" customWidth="1"/>
    <col min="3" max="3" width="2.7109375" style="2" customWidth="1"/>
    <col min="4" max="4" width="10.7109375" style="2" customWidth="1"/>
    <col min="5" max="5" width="9.140625" style="2"/>
    <col min="6" max="6" width="10" style="2" customWidth="1"/>
    <col min="7" max="7" width="11.5703125" style="2" customWidth="1"/>
    <col min="8" max="8" width="6.5703125" style="2" customWidth="1"/>
    <col min="9" max="9" width="9.42578125" style="2" customWidth="1"/>
    <col min="10" max="10" width="1.7109375" style="2" customWidth="1"/>
    <col min="11" max="11" width="11.7109375" style="2" customWidth="1"/>
    <col min="12" max="12" width="1.7109375" style="2" customWidth="1"/>
    <col min="13" max="13" width="11.28515625" style="2" customWidth="1"/>
    <col min="14" max="14" width="2.7109375" style="2" customWidth="1"/>
    <col min="15" max="15" width="6" style="2" customWidth="1"/>
    <col min="16" max="16" width="9.140625" style="312"/>
    <col min="17" max="17" width="2.7109375" style="312" customWidth="1"/>
    <col min="18" max="18" width="0" style="407" hidden="1" customWidth="1"/>
    <col min="19" max="19" width="2.7109375" style="407" hidden="1" customWidth="1"/>
    <col min="20" max="20" width="0" style="407" hidden="1" customWidth="1"/>
    <col min="21" max="21" width="2.7109375" style="312" customWidth="1"/>
    <col min="22" max="22" width="8.7109375" style="312" customWidth="1"/>
    <col min="23" max="23" width="13.28515625" style="312" customWidth="1"/>
    <col min="24" max="24" width="8.7109375" style="2" customWidth="1"/>
    <col min="25" max="25" width="2.7109375" style="2" customWidth="1"/>
    <col min="26" max="26" width="8.7109375" style="2" customWidth="1"/>
    <col min="27" max="27" width="2.7109375" style="97" customWidth="1"/>
    <col min="28" max="28" width="8.7109375" style="2" customWidth="1"/>
    <col min="29" max="29" width="2.7109375" style="2" customWidth="1"/>
    <col min="30" max="30" width="8.7109375" style="2" customWidth="1"/>
    <col min="31" max="31" width="2.7109375" style="2" customWidth="1"/>
    <col min="32" max="16384" width="9.140625" style="2"/>
  </cols>
  <sheetData>
    <row r="1" spans="2:28" ht="28.5" customHeight="1" x14ac:dyDescent="0.2"/>
    <row r="2" spans="2:28" ht="15.95" customHeight="1" x14ac:dyDescent="0.25">
      <c r="B2" s="26" t="s">
        <v>1191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U2" s="316"/>
      <c r="V2" s="316"/>
      <c r="W2" s="218"/>
      <c r="X2" s="48"/>
      <c r="Y2" s="48"/>
      <c r="Z2" s="48"/>
      <c r="AA2" s="207"/>
      <c r="AB2" s="48"/>
    </row>
    <row r="3" spans="2:28" ht="5.0999999999999996" customHeight="1" x14ac:dyDescent="0.25">
      <c r="B3" s="2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U3" s="316"/>
      <c r="V3" s="316"/>
      <c r="W3" s="218"/>
      <c r="X3" s="48"/>
      <c r="Y3" s="48"/>
      <c r="Z3" s="48"/>
      <c r="AA3" s="207"/>
      <c r="AB3" s="48"/>
    </row>
    <row r="4" spans="2:28" s="10" customFormat="1" ht="15.95" customHeight="1" x14ac:dyDescent="0.25">
      <c r="B4" s="11" t="s">
        <v>758</v>
      </c>
      <c r="C4" s="363" t="s">
        <v>729</v>
      </c>
      <c r="D4" s="363"/>
      <c r="E4" s="363"/>
      <c r="F4" s="363"/>
      <c r="G4" s="363"/>
      <c r="H4" s="363"/>
      <c r="I4" s="363"/>
      <c r="J4" s="363"/>
      <c r="K4" s="363"/>
      <c r="L4" s="363"/>
      <c r="M4" s="363"/>
      <c r="P4" s="313"/>
      <c r="Q4" s="313"/>
      <c r="R4" s="402"/>
      <c r="S4" s="402"/>
      <c r="T4" s="402"/>
      <c r="U4" s="218"/>
      <c r="V4" s="218"/>
      <c r="W4" s="218"/>
      <c r="X4" s="26"/>
      <c r="Y4" s="26"/>
      <c r="Z4" s="26"/>
      <c r="AA4" s="20"/>
      <c r="AB4" s="26"/>
    </row>
    <row r="5" spans="2:28" s="10" customFormat="1" ht="15.95" customHeight="1" x14ac:dyDescent="0.25">
      <c r="C5" s="363" t="s">
        <v>467</v>
      </c>
      <c r="D5" s="363"/>
      <c r="E5" s="363"/>
      <c r="F5" s="363"/>
      <c r="G5" s="363"/>
      <c r="H5" s="363"/>
      <c r="I5" s="363"/>
      <c r="J5" s="363"/>
      <c r="K5" s="363"/>
      <c r="L5" s="363"/>
      <c r="M5" s="363"/>
      <c r="P5" s="313"/>
      <c r="Q5" s="313"/>
      <c r="R5" s="402"/>
      <c r="S5" s="402"/>
      <c r="T5" s="402"/>
      <c r="U5" s="218"/>
      <c r="V5" s="218"/>
      <c r="W5" s="313"/>
      <c r="Y5" s="26"/>
      <c r="Z5" s="26"/>
      <c r="AB5" s="26"/>
    </row>
    <row r="6" spans="2:28" s="10" customFormat="1" ht="15.95" customHeight="1" x14ac:dyDescent="0.25">
      <c r="C6" s="372" t="s">
        <v>1118</v>
      </c>
      <c r="D6" s="372"/>
      <c r="E6" s="372"/>
      <c r="F6" s="372"/>
      <c r="G6" s="372"/>
      <c r="H6" s="372"/>
      <c r="I6" s="372"/>
      <c r="J6" s="372"/>
      <c r="K6" s="372"/>
      <c r="L6" s="372"/>
      <c r="M6" s="372"/>
      <c r="P6" s="313"/>
      <c r="Q6" s="313"/>
      <c r="R6" s="402"/>
      <c r="S6" s="402"/>
      <c r="T6" s="402"/>
      <c r="U6" s="218"/>
      <c r="V6" s="218"/>
      <c r="W6" s="313"/>
      <c r="Y6" s="26"/>
      <c r="Z6" s="26"/>
      <c r="AB6" s="26"/>
    </row>
    <row r="7" spans="2:28" s="10" customFormat="1" ht="5.0999999999999996" customHeight="1" x14ac:dyDescent="0.25">
      <c r="P7" s="313"/>
      <c r="Q7" s="313"/>
      <c r="R7" s="402"/>
      <c r="S7" s="402"/>
      <c r="T7" s="402"/>
      <c r="U7" s="218"/>
      <c r="V7" s="218"/>
      <c r="W7" s="313"/>
      <c r="Y7" s="26"/>
      <c r="Z7" s="26"/>
      <c r="AB7" s="26"/>
    </row>
    <row r="8" spans="2:28" s="10" customFormat="1" ht="15.95" customHeight="1" x14ac:dyDescent="0.25">
      <c r="C8" s="10" t="s">
        <v>469</v>
      </c>
      <c r="I8" s="26"/>
      <c r="P8" s="313"/>
      <c r="Q8" s="313"/>
      <c r="R8" s="402"/>
      <c r="S8" s="402"/>
      <c r="T8" s="418" t="s">
        <v>1682</v>
      </c>
      <c r="U8" s="218"/>
      <c r="V8" s="218"/>
      <c r="W8" s="313"/>
      <c r="Y8" s="26"/>
      <c r="Z8" s="26"/>
      <c r="AB8" s="26"/>
    </row>
    <row r="9" spans="2:28" s="10" customFormat="1" ht="15.95" customHeight="1" x14ac:dyDescent="0.25">
      <c r="C9" s="69" t="s">
        <v>731</v>
      </c>
      <c r="J9" s="10" t="s">
        <v>337</v>
      </c>
      <c r="K9" s="83" t="s">
        <v>337</v>
      </c>
      <c r="L9" s="25"/>
      <c r="M9" s="17">
        <f>T9</f>
        <v>948670</v>
      </c>
      <c r="P9" s="313"/>
      <c r="Q9" s="313"/>
      <c r="R9" s="402"/>
      <c r="S9" s="405" t="s">
        <v>322</v>
      </c>
      <c r="T9" s="409">
        <v>948670</v>
      </c>
      <c r="U9" s="218"/>
      <c r="V9" s="218"/>
      <c r="W9" s="313"/>
      <c r="Y9" s="26"/>
      <c r="Z9" s="26"/>
      <c r="AB9" s="26"/>
    </row>
    <row r="10" spans="2:28" s="10" customFormat="1" ht="15.95" customHeight="1" x14ac:dyDescent="0.25">
      <c r="C10" s="10" t="s">
        <v>470</v>
      </c>
      <c r="K10" s="83"/>
      <c r="L10" s="25"/>
      <c r="M10" s="25"/>
      <c r="P10" s="313"/>
      <c r="Q10" s="313"/>
      <c r="R10" s="402"/>
      <c r="S10" s="402"/>
      <c r="T10" s="402"/>
      <c r="U10" s="218"/>
      <c r="V10" s="218"/>
      <c r="W10" s="313"/>
      <c r="Y10" s="26"/>
      <c r="Z10" s="26"/>
      <c r="AB10" s="26"/>
    </row>
    <row r="11" spans="2:28" s="10" customFormat="1" ht="15.95" customHeight="1" x14ac:dyDescent="0.25">
      <c r="C11" s="69" t="s">
        <v>561</v>
      </c>
      <c r="J11" s="10" t="s">
        <v>337</v>
      </c>
      <c r="K11" s="41">
        <f>T11</f>
        <v>511350</v>
      </c>
      <c r="L11" s="25"/>
      <c r="M11" s="25"/>
      <c r="P11" s="313"/>
      <c r="Q11" s="313"/>
      <c r="R11" s="402"/>
      <c r="S11" s="405" t="s">
        <v>1499</v>
      </c>
      <c r="T11" s="409">
        <v>511350</v>
      </c>
      <c r="U11" s="218"/>
      <c r="V11" s="218"/>
      <c r="W11" s="313"/>
      <c r="Y11" s="26"/>
      <c r="Z11" s="26"/>
      <c r="AB11" s="26"/>
    </row>
    <row r="12" spans="2:28" s="10" customFormat="1" ht="15.95" customHeight="1" x14ac:dyDescent="0.25">
      <c r="C12" s="69" t="s">
        <v>562</v>
      </c>
      <c r="J12" s="10" t="s">
        <v>337</v>
      </c>
      <c r="K12" s="78">
        <f>T12</f>
        <v>127710</v>
      </c>
      <c r="L12" s="25"/>
      <c r="M12" s="25"/>
      <c r="P12" s="313"/>
      <c r="Q12" s="313"/>
      <c r="R12" s="402"/>
      <c r="S12" s="405" t="s">
        <v>1068</v>
      </c>
      <c r="T12" s="409">
        <v>127710</v>
      </c>
      <c r="U12" s="218"/>
      <c r="V12" s="218"/>
      <c r="W12" s="313"/>
      <c r="Y12" s="26"/>
      <c r="Z12" s="26"/>
      <c r="AB12" s="26"/>
    </row>
    <row r="13" spans="2:28" s="10" customFormat="1" ht="15.95" customHeight="1" x14ac:dyDescent="0.25">
      <c r="C13" s="69" t="s">
        <v>563</v>
      </c>
      <c r="J13" s="10" t="s">
        <v>337</v>
      </c>
      <c r="K13" s="78">
        <f t="shared" ref="K13:K19" si="0">T13</f>
        <v>101000</v>
      </c>
      <c r="L13" s="25"/>
      <c r="M13" s="25"/>
      <c r="P13" s="313"/>
      <c r="Q13" s="313"/>
      <c r="R13" s="402"/>
      <c r="S13" s="405" t="s">
        <v>798</v>
      </c>
      <c r="T13" s="409">
        <v>101000</v>
      </c>
      <c r="U13" s="218"/>
      <c r="V13" s="218"/>
      <c r="W13" s="313"/>
      <c r="Y13" s="26"/>
      <c r="Z13" s="26"/>
      <c r="AB13" s="26"/>
    </row>
    <row r="14" spans="2:28" s="10" customFormat="1" ht="15.95" customHeight="1" x14ac:dyDescent="0.25">
      <c r="C14" s="69" t="s">
        <v>564</v>
      </c>
      <c r="J14" s="10" t="s">
        <v>337</v>
      </c>
      <c r="K14" s="78">
        <f t="shared" si="0"/>
        <v>80800</v>
      </c>
      <c r="L14" s="25"/>
      <c r="M14" s="25"/>
      <c r="P14" s="313"/>
      <c r="Q14" s="313"/>
      <c r="R14" s="402"/>
      <c r="S14" s="405" t="s">
        <v>23</v>
      </c>
      <c r="T14" s="409">
        <v>80800</v>
      </c>
      <c r="U14" s="218"/>
      <c r="V14" s="218"/>
      <c r="W14" s="313"/>
      <c r="Y14" s="26"/>
      <c r="Z14" s="26"/>
      <c r="AB14" s="26"/>
    </row>
    <row r="15" spans="2:28" s="10" customFormat="1" ht="15.95" customHeight="1" x14ac:dyDescent="0.25">
      <c r="C15" s="69" t="s">
        <v>565</v>
      </c>
      <c r="J15" s="10" t="s">
        <v>337</v>
      </c>
      <c r="K15" s="78">
        <f t="shared" si="0"/>
        <v>36610</v>
      </c>
      <c r="L15" s="25"/>
      <c r="M15" s="25"/>
      <c r="P15" s="313"/>
      <c r="Q15" s="313"/>
      <c r="R15" s="402"/>
      <c r="S15" s="405" t="s">
        <v>483</v>
      </c>
      <c r="T15" s="409">
        <v>36610</v>
      </c>
      <c r="U15" s="218"/>
      <c r="V15" s="218"/>
      <c r="W15" s="313"/>
      <c r="Y15" s="26"/>
      <c r="Z15" s="26"/>
      <c r="AB15" s="26"/>
    </row>
    <row r="16" spans="2:28" s="10" customFormat="1" ht="15.95" customHeight="1" x14ac:dyDescent="0.25">
      <c r="C16" s="69" t="s">
        <v>1057</v>
      </c>
      <c r="J16" s="10" t="s">
        <v>337</v>
      </c>
      <c r="K16" s="78">
        <f t="shared" si="0"/>
        <v>15500</v>
      </c>
      <c r="L16" s="25"/>
      <c r="M16" s="25"/>
      <c r="P16" s="313"/>
      <c r="Q16" s="313"/>
      <c r="R16" s="402"/>
      <c r="S16" s="405" t="s">
        <v>474</v>
      </c>
      <c r="T16" s="409">
        <v>15500</v>
      </c>
      <c r="U16" s="218"/>
      <c r="V16" s="218"/>
      <c r="W16" s="313"/>
      <c r="Y16" s="26"/>
      <c r="Z16" s="26"/>
      <c r="AB16" s="26"/>
    </row>
    <row r="17" spans="2:28" s="10" customFormat="1" ht="15.95" customHeight="1" x14ac:dyDescent="0.25">
      <c r="C17" s="69" t="s">
        <v>500</v>
      </c>
      <c r="J17" s="10" t="s">
        <v>337</v>
      </c>
      <c r="K17" s="78">
        <f t="shared" si="0"/>
        <v>12000</v>
      </c>
      <c r="L17" s="25"/>
      <c r="M17" s="25"/>
      <c r="P17" s="313"/>
      <c r="Q17" s="313"/>
      <c r="R17" s="402"/>
      <c r="S17" s="405" t="s">
        <v>498</v>
      </c>
      <c r="T17" s="409">
        <v>12000</v>
      </c>
      <c r="U17" s="218"/>
      <c r="V17" s="218"/>
      <c r="W17" s="313"/>
      <c r="Y17" s="26"/>
      <c r="Z17" s="26"/>
      <c r="AB17" s="26"/>
    </row>
    <row r="18" spans="2:28" s="10" customFormat="1" ht="15.95" customHeight="1" x14ac:dyDescent="0.25">
      <c r="C18" s="69" t="s">
        <v>502</v>
      </c>
      <c r="J18" s="10" t="s">
        <v>337</v>
      </c>
      <c r="K18" s="78">
        <f t="shared" si="0"/>
        <v>11050</v>
      </c>
      <c r="L18" s="25"/>
      <c r="M18" s="25"/>
      <c r="P18" s="313"/>
      <c r="Q18" s="313"/>
      <c r="R18" s="402"/>
      <c r="S18" s="405" t="s">
        <v>566</v>
      </c>
      <c r="T18" s="409">
        <v>11050</v>
      </c>
      <c r="U18" s="218"/>
      <c r="V18" s="218"/>
      <c r="W18" s="313"/>
      <c r="Y18" s="26"/>
      <c r="Z18" s="26"/>
      <c r="AB18" s="26"/>
    </row>
    <row r="19" spans="2:28" s="10" customFormat="1" ht="15.95" customHeight="1" x14ac:dyDescent="0.25">
      <c r="C19" s="69" t="s">
        <v>499</v>
      </c>
      <c r="J19" s="10" t="s">
        <v>337</v>
      </c>
      <c r="K19" s="53">
        <f t="shared" si="0"/>
        <v>16650</v>
      </c>
      <c r="L19" s="25"/>
      <c r="M19" s="25"/>
      <c r="P19" s="313"/>
      <c r="Q19" s="313"/>
      <c r="R19" s="402"/>
      <c r="S19" s="405" t="s">
        <v>501</v>
      </c>
      <c r="T19" s="409">
        <v>16650</v>
      </c>
      <c r="U19" s="218"/>
      <c r="V19" s="218"/>
      <c r="W19" s="313"/>
      <c r="Y19" s="26"/>
      <c r="Z19" s="26"/>
      <c r="AB19" s="26"/>
    </row>
    <row r="20" spans="2:28" s="10" customFormat="1" ht="15.95" customHeight="1" x14ac:dyDescent="0.25">
      <c r="C20" s="158" t="s">
        <v>705</v>
      </c>
      <c r="J20" s="10" t="s">
        <v>337</v>
      </c>
      <c r="K20" s="83" t="s">
        <v>337</v>
      </c>
      <c r="L20" s="25"/>
      <c r="M20" s="53">
        <f>SUM(K11:K19)</f>
        <v>912670</v>
      </c>
      <c r="P20" s="313"/>
      <c r="Q20" s="313"/>
      <c r="R20" s="402"/>
      <c r="S20" s="402"/>
      <c r="T20" s="402"/>
      <c r="U20" s="218"/>
      <c r="V20" s="218"/>
      <c r="W20" s="218"/>
      <c r="X20" s="99"/>
      <c r="Y20" s="26"/>
      <c r="Z20" s="26"/>
      <c r="AB20" s="26"/>
    </row>
    <row r="21" spans="2:28" s="10" customFormat="1" ht="15.95" customHeight="1" thickBot="1" x14ac:dyDescent="0.3">
      <c r="C21" s="10" t="s">
        <v>706</v>
      </c>
      <c r="J21" s="10" t="s">
        <v>337</v>
      </c>
      <c r="K21" s="83" t="s">
        <v>337</v>
      </c>
      <c r="L21" s="25"/>
      <c r="M21" s="54">
        <f>M9-M20</f>
        <v>36000</v>
      </c>
      <c r="P21" s="313"/>
      <c r="Q21" s="313"/>
      <c r="R21" s="402"/>
      <c r="S21" s="402"/>
      <c r="T21" s="402"/>
      <c r="U21" s="218"/>
      <c r="V21" s="218"/>
      <c r="W21" s="313"/>
      <c r="Y21" s="26"/>
      <c r="Z21" s="26"/>
      <c r="AB21" s="26"/>
    </row>
    <row r="22" spans="2:28" s="10" customFormat="1" ht="9.9499999999999993" customHeight="1" thickTop="1" x14ac:dyDescent="0.25"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P22" s="313"/>
      <c r="Q22" s="313"/>
      <c r="R22" s="402"/>
      <c r="S22" s="402"/>
      <c r="T22" s="402"/>
      <c r="U22" s="218"/>
      <c r="V22" s="218"/>
      <c r="W22" s="313"/>
      <c r="Y22" s="26"/>
      <c r="Z22" s="26"/>
      <c r="AB22" s="26"/>
    </row>
    <row r="23" spans="2:28" s="10" customFormat="1" ht="15.95" customHeight="1" x14ac:dyDescent="0.25">
      <c r="C23" s="360" t="s">
        <v>729</v>
      </c>
      <c r="D23" s="360"/>
      <c r="E23" s="360"/>
      <c r="F23" s="360"/>
      <c r="G23" s="360"/>
      <c r="H23" s="360"/>
      <c r="I23" s="360"/>
      <c r="J23" s="360"/>
      <c r="K23" s="360"/>
      <c r="L23" s="360"/>
      <c r="M23" s="360"/>
      <c r="P23" s="313"/>
      <c r="Q23" s="313"/>
      <c r="R23" s="402"/>
      <c r="S23" s="402"/>
      <c r="T23" s="402"/>
      <c r="U23" s="218"/>
      <c r="V23" s="218"/>
      <c r="W23" s="313"/>
      <c r="Y23" s="26"/>
      <c r="Z23" s="26"/>
      <c r="AB23" s="26"/>
    </row>
    <row r="24" spans="2:28" s="10" customFormat="1" ht="15.95" customHeight="1" x14ac:dyDescent="0.25">
      <c r="C24" s="363" t="s">
        <v>1065</v>
      </c>
      <c r="D24" s="363"/>
      <c r="E24" s="363"/>
      <c r="F24" s="363"/>
      <c r="G24" s="363"/>
      <c r="H24" s="363"/>
      <c r="I24" s="363"/>
      <c r="J24" s="363"/>
      <c r="K24" s="363"/>
      <c r="L24" s="363"/>
      <c r="M24" s="363"/>
      <c r="P24" s="313"/>
      <c r="Q24" s="313"/>
      <c r="R24" s="402"/>
      <c r="S24" s="402"/>
      <c r="T24" s="402"/>
      <c r="U24" s="218"/>
      <c r="V24" s="218"/>
      <c r="W24" s="313"/>
      <c r="Y24" s="26"/>
      <c r="Z24" s="26"/>
      <c r="AB24" s="26"/>
    </row>
    <row r="25" spans="2:28" s="10" customFormat="1" ht="15.95" customHeight="1" x14ac:dyDescent="0.25">
      <c r="C25" s="372" t="s">
        <v>1118</v>
      </c>
      <c r="D25" s="372"/>
      <c r="E25" s="372"/>
      <c r="F25" s="372"/>
      <c r="G25" s="372"/>
      <c r="H25" s="372"/>
      <c r="I25" s="372"/>
      <c r="J25" s="372"/>
      <c r="K25" s="372"/>
      <c r="L25" s="372"/>
      <c r="M25" s="372"/>
      <c r="P25" s="313"/>
      <c r="Q25" s="313"/>
      <c r="R25" s="402"/>
      <c r="S25" s="402"/>
      <c r="T25" s="402"/>
      <c r="U25" s="218"/>
      <c r="V25" s="218"/>
      <c r="W25" s="313"/>
      <c r="Y25" s="26"/>
      <c r="Z25" s="26"/>
      <c r="AB25" s="26"/>
    </row>
    <row r="26" spans="2:28" s="10" customFormat="1" ht="5.0999999999999996" customHeight="1" x14ac:dyDescent="0.25">
      <c r="I26" s="26"/>
      <c r="P26" s="313"/>
      <c r="Q26" s="313"/>
      <c r="R26" s="402"/>
      <c r="S26" s="402"/>
      <c r="T26" s="402"/>
      <c r="U26" s="218"/>
      <c r="V26" s="218"/>
      <c r="W26" s="218"/>
      <c r="X26" s="99"/>
      <c r="Y26" s="26"/>
      <c r="Z26" s="26"/>
      <c r="AB26" s="26"/>
    </row>
    <row r="27" spans="2:28" s="10" customFormat="1" ht="15.95" customHeight="1" x14ac:dyDescent="0.25">
      <c r="C27" s="10" t="s">
        <v>625</v>
      </c>
      <c r="I27" s="26"/>
      <c r="L27" s="21" t="s">
        <v>337</v>
      </c>
      <c r="M27" s="64">
        <f>T27</f>
        <v>54000</v>
      </c>
      <c r="P27" s="313"/>
      <c r="Q27" s="313"/>
      <c r="R27" s="402"/>
      <c r="S27" s="405" t="s">
        <v>1125</v>
      </c>
      <c r="T27" s="409">
        <v>54000</v>
      </c>
      <c r="U27" s="218"/>
      <c r="V27" s="218"/>
      <c r="W27" s="313"/>
      <c r="Y27" s="26"/>
      <c r="Z27" s="26"/>
      <c r="AB27" s="26"/>
    </row>
    <row r="28" spans="2:28" s="10" customFormat="1" ht="15.95" customHeight="1" x14ac:dyDescent="0.25">
      <c r="C28" s="10" t="s">
        <v>1067</v>
      </c>
      <c r="I28" s="26"/>
      <c r="L28" s="50" t="s">
        <v>337</v>
      </c>
      <c r="M28" s="53">
        <f>T28</f>
        <v>36000</v>
      </c>
      <c r="P28" s="313"/>
      <c r="Q28" s="313"/>
      <c r="R28" s="402"/>
      <c r="S28" s="405" t="s">
        <v>17</v>
      </c>
      <c r="T28" s="409">
        <f>M21</f>
        <v>36000</v>
      </c>
      <c r="U28" s="218"/>
      <c r="V28" s="218"/>
      <c r="W28" s="313"/>
      <c r="Y28" s="26"/>
      <c r="Z28" s="26"/>
      <c r="AB28" s="26"/>
    </row>
    <row r="29" spans="2:28" s="10" customFormat="1" ht="15.95" customHeight="1" thickBot="1" x14ac:dyDescent="0.3">
      <c r="C29" s="10" t="s">
        <v>626</v>
      </c>
      <c r="I29" s="26"/>
      <c r="L29" s="45" t="s">
        <v>337</v>
      </c>
      <c r="M29" s="54">
        <f>SUM(M27:M28)</f>
        <v>90000</v>
      </c>
      <c r="P29" s="313"/>
      <c r="Q29" s="313"/>
      <c r="R29" s="402"/>
      <c r="S29" s="402"/>
      <c r="T29" s="402"/>
      <c r="U29" s="218"/>
      <c r="V29" s="218"/>
      <c r="W29" s="313"/>
      <c r="Y29" s="26"/>
      <c r="Z29" s="26"/>
      <c r="AB29" s="26"/>
    </row>
    <row r="30" spans="2:28" s="10" customFormat="1" ht="5.0999999999999996" customHeight="1" thickTop="1" x14ac:dyDescent="0.25">
      <c r="I30" s="26"/>
      <c r="L30" s="45"/>
      <c r="M30" s="64"/>
      <c r="P30" s="313"/>
      <c r="Q30" s="313"/>
      <c r="R30" s="402"/>
      <c r="S30" s="402"/>
      <c r="T30" s="402"/>
      <c r="U30" s="218"/>
      <c r="V30" s="218"/>
      <c r="W30" s="218"/>
      <c r="X30" s="99"/>
      <c r="Y30" s="26"/>
      <c r="Z30" s="26"/>
      <c r="AB30" s="26"/>
    </row>
    <row r="31" spans="2:28" s="10" customFormat="1" ht="15.95" customHeight="1" x14ac:dyDescent="0.25">
      <c r="B31" s="25" t="s">
        <v>748</v>
      </c>
      <c r="C31" s="76" t="s">
        <v>1558</v>
      </c>
      <c r="D31" s="26"/>
      <c r="E31" s="26"/>
      <c r="F31" s="26"/>
      <c r="G31" s="26"/>
      <c r="H31" s="26"/>
      <c r="I31" s="26"/>
      <c r="J31" s="26"/>
      <c r="K31" s="64"/>
      <c r="L31" s="45"/>
      <c r="M31" s="26"/>
      <c r="N31" s="26"/>
      <c r="O31" s="26"/>
      <c r="P31" s="313"/>
      <c r="Q31" s="313"/>
      <c r="R31" s="402"/>
      <c r="S31" s="402"/>
      <c r="T31" s="402"/>
      <c r="U31" s="218"/>
      <c r="V31" s="218"/>
      <c r="W31" s="218"/>
      <c r="X31" s="99"/>
      <c r="Y31" s="26"/>
      <c r="Z31" s="26"/>
      <c r="AB31" s="26"/>
    </row>
    <row r="32" spans="2:28" s="10" customFormat="1" ht="5.0999999999999996" customHeight="1" x14ac:dyDescent="0.25">
      <c r="P32" s="313"/>
      <c r="Q32" s="313"/>
      <c r="R32" s="402"/>
      <c r="S32" s="402"/>
      <c r="T32" s="402"/>
      <c r="U32" s="218"/>
      <c r="V32" s="218"/>
      <c r="W32" s="313"/>
      <c r="Y32" s="26"/>
      <c r="Z32" s="26"/>
      <c r="AB32" s="26"/>
    </row>
    <row r="33" spans="16:28" s="10" customFormat="1" ht="15.95" customHeight="1" x14ac:dyDescent="0.25">
      <c r="P33" s="313"/>
      <c r="Q33" s="313"/>
      <c r="R33" s="402"/>
      <c r="S33" s="402"/>
      <c r="T33" s="402"/>
      <c r="U33" s="218"/>
      <c r="V33" s="218"/>
      <c r="W33" s="313"/>
      <c r="Y33" s="26"/>
      <c r="Z33" s="26"/>
      <c r="AB33" s="26"/>
    </row>
    <row r="34" spans="16:28" s="10" customFormat="1" ht="15.95" customHeight="1" x14ac:dyDescent="0.25">
      <c r="P34" s="313"/>
      <c r="Q34" s="313"/>
      <c r="R34" s="402"/>
      <c r="S34" s="402"/>
      <c r="T34" s="402"/>
      <c r="U34" s="218"/>
      <c r="V34" s="218"/>
      <c r="W34" s="218"/>
      <c r="X34" s="26"/>
      <c r="Y34" s="26"/>
      <c r="Z34" s="26"/>
      <c r="AA34" s="20"/>
      <c r="AB34" s="26"/>
    </row>
    <row r="35" spans="16:28" s="10" customFormat="1" ht="15.95" customHeight="1" x14ac:dyDescent="0.25">
      <c r="P35" s="313"/>
      <c r="Q35" s="313"/>
      <c r="R35" s="402"/>
      <c r="S35" s="402"/>
      <c r="T35" s="402"/>
      <c r="U35" s="313"/>
      <c r="V35" s="313"/>
      <c r="W35" s="313"/>
      <c r="AA35" s="13"/>
    </row>
    <row r="36" spans="16:28" s="10" customFormat="1" ht="18" customHeight="1" x14ac:dyDescent="0.25">
      <c r="P36" s="313"/>
      <c r="Q36" s="313"/>
      <c r="R36" s="402"/>
      <c r="S36" s="402"/>
      <c r="T36" s="402"/>
      <c r="U36" s="313"/>
      <c r="V36" s="313"/>
      <c r="W36" s="313"/>
      <c r="AA36" s="13"/>
    </row>
    <row r="37" spans="16:28" s="10" customFormat="1" ht="17.100000000000001" customHeight="1" x14ac:dyDescent="0.25">
      <c r="P37" s="313"/>
      <c r="Q37" s="313"/>
      <c r="R37" s="402"/>
      <c r="S37" s="402"/>
      <c r="T37" s="402"/>
      <c r="U37" s="313"/>
      <c r="V37" s="313"/>
      <c r="W37" s="313"/>
      <c r="AA37" s="13"/>
    </row>
    <row r="38" spans="16:28" s="10" customFormat="1" ht="15.95" customHeight="1" x14ac:dyDescent="0.25">
      <c r="P38" s="313"/>
      <c r="Q38" s="313"/>
      <c r="R38" s="402"/>
      <c r="S38" s="402"/>
      <c r="T38" s="402"/>
      <c r="U38" s="313"/>
      <c r="V38" s="313"/>
      <c r="W38" s="313"/>
      <c r="AA38" s="13"/>
    </row>
    <row r="39" spans="16:28" s="10" customFormat="1" ht="15.95" customHeight="1" x14ac:dyDescent="0.25">
      <c r="P39" s="313"/>
      <c r="Q39" s="313"/>
      <c r="R39" s="402"/>
      <c r="S39" s="402"/>
      <c r="T39" s="402"/>
      <c r="U39" s="313"/>
      <c r="V39" s="313"/>
      <c r="W39" s="313"/>
      <c r="AA39" s="13"/>
    </row>
    <row r="40" spans="16:28" s="10" customFormat="1" ht="15.95" customHeight="1" x14ac:dyDescent="0.25">
      <c r="P40" s="313"/>
      <c r="Q40" s="313"/>
      <c r="R40" s="402"/>
      <c r="S40" s="402"/>
      <c r="T40" s="402"/>
      <c r="U40" s="313"/>
      <c r="V40" s="313"/>
      <c r="W40" s="313"/>
      <c r="AA40" s="13"/>
    </row>
    <row r="41" spans="16:28" s="10" customFormat="1" ht="15.95" customHeight="1" x14ac:dyDescent="0.25">
      <c r="P41" s="313"/>
      <c r="Q41" s="313"/>
      <c r="R41" s="402"/>
      <c r="S41" s="402"/>
      <c r="T41" s="402"/>
      <c r="U41" s="313"/>
      <c r="V41" s="313"/>
      <c r="W41" s="313"/>
      <c r="AA41" s="13"/>
    </row>
    <row r="42" spans="16:28" s="10" customFormat="1" ht="15.95" customHeight="1" x14ac:dyDescent="0.25">
      <c r="P42" s="313"/>
      <c r="Q42" s="313"/>
      <c r="R42" s="402"/>
      <c r="S42" s="402"/>
      <c r="T42" s="402"/>
      <c r="U42" s="313"/>
      <c r="V42" s="313"/>
      <c r="W42" s="313"/>
      <c r="AA42" s="13"/>
    </row>
    <row r="43" spans="16:28" s="10" customFormat="1" ht="15.95" customHeight="1" x14ac:dyDescent="0.25">
      <c r="P43" s="313"/>
      <c r="Q43" s="313"/>
      <c r="R43" s="402"/>
      <c r="S43" s="402"/>
      <c r="T43" s="402"/>
      <c r="U43" s="313"/>
      <c r="V43" s="313"/>
      <c r="W43" s="313"/>
      <c r="AA43" s="13"/>
    </row>
    <row r="44" spans="16:28" s="10" customFormat="1" ht="15.95" customHeight="1" x14ac:dyDescent="0.25">
      <c r="P44" s="313"/>
      <c r="Q44" s="313"/>
      <c r="R44" s="402"/>
      <c r="S44" s="402"/>
      <c r="T44" s="402"/>
      <c r="U44" s="313"/>
      <c r="V44" s="313"/>
      <c r="W44" s="313"/>
      <c r="AA44" s="13"/>
    </row>
    <row r="45" spans="16:28" s="10" customFormat="1" ht="15.95" customHeight="1" x14ac:dyDescent="0.25">
      <c r="P45" s="313"/>
      <c r="Q45" s="313"/>
      <c r="R45" s="402"/>
      <c r="S45" s="402"/>
      <c r="T45" s="402"/>
      <c r="U45" s="313"/>
      <c r="V45" s="313"/>
      <c r="W45" s="313"/>
      <c r="AA45" s="13"/>
    </row>
    <row r="46" spans="16:28" s="10" customFormat="1" ht="15.95" customHeight="1" x14ac:dyDescent="0.25">
      <c r="P46" s="313"/>
      <c r="Q46" s="313"/>
      <c r="R46" s="402"/>
      <c r="S46" s="402"/>
      <c r="T46" s="402"/>
      <c r="U46" s="313"/>
      <c r="V46" s="313"/>
      <c r="W46" s="313"/>
      <c r="AA46" s="13"/>
    </row>
    <row r="47" spans="16:28" s="10" customFormat="1" ht="15.95" customHeight="1" x14ac:dyDescent="0.25">
      <c r="P47" s="313"/>
      <c r="Q47" s="313"/>
      <c r="R47" s="402"/>
      <c r="S47" s="402"/>
      <c r="T47" s="402"/>
      <c r="U47" s="313"/>
      <c r="V47" s="313"/>
      <c r="W47" s="313"/>
      <c r="AA47" s="13"/>
    </row>
    <row r="48" spans="16:28" s="10" customFormat="1" ht="15.95" customHeight="1" x14ac:dyDescent="0.25">
      <c r="P48" s="313"/>
      <c r="Q48" s="313"/>
      <c r="R48" s="402"/>
      <c r="S48" s="402"/>
      <c r="T48" s="402"/>
      <c r="U48" s="313"/>
      <c r="V48" s="313"/>
      <c r="W48" s="313"/>
      <c r="AA48" s="13"/>
    </row>
    <row r="49" spans="2:27" s="10" customFormat="1" ht="17.100000000000001" customHeight="1" x14ac:dyDescent="0.25">
      <c r="P49" s="313"/>
      <c r="Q49" s="313"/>
      <c r="R49" s="402"/>
      <c r="S49" s="402"/>
      <c r="T49" s="402"/>
      <c r="U49" s="313"/>
      <c r="V49" s="313"/>
      <c r="W49" s="313"/>
      <c r="AA49" s="13"/>
    </row>
    <row r="50" spans="2:27" s="10" customFormat="1" ht="5.0999999999999996" customHeight="1" x14ac:dyDescent="0.25"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313"/>
      <c r="Q50" s="313"/>
      <c r="R50" s="402"/>
      <c r="S50" s="402"/>
      <c r="T50" s="402"/>
      <c r="U50" s="313"/>
      <c r="V50" s="313"/>
      <c r="W50" s="313"/>
      <c r="AA50" s="13"/>
    </row>
    <row r="51" spans="2:27" s="10" customFormat="1" ht="15" customHeight="1" x14ac:dyDescent="0.25">
      <c r="I51" s="26"/>
      <c r="P51" s="313"/>
      <c r="Q51" s="313"/>
      <c r="R51" s="402"/>
      <c r="S51" s="402"/>
      <c r="T51" s="402"/>
      <c r="U51" s="313"/>
      <c r="V51" s="313"/>
      <c r="W51" s="313"/>
      <c r="AA51" s="13"/>
    </row>
    <row r="52" spans="2:27" s="10" customFormat="1" ht="15" customHeight="1" x14ac:dyDescent="0.25">
      <c r="P52" s="313"/>
      <c r="Q52" s="313"/>
      <c r="R52" s="402"/>
      <c r="S52" s="402"/>
      <c r="T52" s="402"/>
      <c r="U52" s="313"/>
      <c r="V52" s="313"/>
      <c r="W52" s="313"/>
      <c r="AA52" s="13"/>
    </row>
    <row r="53" spans="2:27" s="10" customFormat="1" ht="15" customHeight="1" x14ac:dyDescent="0.25">
      <c r="P53" s="313"/>
      <c r="Q53" s="313"/>
      <c r="R53" s="402"/>
      <c r="S53" s="402"/>
      <c r="T53" s="402"/>
      <c r="U53" s="313"/>
      <c r="V53" s="313"/>
      <c r="W53" s="313"/>
      <c r="AA53" s="13"/>
    </row>
    <row r="54" spans="2:27" s="10" customFormat="1" ht="15" customHeight="1" x14ac:dyDescent="0.25">
      <c r="P54" s="313"/>
      <c r="Q54" s="313"/>
      <c r="R54" s="402"/>
      <c r="S54" s="402"/>
      <c r="T54" s="402"/>
      <c r="U54" s="313"/>
      <c r="V54" s="313"/>
      <c r="W54" s="313"/>
      <c r="AA54" s="13"/>
    </row>
    <row r="55" spans="2:27" s="10" customFormat="1" ht="15" customHeight="1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P55" s="313"/>
      <c r="Q55" s="313"/>
      <c r="R55" s="402"/>
      <c r="S55" s="402"/>
      <c r="T55" s="402"/>
      <c r="U55" s="313"/>
      <c r="V55" s="313"/>
      <c r="W55" s="313"/>
      <c r="AA55" s="13"/>
    </row>
    <row r="56" spans="2:27" ht="15.75" x14ac:dyDescent="0.25">
      <c r="W56" s="313"/>
      <c r="X56" s="10"/>
      <c r="Y56" s="10"/>
      <c r="Z56" s="10"/>
      <c r="AA56" s="13"/>
    </row>
    <row r="57" spans="2:27" ht="15.75" x14ac:dyDescent="0.25">
      <c r="W57" s="313"/>
      <c r="X57" s="10"/>
      <c r="Y57" s="10"/>
      <c r="Z57" s="10"/>
      <c r="AA57" s="13"/>
    </row>
    <row r="58" spans="2:27" ht="15.75" x14ac:dyDescent="0.25">
      <c r="W58" s="313"/>
      <c r="X58" s="10"/>
      <c r="Y58" s="10"/>
      <c r="Z58" s="10"/>
      <c r="AA58" s="13"/>
    </row>
    <row r="59" spans="2:27" ht="15.75" x14ac:dyDescent="0.25">
      <c r="W59" s="313"/>
      <c r="X59" s="10"/>
      <c r="Y59" s="10"/>
      <c r="Z59" s="10"/>
      <c r="AA59" s="13"/>
    </row>
  </sheetData>
  <customSheetViews>
    <customSheetView guid="{B2DDA8C4-3089-41F7-BA6E-A0E09596A2CA}" scale="70" showPageBreaks="1" fitToPage="1" printArea="1">
      <selection activeCell="A2" sqref="A2"/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35">
      <selection activeCell="A36" sqref="A36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 topLeftCell="A2">
      <selection activeCell="A2" sqref="A2"/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selection activeCell="A2" sqref="A2"/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selection activeCell="A2" sqref="A2"/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6">
    <mergeCell ref="C25:M25"/>
    <mergeCell ref="C24:M24"/>
    <mergeCell ref="C4:M4"/>
    <mergeCell ref="C5:M5"/>
    <mergeCell ref="C6:M6"/>
    <mergeCell ref="C23:M23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6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2" width="4.7109375" style="2" customWidth="1"/>
    <col min="3" max="3" width="2.7109375" style="2" customWidth="1"/>
    <col min="4" max="4" width="7.28515625" style="2" customWidth="1"/>
    <col min="5" max="5" width="11.7109375" style="2" customWidth="1"/>
    <col min="6" max="6" width="9.140625" style="2"/>
    <col min="7" max="7" width="7.42578125" style="2" customWidth="1"/>
    <col min="8" max="8" width="5.5703125" style="2" customWidth="1"/>
    <col min="9" max="9" width="1.42578125" style="2" customWidth="1"/>
    <col min="10" max="10" width="13.140625" style="2" customWidth="1"/>
    <col min="11" max="11" width="1.7109375" style="2" customWidth="1"/>
    <col min="12" max="12" width="12.28515625" style="2" customWidth="1"/>
    <col min="13" max="13" width="1.7109375" style="2" customWidth="1"/>
    <col min="14" max="14" width="12.28515625" style="2" customWidth="1"/>
    <col min="15" max="15" width="2.7109375" style="2" customWidth="1"/>
    <col min="16" max="16" width="10.7109375" style="334" customWidth="1"/>
    <col min="17" max="17" width="2.7109375" style="334" customWidth="1"/>
    <col min="18" max="18" width="10.7109375" style="450" hidden="1" customWidth="1"/>
    <col min="19" max="19" width="2.7109375" style="450" hidden="1" customWidth="1"/>
    <col min="20" max="20" width="10.7109375" style="450" hidden="1" customWidth="1"/>
    <col min="21" max="21" width="2.7109375" style="334" customWidth="1"/>
    <col min="22" max="22" width="9.140625" style="334"/>
    <col min="23" max="23" width="2.7109375" style="334" customWidth="1"/>
    <col min="24" max="24" width="12.5703125" style="334" bestFit="1" customWidth="1"/>
    <col min="25" max="25" width="2.7109375" style="2" customWidth="1"/>
    <col min="26" max="27" width="12.5703125" style="2" bestFit="1" customWidth="1"/>
    <col min="28" max="29" width="10.28515625" style="2" bestFit="1" customWidth="1"/>
    <col min="30" max="16384" width="9.140625" style="2"/>
  </cols>
  <sheetData>
    <row r="1" spans="1:20" ht="28.5" customHeight="1" x14ac:dyDescent="0.25">
      <c r="A1" s="64"/>
    </row>
    <row r="2" spans="1:20" ht="15.95" customHeight="1" x14ac:dyDescent="0.25">
      <c r="B2" s="10" t="s">
        <v>1258</v>
      </c>
      <c r="C2" s="10"/>
    </row>
    <row r="3" spans="1:20" ht="5.0999999999999996" customHeight="1" x14ac:dyDescent="0.25">
      <c r="B3" s="39"/>
      <c r="C3" s="39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20" ht="15.95" customHeight="1" x14ac:dyDescent="0.25">
      <c r="B4" s="363" t="s">
        <v>729</v>
      </c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</row>
    <row r="5" spans="1:20" ht="15.95" customHeight="1" x14ac:dyDescent="0.25">
      <c r="B5" s="363" t="s">
        <v>763</v>
      </c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</row>
    <row r="6" spans="1:20" ht="15.95" customHeight="1" x14ac:dyDescent="0.25">
      <c r="B6" s="381" t="s">
        <v>1119</v>
      </c>
      <c r="C6" s="381"/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</row>
    <row r="7" spans="1:20" ht="5.0999999999999996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20" ht="15.95" customHeight="1" x14ac:dyDescent="0.25">
      <c r="B8" s="357" t="s">
        <v>1490</v>
      </c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</row>
    <row r="9" spans="1:20" ht="15.95" customHeight="1" x14ac:dyDescent="0.25">
      <c r="B9" s="10" t="s">
        <v>872</v>
      </c>
      <c r="C9" s="10"/>
      <c r="D9" s="10"/>
      <c r="E9" s="10"/>
      <c r="F9" s="10"/>
      <c r="G9" s="10"/>
      <c r="H9" s="26"/>
      <c r="I9" s="26"/>
      <c r="J9" s="10"/>
      <c r="K9" s="10"/>
      <c r="L9" s="10"/>
      <c r="M9" s="10"/>
      <c r="N9" s="10"/>
      <c r="T9" s="418" t="s">
        <v>1682</v>
      </c>
    </row>
    <row r="10" spans="1:20" ht="15.95" customHeight="1" x14ac:dyDescent="0.25">
      <c r="B10" s="69" t="s">
        <v>1069</v>
      </c>
      <c r="C10" s="69"/>
      <c r="E10" s="10"/>
      <c r="F10" s="10"/>
      <c r="G10" s="10"/>
      <c r="H10" s="25"/>
      <c r="I10" s="25" t="s">
        <v>337</v>
      </c>
      <c r="J10" s="25" t="s">
        <v>337</v>
      </c>
      <c r="L10" s="185">
        <f>'1-34'!T10</f>
        <v>41450</v>
      </c>
      <c r="M10" s="41"/>
      <c r="N10" s="25"/>
      <c r="S10" s="405" t="s">
        <v>363</v>
      </c>
      <c r="T10" s="409">
        <v>41450</v>
      </c>
    </row>
    <row r="11" spans="1:20" ht="15.95" customHeight="1" x14ac:dyDescent="0.25">
      <c r="B11" s="69" t="s">
        <v>1070</v>
      </c>
      <c r="C11" s="69"/>
      <c r="E11" s="10"/>
      <c r="F11" s="10"/>
      <c r="G11" s="10"/>
      <c r="H11" s="25"/>
      <c r="I11" s="25" t="s">
        <v>337</v>
      </c>
      <c r="J11" s="25" t="s">
        <v>337</v>
      </c>
      <c r="L11" s="157">
        <f>'1-34'!T11</f>
        <v>69900</v>
      </c>
      <c r="M11" s="78"/>
      <c r="N11" s="25"/>
      <c r="S11" s="405" t="s">
        <v>792</v>
      </c>
      <c r="T11" s="409">
        <v>69900</v>
      </c>
    </row>
    <row r="12" spans="1:20" ht="15.95" customHeight="1" x14ac:dyDescent="0.25">
      <c r="B12" s="69" t="s">
        <v>1071</v>
      </c>
      <c r="C12" s="69"/>
      <c r="E12" s="10"/>
      <c r="F12" s="10"/>
      <c r="G12" s="10"/>
      <c r="H12" s="25"/>
      <c r="I12" s="25" t="s">
        <v>337</v>
      </c>
      <c r="J12" s="25" t="s">
        <v>337</v>
      </c>
      <c r="L12" s="194">
        <f>'1-34'!T12</f>
        <v>59850</v>
      </c>
      <c r="M12" s="78"/>
      <c r="N12" s="25"/>
      <c r="S12" s="405" t="s">
        <v>900</v>
      </c>
      <c r="T12" s="409">
        <v>59850</v>
      </c>
    </row>
    <row r="13" spans="1:20" ht="15.95" customHeight="1" x14ac:dyDescent="0.25">
      <c r="B13" s="158" t="s">
        <v>1072</v>
      </c>
      <c r="C13" s="69"/>
      <c r="E13" s="10"/>
      <c r="F13" s="10"/>
      <c r="G13" s="10"/>
      <c r="H13" s="83"/>
      <c r="I13" s="83" t="s">
        <v>337</v>
      </c>
      <c r="J13" s="25" t="s">
        <v>337</v>
      </c>
      <c r="K13" s="25" t="s">
        <v>337</v>
      </c>
      <c r="L13" s="25"/>
      <c r="M13" s="25"/>
      <c r="N13" s="155">
        <f>SUM(L10:L12)</f>
        <v>171200</v>
      </c>
    </row>
    <row r="14" spans="1:20" ht="15.95" customHeight="1" x14ac:dyDescent="0.25">
      <c r="B14" s="10" t="s">
        <v>403</v>
      </c>
      <c r="C14" s="10"/>
      <c r="D14" s="10"/>
      <c r="E14" s="10"/>
      <c r="F14" s="10"/>
      <c r="G14" s="10"/>
      <c r="H14" s="83"/>
      <c r="I14" s="83"/>
      <c r="J14" s="25"/>
      <c r="K14" s="25"/>
      <c r="L14" s="25"/>
      <c r="M14" s="25"/>
      <c r="N14" s="17"/>
    </row>
    <row r="15" spans="1:20" ht="15.95" customHeight="1" x14ac:dyDescent="0.25">
      <c r="B15" s="69" t="s">
        <v>1073</v>
      </c>
      <c r="C15" s="69"/>
      <c r="E15" s="10"/>
      <c r="F15" s="10"/>
      <c r="G15" s="10"/>
      <c r="I15" s="2" t="s">
        <v>337</v>
      </c>
      <c r="J15" s="248">
        <f>'1-34'!T15</f>
        <v>300000</v>
      </c>
      <c r="K15" s="25"/>
      <c r="L15" s="25"/>
      <c r="M15" s="25"/>
      <c r="N15" s="25"/>
      <c r="S15" s="405" t="s">
        <v>21</v>
      </c>
      <c r="T15" s="409">
        <v>300000</v>
      </c>
    </row>
    <row r="16" spans="1:20" ht="15.95" customHeight="1" x14ac:dyDescent="0.25">
      <c r="B16" s="69" t="s">
        <v>1074</v>
      </c>
      <c r="C16" s="69"/>
      <c r="E16" s="10"/>
      <c r="F16" s="10"/>
      <c r="G16" s="10"/>
      <c r="I16" s="2" t="s">
        <v>337</v>
      </c>
      <c r="J16" s="191">
        <f>-'1-34'!T16</f>
        <v>-104800</v>
      </c>
      <c r="L16" s="155">
        <f>J15+J16</f>
        <v>195200</v>
      </c>
      <c r="M16" s="106"/>
      <c r="N16" s="25"/>
      <c r="S16" s="405" t="s">
        <v>18</v>
      </c>
      <c r="T16" s="409">
        <v>104800</v>
      </c>
    </row>
    <row r="17" spans="2:20" ht="15.95" customHeight="1" x14ac:dyDescent="0.25">
      <c r="B17" s="69" t="s">
        <v>1075</v>
      </c>
      <c r="C17" s="69"/>
      <c r="E17" s="10"/>
      <c r="F17" s="10"/>
      <c r="G17" s="10"/>
      <c r="I17" s="2" t="s">
        <v>337</v>
      </c>
      <c r="J17" s="248">
        <f>'1-34'!T17</f>
        <v>130000</v>
      </c>
      <c r="K17" s="78"/>
      <c r="L17" s="78"/>
      <c r="M17" s="78"/>
      <c r="N17" s="25"/>
      <c r="S17" s="405" t="s">
        <v>22</v>
      </c>
      <c r="T17" s="409">
        <v>130000</v>
      </c>
    </row>
    <row r="18" spans="2:20" ht="15.95" customHeight="1" x14ac:dyDescent="0.25">
      <c r="B18" s="69" t="s">
        <v>407</v>
      </c>
      <c r="C18" s="69"/>
      <c r="E18" s="10"/>
      <c r="F18" s="10"/>
      <c r="G18" s="10"/>
      <c r="I18" s="2" t="s">
        <v>337</v>
      </c>
      <c r="J18" s="190">
        <f>-'1-34'!T18</f>
        <v>-27600</v>
      </c>
      <c r="L18" s="193">
        <f>J17+J18</f>
        <v>102400</v>
      </c>
      <c r="M18" s="78"/>
      <c r="N18" s="25"/>
      <c r="S18" s="405" t="s">
        <v>19</v>
      </c>
      <c r="T18" s="409">
        <v>27600</v>
      </c>
    </row>
    <row r="19" spans="2:20" ht="15.95" customHeight="1" x14ac:dyDescent="0.25">
      <c r="B19" s="158" t="s">
        <v>1347</v>
      </c>
      <c r="C19" s="69"/>
      <c r="E19" s="10"/>
      <c r="F19" s="10"/>
      <c r="G19" s="10"/>
      <c r="H19" s="25"/>
      <c r="I19" s="25" t="s">
        <v>337</v>
      </c>
      <c r="J19" s="25" t="s">
        <v>337</v>
      </c>
      <c r="K19" s="25" t="s">
        <v>337</v>
      </c>
      <c r="L19" s="25"/>
      <c r="M19" s="25"/>
      <c r="N19" s="184">
        <f>L16+L18</f>
        <v>297600</v>
      </c>
    </row>
    <row r="20" spans="2:20" ht="15.95" customHeight="1" x14ac:dyDescent="0.25">
      <c r="B20" s="10" t="s">
        <v>1076</v>
      </c>
      <c r="C20" s="10"/>
      <c r="D20" s="10"/>
      <c r="E20" s="10"/>
      <c r="F20" s="10"/>
      <c r="G20" s="10"/>
      <c r="H20" s="83"/>
      <c r="I20" s="83" t="s">
        <v>337</v>
      </c>
      <c r="J20" s="25" t="s">
        <v>337</v>
      </c>
      <c r="K20" s="25" t="s">
        <v>337</v>
      </c>
      <c r="L20" s="25"/>
      <c r="M20" s="25"/>
      <c r="N20" s="194">
        <f>'1-34'!T20</f>
        <v>92800</v>
      </c>
      <c r="S20" s="405" t="s">
        <v>20</v>
      </c>
      <c r="T20" s="409">
        <v>92800</v>
      </c>
    </row>
    <row r="21" spans="2:20" ht="15.95" customHeight="1" thickBot="1" x14ac:dyDescent="0.3">
      <c r="B21" s="10" t="s">
        <v>1077</v>
      </c>
      <c r="C21" s="10"/>
      <c r="D21" s="10"/>
      <c r="E21" s="10"/>
      <c r="F21" s="10"/>
      <c r="G21" s="10"/>
      <c r="H21" s="83"/>
      <c r="I21" s="83" t="s">
        <v>337</v>
      </c>
      <c r="J21" s="25" t="s">
        <v>337</v>
      </c>
      <c r="K21" s="25" t="s">
        <v>337</v>
      </c>
      <c r="L21" s="25"/>
      <c r="M21" s="25"/>
      <c r="N21" s="196">
        <f>N13+N19+N20</f>
        <v>561600</v>
      </c>
    </row>
    <row r="22" spans="2:20" ht="5.0999999999999996" customHeight="1" thickTop="1" x14ac:dyDescent="0.25">
      <c r="B22" s="10"/>
      <c r="C22" s="10"/>
      <c r="D22" s="10"/>
      <c r="E22" s="10"/>
      <c r="F22" s="10"/>
      <c r="G22" s="10"/>
      <c r="H22" s="83"/>
      <c r="I22" s="83"/>
      <c r="J22" s="25"/>
      <c r="K22" s="25"/>
      <c r="L22" s="25"/>
      <c r="M22" s="25"/>
      <c r="N22" s="41"/>
    </row>
    <row r="23" spans="2:20" ht="15.95" customHeight="1" x14ac:dyDescent="0.25">
      <c r="C23" s="357" t="s">
        <v>771</v>
      </c>
      <c r="D23" s="357"/>
      <c r="E23" s="357"/>
      <c r="F23" s="357"/>
      <c r="G23" s="357"/>
      <c r="H23" s="357"/>
      <c r="I23" s="357"/>
      <c r="J23" s="357"/>
      <c r="K23" s="357"/>
      <c r="L23" s="357"/>
      <c r="M23" s="13"/>
    </row>
    <row r="24" spans="2:20" ht="15.95" customHeight="1" x14ac:dyDescent="0.25">
      <c r="B24" s="10" t="s">
        <v>881</v>
      </c>
      <c r="C24" s="10"/>
      <c r="F24" s="10"/>
    </row>
    <row r="25" spans="2:20" ht="15.95" customHeight="1" x14ac:dyDescent="0.25">
      <c r="B25" s="69" t="s">
        <v>506</v>
      </c>
      <c r="C25" s="181"/>
      <c r="F25" s="10"/>
      <c r="I25" s="2" t="s">
        <v>337</v>
      </c>
      <c r="J25" s="2" t="s">
        <v>337</v>
      </c>
      <c r="L25" s="185">
        <f>'1-34'!T25</f>
        <v>16800</v>
      </c>
      <c r="M25" s="21"/>
      <c r="N25" s="10"/>
      <c r="S25" s="405" t="s">
        <v>787</v>
      </c>
      <c r="T25" s="409">
        <v>16800</v>
      </c>
    </row>
    <row r="26" spans="2:20" ht="15.95" customHeight="1" x14ac:dyDescent="0.25">
      <c r="B26" s="69" t="s">
        <v>507</v>
      </c>
      <c r="C26" s="181"/>
      <c r="F26" s="10"/>
      <c r="I26" s="2" t="s">
        <v>337</v>
      </c>
      <c r="J26" s="2" t="s">
        <v>337</v>
      </c>
      <c r="L26" s="157">
        <f>'1-34'!T26</f>
        <v>12000</v>
      </c>
      <c r="M26" s="77"/>
      <c r="N26" s="10"/>
      <c r="S26" s="405" t="s">
        <v>24</v>
      </c>
      <c r="T26" s="409">
        <v>12000</v>
      </c>
    </row>
    <row r="27" spans="2:20" ht="15.95" customHeight="1" x14ac:dyDescent="0.25">
      <c r="B27" s="69" t="s">
        <v>508</v>
      </c>
      <c r="C27" s="181"/>
      <c r="F27" s="10"/>
      <c r="I27" s="2" t="s">
        <v>337</v>
      </c>
      <c r="J27" s="2" t="s">
        <v>337</v>
      </c>
      <c r="L27" s="195">
        <f>'1-34'!T27</f>
        <v>7190</v>
      </c>
      <c r="M27" s="104"/>
      <c r="N27" s="10"/>
      <c r="S27" s="405" t="s">
        <v>10</v>
      </c>
      <c r="T27" s="409">
        <v>7190</v>
      </c>
    </row>
    <row r="28" spans="2:20" ht="15.95" customHeight="1" x14ac:dyDescent="0.25">
      <c r="B28" s="158" t="s">
        <v>509</v>
      </c>
      <c r="C28" s="181"/>
      <c r="F28" s="10"/>
      <c r="I28" s="2" t="s">
        <v>337</v>
      </c>
      <c r="J28" s="2" t="s">
        <v>337</v>
      </c>
      <c r="L28" s="185">
        <f>SUM(L25:L27)</f>
        <v>35990</v>
      </c>
      <c r="M28" s="21"/>
      <c r="N28" s="10"/>
    </row>
    <row r="29" spans="2:20" ht="15.95" customHeight="1" x14ac:dyDescent="0.25">
      <c r="B29" s="10" t="s">
        <v>886</v>
      </c>
      <c r="C29" s="10"/>
      <c r="F29" s="10"/>
      <c r="L29" s="10"/>
      <c r="M29" s="10"/>
      <c r="N29" s="10"/>
    </row>
    <row r="30" spans="2:20" ht="15.95" customHeight="1" x14ac:dyDescent="0.25">
      <c r="B30" s="69" t="s">
        <v>510</v>
      </c>
      <c r="F30" s="10"/>
      <c r="I30" s="2" t="s">
        <v>337</v>
      </c>
      <c r="J30" s="2" t="s">
        <v>337</v>
      </c>
      <c r="L30" s="193">
        <f>'1-34'!T30</f>
        <v>192000</v>
      </c>
      <c r="M30" s="104"/>
      <c r="N30" s="10"/>
      <c r="S30" s="405" t="s">
        <v>25</v>
      </c>
      <c r="T30" s="409">
        <v>192000</v>
      </c>
    </row>
    <row r="31" spans="2:20" ht="15.95" customHeight="1" x14ac:dyDescent="0.25">
      <c r="B31" s="158" t="s">
        <v>511</v>
      </c>
      <c r="F31" s="10"/>
      <c r="I31" s="2" t="s">
        <v>337</v>
      </c>
      <c r="J31" s="2" t="s">
        <v>337</v>
      </c>
      <c r="L31" s="10"/>
      <c r="M31" s="10"/>
      <c r="N31" s="155">
        <f>SUM(L28:L30)</f>
        <v>227990</v>
      </c>
    </row>
    <row r="32" spans="2:20" ht="15.95" customHeight="1" x14ac:dyDescent="0.25">
      <c r="B32" s="10" t="s">
        <v>1590</v>
      </c>
      <c r="C32" s="10"/>
      <c r="F32" s="10"/>
      <c r="L32" s="10"/>
      <c r="M32" s="10"/>
      <c r="N32" s="10"/>
    </row>
    <row r="33" spans="1:24" ht="15.95" customHeight="1" x14ac:dyDescent="0.25">
      <c r="B33" s="69" t="s">
        <v>512</v>
      </c>
      <c r="C33" s="181"/>
      <c r="F33" s="10"/>
      <c r="I33" s="2" t="s">
        <v>337</v>
      </c>
      <c r="J33" s="2" t="s">
        <v>337</v>
      </c>
      <c r="L33" s="155">
        <f>'1-34'!T33</f>
        <v>243610</v>
      </c>
      <c r="M33" s="77"/>
      <c r="N33" s="10"/>
      <c r="S33" s="405" t="s">
        <v>934</v>
      </c>
      <c r="T33" s="409">
        <v>243610</v>
      </c>
    </row>
    <row r="34" spans="1:24" ht="15.95" customHeight="1" x14ac:dyDescent="0.25">
      <c r="B34" s="69" t="s">
        <v>181</v>
      </c>
      <c r="C34" s="181"/>
      <c r="F34" s="10"/>
      <c r="I34" s="2" t="s">
        <v>337</v>
      </c>
      <c r="J34" s="2" t="s">
        <v>337</v>
      </c>
      <c r="L34" s="194">
        <f>'1-33'!M29</f>
        <v>90000</v>
      </c>
      <c r="M34" s="45"/>
      <c r="N34" s="10"/>
      <c r="S34" s="405" t="s">
        <v>1026</v>
      </c>
      <c r="T34" s="409">
        <f>'1-33'!M29</f>
        <v>90000</v>
      </c>
    </row>
    <row r="35" spans="1:24" ht="15.95" customHeight="1" x14ac:dyDescent="0.25">
      <c r="B35" s="158" t="s">
        <v>513</v>
      </c>
      <c r="C35" s="181"/>
      <c r="F35" s="10"/>
      <c r="I35" s="2" t="s">
        <v>337</v>
      </c>
      <c r="J35" s="2" t="s">
        <v>337</v>
      </c>
      <c r="L35" s="10"/>
      <c r="M35" s="10"/>
      <c r="N35" s="193">
        <f>SUM(L33:L34)</f>
        <v>333610</v>
      </c>
    </row>
    <row r="36" spans="1:24" ht="15.95" customHeight="1" thickBot="1" x14ac:dyDescent="0.3">
      <c r="B36" s="10" t="s">
        <v>514</v>
      </c>
      <c r="C36" s="10"/>
      <c r="F36" s="10"/>
      <c r="I36" s="2" t="s">
        <v>337</v>
      </c>
      <c r="J36" s="2" t="s">
        <v>337</v>
      </c>
      <c r="L36" s="10"/>
      <c r="M36" s="10"/>
      <c r="N36" s="196">
        <f>SUM(N31:N35)</f>
        <v>561600</v>
      </c>
    </row>
    <row r="37" spans="1:24" ht="5.0999999999999996" customHeight="1" thickTop="1" x14ac:dyDescent="0.25">
      <c r="C37" s="26"/>
      <c r="D37" s="26"/>
      <c r="E37" s="48"/>
      <c r="F37" s="26"/>
      <c r="G37" s="48"/>
      <c r="H37" s="48"/>
      <c r="I37" s="48"/>
      <c r="J37" s="26"/>
      <c r="K37" s="26"/>
      <c r="L37" s="45"/>
      <c r="M37" s="45"/>
      <c r="N37" s="48"/>
      <c r="O37" s="48"/>
    </row>
    <row r="38" spans="1:24" ht="15.95" customHeight="1" x14ac:dyDescent="0.25">
      <c r="B38" s="183" t="s">
        <v>748</v>
      </c>
      <c r="C38" s="76" t="s">
        <v>1559</v>
      </c>
      <c r="D38" s="26"/>
      <c r="E38" s="107"/>
      <c r="F38" s="107"/>
      <c r="G38" s="48"/>
      <c r="H38" s="48"/>
      <c r="I38" s="48"/>
      <c r="J38" s="48"/>
      <c r="K38" s="48"/>
      <c r="L38" s="48"/>
      <c r="M38" s="48"/>
    </row>
    <row r="39" spans="1:24" ht="9.9499999999999993" customHeight="1" x14ac:dyDescent="0.25">
      <c r="D39" s="10"/>
    </row>
    <row r="40" spans="1:24" s="10" customFormat="1" ht="15.95" customHeight="1" x14ac:dyDescent="0.25">
      <c r="B40" s="11" t="s">
        <v>759</v>
      </c>
      <c r="C40" s="71" t="s">
        <v>179</v>
      </c>
      <c r="P40" s="334"/>
      <c r="Q40" s="334"/>
      <c r="R40" s="450"/>
      <c r="S40" s="450"/>
      <c r="T40" s="450"/>
      <c r="U40" s="334"/>
      <c r="V40" s="334"/>
      <c r="W40" s="334"/>
      <c r="X40" s="334"/>
    </row>
    <row r="41" spans="1:24" s="10" customFormat="1" ht="15.95" customHeight="1" x14ac:dyDescent="0.25">
      <c r="C41" s="71" t="s">
        <v>1666</v>
      </c>
      <c r="P41" s="334"/>
      <c r="Q41" s="334"/>
      <c r="R41" s="450"/>
      <c r="S41" s="450"/>
      <c r="T41" s="450"/>
      <c r="U41" s="334"/>
      <c r="V41" s="334"/>
      <c r="W41" s="313"/>
      <c r="X41" s="313"/>
    </row>
    <row r="42" spans="1:24" s="10" customFormat="1" ht="15.95" customHeight="1" x14ac:dyDescent="0.25">
      <c r="C42" s="71" t="s">
        <v>299</v>
      </c>
      <c r="P42" s="334"/>
      <c r="Q42" s="334"/>
      <c r="R42" s="450"/>
      <c r="S42" s="450"/>
      <c r="T42" s="450"/>
      <c r="U42" s="334"/>
      <c r="V42" s="334"/>
      <c r="W42" s="334"/>
      <c r="X42" s="334"/>
    </row>
    <row r="43" spans="1:24" s="10" customFormat="1" ht="15.95" customHeight="1" x14ac:dyDescent="0.25">
      <c r="C43" s="71" t="s">
        <v>180</v>
      </c>
      <c r="P43" s="334"/>
      <c r="Q43" s="334"/>
      <c r="R43" s="450"/>
      <c r="S43" s="450"/>
      <c r="T43" s="450"/>
      <c r="U43" s="334"/>
      <c r="V43" s="334"/>
      <c r="W43" s="334"/>
      <c r="X43" s="334"/>
    </row>
    <row r="44" spans="1:24" s="10" customFormat="1" ht="15.95" customHeight="1" x14ac:dyDescent="0.25">
      <c r="C44" s="10" t="s">
        <v>301</v>
      </c>
      <c r="P44" s="334"/>
      <c r="Q44" s="334"/>
      <c r="R44" s="450"/>
      <c r="S44" s="450"/>
      <c r="T44" s="450"/>
      <c r="U44" s="334"/>
      <c r="V44" s="334"/>
      <c r="W44" s="334"/>
      <c r="X44" s="334"/>
    </row>
    <row r="45" spans="1:24" s="10" customFormat="1" ht="15.95" customHeight="1" x14ac:dyDescent="0.25">
      <c r="C45" s="10" t="s">
        <v>302</v>
      </c>
      <c r="P45" s="334"/>
      <c r="Q45" s="334"/>
      <c r="R45" s="450"/>
      <c r="S45" s="450"/>
      <c r="T45" s="450"/>
      <c r="U45" s="334"/>
      <c r="V45" s="334"/>
      <c r="W45" s="334"/>
      <c r="X45" s="334"/>
    </row>
    <row r="46" spans="1:24" s="10" customFormat="1" ht="15.95" customHeight="1" x14ac:dyDescent="0.25">
      <c r="C46" s="10" t="s">
        <v>303</v>
      </c>
      <c r="P46" s="334"/>
      <c r="Q46" s="334"/>
      <c r="R46" s="450"/>
      <c r="S46" s="450"/>
      <c r="T46" s="450"/>
      <c r="U46" s="334"/>
      <c r="V46" s="334"/>
      <c r="W46" s="334"/>
      <c r="X46" s="334"/>
    </row>
    <row r="47" spans="1:24" s="10" customFormat="1" ht="5.0999999999999996" customHeight="1" x14ac:dyDescent="0.25">
      <c r="A47" s="10" t="s">
        <v>337</v>
      </c>
      <c r="P47" s="334"/>
      <c r="Q47" s="334"/>
      <c r="R47" s="450"/>
      <c r="S47" s="450"/>
      <c r="T47" s="450"/>
      <c r="U47" s="334"/>
      <c r="V47" s="334"/>
      <c r="W47" s="334"/>
      <c r="X47" s="334"/>
    </row>
    <row r="48" spans="1:24" s="10" customFormat="1" ht="15.95" customHeight="1" x14ac:dyDescent="0.25">
      <c r="P48" s="334"/>
      <c r="Q48" s="334"/>
      <c r="R48" s="450"/>
      <c r="S48" s="450"/>
      <c r="T48" s="450"/>
      <c r="U48" s="334"/>
      <c r="V48" s="334"/>
      <c r="W48" s="334"/>
      <c r="X48" s="334"/>
    </row>
    <row r="49" spans="3:30" s="10" customFormat="1" ht="15.95" customHeight="1" x14ac:dyDescent="0.25">
      <c r="P49" s="334"/>
      <c r="Q49" s="334"/>
      <c r="R49" s="450"/>
      <c r="S49" s="450"/>
      <c r="T49" s="450"/>
      <c r="U49" s="334"/>
      <c r="V49" s="334"/>
      <c r="W49" s="334"/>
      <c r="X49" s="334"/>
    </row>
    <row r="50" spans="3:30" s="10" customFormat="1" ht="15.95" customHeight="1" x14ac:dyDescent="0.25">
      <c r="P50" s="334"/>
      <c r="Q50" s="334"/>
      <c r="R50" s="450"/>
      <c r="S50" s="450"/>
      <c r="T50" s="450"/>
      <c r="U50" s="334"/>
      <c r="V50" s="334"/>
      <c r="W50" s="334"/>
      <c r="X50" s="334"/>
    </row>
    <row r="51" spans="3:30" s="10" customFormat="1" ht="15.95" customHeight="1" x14ac:dyDescent="0.25">
      <c r="P51" s="334"/>
      <c r="Q51" s="334"/>
      <c r="R51" s="450"/>
      <c r="S51" s="450"/>
      <c r="T51" s="450"/>
      <c r="U51" s="334"/>
      <c r="V51" s="334"/>
      <c r="W51" s="334"/>
      <c r="X51" s="334"/>
      <c r="AB51" s="13"/>
      <c r="AC51" s="13"/>
      <c r="AD51" s="13"/>
    </row>
    <row r="52" spans="3:30" s="10" customFormat="1" ht="15.95" customHeight="1" x14ac:dyDescent="0.25">
      <c r="P52" s="334"/>
      <c r="Q52" s="334"/>
      <c r="R52" s="450"/>
      <c r="S52" s="450"/>
      <c r="T52" s="450"/>
      <c r="U52" s="334"/>
      <c r="V52" s="334"/>
      <c r="W52" s="334"/>
      <c r="X52" s="334"/>
      <c r="AD52" s="13"/>
    </row>
    <row r="53" spans="3:30" s="10" customFormat="1" ht="15.95" customHeight="1" x14ac:dyDescent="0.25">
      <c r="P53" s="334"/>
      <c r="Q53" s="334"/>
      <c r="R53" s="450"/>
      <c r="S53" s="450"/>
      <c r="T53" s="450"/>
      <c r="U53" s="334"/>
      <c r="V53" s="334"/>
      <c r="W53" s="334"/>
      <c r="X53" s="334"/>
      <c r="AD53" s="13"/>
    </row>
    <row r="54" spans="3:30" s="10" customFormat="1" ht="15.95" customHeight="1" x14ac:dyDescent="0.25">
      <c r="P54" s="334"/>
      <c r="Q54" s="334"/>
      <c r="R54" s="450"/>
      <c r="S54" s="450"/>
      <c r="T54" s="450"/>
      <c r="U54" s="334"/>
      <c r="V54" s="334"/>
      <c r="W54" s="334"/>
      <c r="X54" s="334"/>
      <c r="AD54" s="13"/>
    </row>
    <row r="55" spans="3:30" s="10" customFormat="1" ht="15.95" customHeight="1" x14ac:dyDescent="0.25">
      <c r="P55" s="334"/>
      <c r="Q55" s="334"/>
      <c r="R55" s="450"/>
      <c r="S55" s="450"/>
      <c r="T55" s="450"/>
      <c r="U55" s="334"/>
      <c r="V55" s="334"/>
      <c r="W55" s="334"/>
      <c r="X55" s="334"/>
      <c r="AD55" s="13"/>
    </row>
    <row r="56" spans="3:30" s="10" customFormat="1" ht="15.95" customHeight="1" x14ac:dyDescent="0.25">
      <c r="P56" s="334"/>
      <c r="Q56" s="334"/>
      <c r="R56" s="450"/>
      <c r="S56" s="450"/>
      <c r="T56" s="450"/>
      <c r="U56" s="334"/>
      <c r="V56" s="334"/>
      <c r="W56" s="334"/>
      <c r="X56" s="334"/>
      <c r="AD56" s="13"/>
    </row>
    <row r="57" spans="3:30" s="10" customFormat="1" ht="15.95" customHeight="1" x14ac:dyDescent="0.25">
      <c r="P57" s="334"/>
      <c r="Q57" s="334"/>
      <c r="R57" s="450"/>
      <c r="S57" s="450"/>
      <c r="T57" s="450"/>
      <c r="U57" s="334"/>
      <c r="V57" s="334"/>
      <c r="W57" s="334"/>
      <c r="X57" s="334"/>
      <c r="AD57" s="13"/>
    </row>
    <row r="58" spans="3:30" s="10" customFormat="1" ht="15.95" customHeight="1" x14ac:dyDescent="0.25">
      <c r="P58" s="334"/>
      <c r="Q58" s="334"/>
      <c r="R58" s="450"/>
      <c r="S58" s="450"/>
      <c r="T58" s="450"/>
      <c r="U58" s="334"/>
      <c r="V58" s="334"/>
      <c r="W58" s="334"/>
      <c r="X58" s="334"/>
      <c r="AD58" s="13"/>
    </row>
    <row r="59" spans="3:30" s="10" customFormat="1" ht="15.95" customHeight="1" x14ac:dyDescent="0.25">
      <c r="P59" s="334"/>
      <c r="Q59" s="334"/>
      <c r="R59" s="450"/>
      <c r="S59" s="450"/>
      <c r="T59" s="450"/>
      <c r="U59" s="334"/>
      <c r="V59" s="334"/>
      <c r="W59" s="334"/>
      <c r="X59" s="334"/>
      <c r="AD59" s="13"/>
    </row>
    <row r="60" spans="3:30" s="10" customFormat="1" ht="15" customHeight="1" x14ac:dyDescent="0.25">
      <c r="P60" s="334"/>
      <c r="Q60" s="334"/>
      <c r="R60" s="450"/>
      <c r="S60" s="450"/>
      <c r="T60" s="450"/>
      <c r="U60" s="334"/>
      <c r="V60" s="334"/>
      <c r="W60" s="334"/>
      <c r="X60" s="334"/>
      <c r="AD60" s="13"/>
    </row>
    <row r="61" spans="3:30" s="10" customFormat="1" ht="15" customHeight="1" x14ac:dyDescent="0.25">
      <c r="P61" s="334"/>
      <c r="Q61" s="334"/>
      <c r="R61" s="450"/>
      <c r="S61" s="450"/>
      <c r="T61" s="450"/>
      <c r="U61" s="334"/>
      <c r="V61" s="334"/>
      <c r="W61" s="334"/>
      <c r="X61" s="334"/>
      <c r="AD61" s="13"/>
    </row>
    <row r="62" spans="3:30" s="10" customFormat="1" ht="15" customHeight="1" x14ac:dyDescent="0.25">
      <c r="C62" s="34"/>
      <c r="D62" s="34"/>
      <c r="P62" s="334"/>
      <c r="Q62" s="334"/>
      <c r="R62" s="450"/>
      <c r="S62" s="450"/>
      <c r="T62" s="450"/>
      <c r="U62" s="334"/>
      <c r="V62" s="334"/>
      <c r="W62" s="334"/>
      <c r="X62" s="334"/>
      <c r="AD62" s="13"/>
    </row>
    <row r="63" spans="3:30" s="10" customFormat="1" ht="15" customHeight="1" x14ac:dyDescent="0.25">
      <c r="P63" s="334"/>
      <c r="Q63" s="334"/>
      <c r="R63" s="450"/>
      <c r="S63" s="450"/>
      <c r="T63" s="450"/>
      <c r="U63" s="334"/>
      <c r="V63" s="334"/>
      <c r="W63" s="334"/>
      <c r="X63" s="334"/>
      <c r="AD63" s="13"/>
    </row>
    <row r="64" spans="3:30" s="10" customFormat="1" ht="15" customHeight="1" x14ac:dyDescent="0.25">
      <c r="P64" s="334"/>
      <c r="Q64" s="334"/>
      <c r="R64" s="450"/>
      <c r="S64" s="450"/>
      <c r="T64" s="450"/>
      <c r="U64" s="334"/>
      <c r="V64" s="334"/>
      <c r="W64" s="334"/>
      <c r="X64" s="334"/>
      <c r="AD64" s="13"/>
    </row>
    <row r="65" spans="16:30" s="10" customFormat="1" ht="15" customHeight="1" x14ac:dyDescent="0.25">
      <c r="P65" s="334"/>
      <c r="Q65" s="334"/>
      <c r="R65" s="450"/>
      <c r="S65" s="450"/>
      <c r="T65" s="450"/>
      <c r="U65" s="334"/>
      <c r="V65" s="334"/>
      <c r="W65" s="334"/>
      <c r="X65" s="334"/>
      <c r="AD65" s="13"/>
    </row>
    <row r="66" spans="16:30" s="10" customFormat="1" ht="15" customHeight="1" x14ac:dyDescent="0.25">
      <c r="P66" s="334"/>
      <c r="Q66" s="334"/>
      <c r="R66" s="450"/>
      <c r="S66" s="450"/>
      <c r="T66" s="450"/>
      <c r="U66" s="334"/>
      <c r="V66" s="334"/>
      <c r="W66" s="334"/>
      <c r="X66" s="334"/>
      <c r="AD66" s="13"/>
    </row>
    <row r="67" spans="16:30" s="10" customFormat="1" ht="15" customHeight="1" x14ac:dyDescent="0.25">
      <c r="P67" s="334"/>
      <c r="Q67" s="334"/>
      <c r="R67" s="450"/>
      <c r="S67" s="450"/>
      <c r="T67" s="450"/>
      <c r="U67" s="334"/>
      <c r="V67" s="334"/>
      <c r="W67" s="334"/>
      <c r="X67" s="334"/>
    </row>
    <row r="68" spans="16:30" s="10" customFormat="1" ht="15" customHeight="1" x14ac:dyDescent="0.25">
      <c r="P68" s="334"/>
      <c r="Q68" s="334"/>
      <c r="R68" s="450"/>
      <c r="S68" s="450"/>
      <c r="T68" s="450"/>
      <c r="U68" s="334"/>
      <c r="V68" s="334"/>
      <c r="W68" s="334"/>
      <c r="X68" s="334"/>
    </row>
    <row r="82" spans="1:27" s="10" customFormat="1" ht="15" customHeight="1" x14ac:dyDescent="0.25">
      <c r="P82" s="334"/>
      <c r="Q82" s="334"/>
      <c r="R82" s="450"/>
      <c r="S82" s="450"/>
      <c r="T82" s="450"/>
      <c r="U82" s="334"/>
      <c r="V82" s="334"/>
      <c r="W82" s="334"/>
      <c r="X82" s="334"/>
    </row>
    <row r="83" spans="1:27" s="10" customFormat="1" ht="15" customHeight="1" x14ac:dyDescent="0.25">
      <c r="P83" s="334"/>
      <c r="Q83" s="334"/>
      <c r="R83" s="450"/>
      <c r="S83" s="450"/>
      <c r="T83" s="450"/>
      <c r="U83" s="334"/>
      <c r="V83" s="334"/>
      <c r="W83" s="334"/>
      <c r="X83" s="334"/>
    </row>
    <row r="84" spans="1:27" s="10" customFormat="1" ht="15" customHeight="1" x14ac:dyDescent="0.25">
      <c r="P84" s="334"/>
      <c r="Q84" s="334"/>
      <c r="R84" s="450"/>
      <c r="S84" s="450"/>
      <c r="T84" s="450"/>
      <c r="U84" s="334"/>
      <c r="V84" s="334"/>
      <c r="W84" s="334"/>
      <c r="X84" s="334"/>
    </row>
    <row r="85" spans="1:27" s="10" customFormat="1" ht="15" customHeight="1" x14ac:dyDescent="0.25">
      <c r="P85" s="334"/>
      <c r="Q85" s="334"/>
      <c r="R85" s="450"/>
      <c r="S85" s="450"/>
      <c r="T85" s="450"/>
      <c r="U85" s="334"/>
      <c r="V85" s="334"/>
      <c r="W85" s="334"/>
      <c r="X85" s="334"/>
    </row>
    <row r="86" spans="1:27" s="10" customFormat="1" ht="15" customHeight="1" x14ac:dyDescent="0.25">
      <c r="P86" s="334"/>
      <c r="Q86" s="334"/>
      <c r="R86" s="450"/>
      <c r="S86" s="450"/>
      <c r="T86" s="450"/>
      <c r="U86" s="334"/>
      <c r="V86" s="334"/>
      <c r="W86" s="334"/>
      <c r="X86" s="334"/>
    </row>
    <row r="87" spans="1:27" s="10" customFormat="1" ht="15" customHeight="1" x14ac:dyDescent="0.25">
      <c r="P87" s="334"/>
      <c r="Q87" s="334"/>
      <c r="R87" s="450"/>
      <c r="S87" s="450"/>
      <c r="T87" s="450"/>
      <c r="U87" s="334"/>
      <c r="V87" s="334"/>
      <c r="W87" s="334"/>
      <c r="X87" s="334"/>
    </row>
    <row r="88" spans="1:27" s="10" customFormat="1" ht="15" customHeight="1" x14ac:dyDescent="0.25">
      <c r="P88" s="334"/>
      <c r="Q88" s="334"/>
      <c r="R88" s="450"/>
      <c r="S88" s="450"/>
      <c r="T88" s="450"/>
      <c r="U88" s="334"/>
      <c r="V88" s="334"/>
      <c r="W88" s="334"/>
      <c r="X88" s="334"/>
    </row>
    <row r="89" spans="1:27" s="10" customFormat="1" ht="15" customHeight="1" x14ac:dyDescent="0.25">
      <c r="P89" s="334"/>
      <c r="Q89" s="334"/>
      <c r="R89" s="450"/>
      <c r="S89" s="450"/>
      <c r="T89" s="450"/>
      <c r="U89" s="334"/>
      <c r="V89" s="334"/>
      <c r="W89" s="334"/>
      <c r="X89" s="334"/>
    </row>
    <row r="90" spans="1:27" s="10" customFormat="1" ht="15" customHeight="1" x14ac:dyDescent="0.25">
      <c r="P90" s="334"/>
      <c r="Q90" s="334"/>
      <c r="R90" s="450"/>
      <c r="S90" s="450"/>
      <c r="T90" s="450"/>
      <c r="U90" s="334"/>
      <c r="V90" s="334"/>
      <c r="W90" s="334"/>
      <c r="X90" s="334"/>
      <c r="Y90" s="2"/>
      <c r="Z90" s="2"/>
      <c r="AA90" s="2"/>
    </row>
    <row r="91" spans="1:27" ht="15.75" x14ac:dyDescent="0.25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</row>
    <row r="92" spans="1:27" ht="15.75" x14ac:dyDescent="0.2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</row>
    <row r="93" spans="1:27" ht="15.75" x14ac:dyDescent="0.2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</row>
    <row r="94" spans="1:27" ht="15.75" x14ac:dyDescent="0.25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</row>
    <row r="95" spans="1:27" ht="15.75" x14ac:dyDescent="0.2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</row>
    <row r="96" spans="1:27" ht="15.75" x14ac:dyDescent="0.25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</row>
  </sheetData>
  <customSheetViews>
    <customSheetView guid="{B2DDA8C4-3089-41F7-BA6E-A0E09596A2CA}" scale="80" showPageBreaks="1" fitToPage="1" printArea="1">
      <pageMargins left="0.75" right="1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65">
      <selection activeCell="A65" sqref="A65"/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pageMargins left="0.75" right="1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pageMargins left="0.75" right="1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5">
    <mergeCell ref="C23:L23"/>
    <mergeCell ref="B6:N6"/>
    <mergeCell ref="B8:N8"/>
    <mergeCell ref="B4:N4"/>
    <mergeCell ref="B5:N5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102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2" width="4.7109375" style="2" customWidth="1"/>
    <col min="3" max="3" width="12.5703125" style="2" customWidth="1"/>
    <col min="4" max="4" width="12.28515625" style="2" customWidth="1"/>
    <col min="5" max="5" width="8.85546875" style="2" customWidth="1"/>
    <col min="6" max="6" width="14.140625" style="2" customWidth="1"/>
    <col min="7" max="7" width="10.5703125" style="2" customWidth="1"/>
    <col min="8" max="8" width="9.140625" style="2"/>
    <col min="9" max="9" width="9.7109375" style="2" customWidth="1"/>
    <col min="10" max="10" width="9.7109375" style="312" customWidth="1"/>
    <col min="11" max="11" width="2.7109375" style="312" customWidth="1"/>
    <col min="12" max="12" width="8.7109375" style="407" hidden="1" customWidth="1"/>
    <col min="13" max="13" width="2.7109375" style="407" hidden="1" customWidth="1"/>
    <col min="14" max="14" width="8.7109375" style="407" hidden="1" customWidth="1"/>
    <col min="15" max="15" width="2.7109375" style="407" hidden="1" customWidth="1"/>
    <col min="16" max="16" width="8.7109375" style="407" hidden="1" customWidth="1"/>
    <col min="17" max="17" width="2.7109375" style="407" hidden="1" customWidth="1"/>
    <col min="18" max="18" width="8.7109375" style="407" hidden="1" customWidth="1"/>
    <col min="19" max="19" width="14.140625" style="407" hidden="1" customWidth="1"/>
    <col min="20" max="20" width="2.7109375" style="407" hidden="1" customWidth="1"/>
    <col min="21" max="21" width="8.85546875" style="407" hidden="1" customWidth="1"/>
    <col min="22" max="22" width="0.85546875" style="407" hidden="1" customWidth="1"/>
    <col min="23" max="23" width="8.85546875" style="407" hidden="1" customWidth="1"/>
    <col min="24" max="24" width="0.85546875" style="407" hidden="1" customWidth="1"/>
    <col min="25" max="25" width="8.85546875" style="407" hidden="1" customWidth="1"/>
    <col min="26" max="26" width="0.85546875" style="407" hidden="1" customWidth="1"/>
    <col min="27" max="27" width="8.85546875" style="407" hidden="1" customWidth="1"/>
    <col min="28" max="28" width="0.85546875" style="312" customWidth="1"/>
    <col min="29" max="29" width="8.7109375" style="312" customWidth="1"/>
    <col min="30" max="30" width="2.7109375" style="312" customWidth="1"/>
    <col min="31" max="31" width="8.7109375" style="312" customWidth="1"/>
    <col min="32" max="32" width="2.7109375" style="312" customWidth="1"/>
    <col min="33" max="33" width="9.140625" style="312"/>
    <col min="34" max="16384" width="9.140625" style="2"/>
  </cols>
  <sheetData>
    <row r="1" spans="2:27" ht="28.5" customHeight="1" x14ac:dyDescent="0.2"/>
    <row r="2" spans="2:27" ht="15.95" customHeight="1" x14ac:dyDescent="0.25">
      <c r="B2" s="10" t="s">
        <v>1192</v>
      </c>
      <c r="T2" s="413" t="s">
        <v>1679</v>
      </c>
    </row>
    <row r="3" spans="2:27" ht="15.95" customHeight="1" x14ac:dyDescent="0.25">
      <c r="B3" s="10" t="s">
        <v>515</v>
      </c>
      <c r="C3" s="10"/>
      <c r="D3" s="10"/>
      <c r="E3" s="10"/>
      <c r="F3" s="10"/>
      <c r="G3" s="10"/>
      <c r="M3" s="412" t="s">
        <v>794</v>
      </c>
      <c r="T3" s="413" t="s">
        <v>518</v>
      </c>
      <c r="U3" s="409" t="s">
        <v>26</v>
      </c>
      <c r="V3" s="402"/>
      <c r="W3" s="409" t="s">
        <v>27</v>
      </c>
      <c r="Y3" s="409" t="s">
        <v>28</v>
      </c>
      <c r="Z3" s="402"/>
      <c r="AA3" s="409" t="s">
        <v>29</v>
      </c>
    </row>
    <row r="4" spans="2:27" ht="5.0999999999999996" customHeight="1" x14ac:dyDescent="0.25">
      <c r="B4" s="10"/>
      <c r="C4" s="10"/>
      <c r="D4" s="10"/>
      <c r="E4" s="10"/>
      <c r="F4" s="10"/>
      <c r="G4" s="10"/>
    </row>
    <row r="5" spans="2:27" ht="15.95" customHeight="1" x14ac:dyDescent="0.25">
      <c r="B5" s="10" t="s">
        <v>516</v>
      </c>
      <c r="C5" s="28">
        <f>P5</f>
        <v>62100</v>
      </c>
      <c r="D5" s="10" t="str">
        <f>CONCATENATE("(",TEXT(L5,"$#,##0"),M5,TEXT(N5,"$#,##0"),")",)</f>
        <v>($50,000 + $12,100)</v>
      </c>
      <c r="F5" s="10"/>
      <c r="G5" s="10"/>
      <c r="L5" s="410">
        <f>U5</f>
        <v>50000</v>
      </c>
      <c r="M5" s="410" t="s">
        <v>1588</v>
      </c>
      <c r="N5" s="410">
        <f>U6</f>
        <v>12100</v>
      </c>
      <c r="O5" s="410" t="s">
        <v>1587</v>
      </c>
      <c r="P5" s="410">
        <f>SUM(L5+N5)</f>
        <v>62100</v>
      </c>
      <c r="T5" s="405" t="s">
        <v>1496</v>
      </c>
      <c r="U5" s="409">
        <v>50000</v>
      </c>
      <c r="V5" s="402"/>
      <c r="W5" s="409">
        <v>35000</v>
      </c>
      <c r="Y5" s="409" t="s">
        <v>520</v>
      </c>
      <c r="Z5" s="402"/>
      <c r="AA5" s="409">
        <v>15000</v>
      </c>
    </row>
    <row r="6" spans="2:27" ht="15.95" customHeight="1" x14ac:dyDescent="0.25">
      <c r="B6" s="10" t="s">
        <v>517</v>
      </c>
      <c r="C6" s="28">
        <f>R6</f>
        <v>17100</v>
      </c>
      <c r="D6" s="10" t="str">
        <f>CONCATENATE("(",TEXT(L6,"$#,##0"),M6,TEXT(N6,"$#,##0"),O6,TEXT(P6,"$#,##0"),")",)</f>
        <v>($12,100 + $7,000 – $2,000)</v>
      </c>
      <c r="F6" s="10"/>
      <c r="G6" s="10"/>
      <c r="L6" s="410">
        <f>U6</f>
        <v>12100</v>
      </c>
      <c r="M6" s="410" t="s">
        <v>1588</v>
      </c>
      <c r="N6" s="410">
        <f>U8</f>
        <v>7000</v>
      </c>
      <c r="O6" s="410" t="s">
        <v>1589</v>
      </c>
      <c r="P6" s="410">
        <f>U10</f>
        <v>2000</v>
      </c>
      <c r="Q6" s="410" t="s">
        <v>1587</v>
      </c>
      <c r="R6" s="410">
        <f>SUM(L6+N6-P6)</f>
        <v>17100</v>
      </c>
      <c r="T6" s="405" t="s">
        <v>1497</v>
      </c>
      <c r="U6" s="409">
        <v>12100</v>
      </c>
      <c r="V6" s="402"/>
      <c r="W6" s="409" t="s">
        <v>981</v>
      </c>
      <c r="Y6" s="409">
        <v>26400</v>
      </c>
      <c r="Z6" s="402"/>
      <c r="AA6" s="409">
        <v>21900</v>
      </c>
    </row>
    <row r="7" spans="2:27" ht="15.95" customHeight="1" x14ac:dyDescent="0.25">
      <c r="B7" s="10" t="s">
        <v>519</v>
      </c>
      <c r="C7" s="28">
        <f>P7</f>
        <v>67100</v>
      </c>
      <c r="D7" s="10" t="str">
        <f>CONCATENATE("(",TEXT(L7,"$#,##0"),M7,TEXT(N7,"$#,##0"),")",)</f>
        <v>($17,100 + $50,000)</v>
      </c>
      <c r="F7" s="10"/>
      <c r="G7" s="10"/>
      <c r="L7" s="410">
        <f>R6</f>
        <v>17100</v>
      </c>
      <c r="M7" s="410" t="s">
        <v>1588</v>
      </c>
      <c r="N7" s="410">
        <f>U5</f>
        <v>50000</v>
      </c>
      <c r="O7" s="410" t="s">
        <v>1587</v>
      </c>
      <c r="P7" s="410">
        <f>SUM(L7+N7)</f>
        <v>67100</v>
      </c>
      <c r="T7" s="405" t="s">
        <v>978</v>
      </c>
      <c r="U7" s="409" t="s">
        <v>1507</v>
      </c>
      <c r="V7" s="402"/>
      <c r="W7" s="409">
        <v>44300</v>
      </c>
      <c r="Y7" s="409">
        <v>66400</v>
      </c>
      <c r="Z7" s="402"/>
      <c r="AA7" s="409">
        <v>36900</v>
      </c>
    </row>
    <row r="8" spans="2:27" ht="15.95" customHeight="1" x14ac:dyDescent="0.25">
      <c r="B8" s="10" t="s">
        <v>521</v>
      </c>
      <c r="C8" s="28">
        <f>P8</f>
        <v>25400</v>
      </c>
      <c r="D8" s="10" t="str">
        <f>CONCATENATE("(",TEXT(L8,"$#,##0"),M8,TEXT(N8,"$#,##0"),")",)</f>
        <v>($92,500 – $67,100)</v>
      </c>
      <c r="F8" s="10"/>
      <c r="G8" s="10"/>
      <c r="L8" s="410">
        <f>U17</f>
        <v>92500</v>
      </c>
      <c r="M8" s="410" t="s">
        <v>1589</v>
      </c>
      <c r="N8" s="410">
        <f>P7</f>
        <v>67100</v>
      </c>
      <c r="O8" s="410" t="s">
        <v>1587</v>
      </c>
      <c r="P8" s="410">
        <f>SUM(L8-N8)</f>
        <v>25400</v>
      </c>
      <c r="T8" s="405" t="s">
        <v>523</v>
      </c>
      <c r="U8" s="409">
        <v>7000</v>
      </c>
      <c r="V8" s="402"/>
      <c r="W8" s="409">
        <v>1800</v>
      </c>
      <c r="Y8" s="409">
        <v>6000</v>
      </c>
      <c r="Z8" s="402"/>
      <c r="AA8" s="409" t="s">
        <v>524</v>
      </c>
    </row>
    <row r="9" spans="2:27" ht="9.9499999999999993" customHeight="1" x14ac:dyDescent="0.25">
      <c r="B9" s="10"/>
      <c r="C9" s="10"/>
      <c r="D9" s="10"/>
      <c r="E9" s="10"/>
      <c r="F9" s="10"/>
      <c r="G9" s="10"/>
    </row>
    <row r="10" spans="2:27" ht="15.95" customHeight="1" x14ac:dyDescent="0.25">
      <c r="B10" s="10" t="s">
        <v>522</v>
      </c>
      <c r="C10" s="10"/>
      <c r="D10" s="10"/>
      <c r="E10" s="10"/>
      <c r="F10" s="10"/>
      <c r="G10" s="10"/>
      <c r="M10" s="412" t="s">
        <v>794</v>
      </c>
      <c r="T10" s="405" t="s">
        <v>526</v>
      </c>
      <c r="U10" s="409">
        <v>2000</v>
      </c>
      <c r="V10" s="402"/>
      <c r="W10" s="409" t="s">
        <v>527</v>
      </c>
      <c r="Y10" s="409" t="s">
        <v>528</v>
      </c>
      <c r="Z10" s="402"/>
      <c r="AA10" s="409">
        <v>1400</v>
      </c>
    </row>
    <row r="11" spans="2:27" ht="5.0999999999999996" customHeight="1" x14ac:dyDescent="0.25">
      <c r="B11" s="10"/>
      <c r="C11" s="10"/>
      <c r="D11" s="10"/>
      <c r="E11" s="10"/>
      <c r="F11" s="10"/>
      <c r="G11" s="10"/>
    </row>
    <row r="12" spans="2:27" ht="15.95" customHeight="1" x14ac:dyDescent="0.25">
      <c r="B12" s="10" t="s">
        <v>525</v>
      </c>
      <c r="C12" s="28">
        <f>P12</f>
        <v>9300</v>
      </c>
      <c r="D12" s="10" t="str">
        <f>CONCATENATE("(",TEXT(L12,"$#,##0"),M12,TEXT(N12,"$#,##0"),")",)</f>
        <v>($44,300 – $35,000)</v>
      </c>
      <c r="F12" s="10"/>
      <c r="G12" s="10"/>
      <c r="L12" s="410">
        <f>W7</f>
        <v>44300</v>
      </c>
      <c r="M12" s="410" t="s">
        <v>1589</v>
      </c>
      <c r="N12" s="410">
        <f>W5</f>
        <v>35000</v>
      </c>
      <c r="O12" s="410" t="s">
        <v>1587</v>
      </c>
      <c r="P12" s="410">
        <f>SUM(L12-N12)</f>
        <v>9300</v>
      </c>
      <c r="T12" s="413" t="s">
        <v>530</v>
      </c>
    </row>
    <row r="13" spans="2:27" ht="15.95" customHeight="1" x14ac:dyDescent="0.25">
      <c r="B13" s="10" t="s">
        <v>529</v>
      </c>
      <c r="C13" s="28">
        <f>P13</f>
        <v>7500</v>
      </c>
      <c r="D13" s="10" t="str">
        <f>CONCATENATE("(",TEXT(L13,"$#,##0"),M13,TEXT(N13,"$#,##0"),")",)</f>
        <v>($9,300 – $1,800)</v>
      </c>
      <c r="F13" s="10"/>
      <c r="G13" s="10"/>
      <c r="L13" s="410">
        <f>P12</f>
        <v>9300</v>
      </c>
      <c r="M13" s="410" t="s">
        <v>1589</v>
      </c>
      <c r="N13" s="410">
        <f>W8</f>
        <v>1800</v>
      </c>
      <c r="O13" s="410" t="s">
        <v>1587</v>
      </c>
      <c r="P13" s="410">
        <f>SUM(L13-N13)</f>
        <v>7500</v>
      </c>
      <c r="T13" s="405" t="s">
        <v>1496</v>
      </c>
      <c r="U13" s="409">
        <v>50000</v>
      </c>
      <c r="V13" s="402"/>
      <c r="W13" s="409">
        <v>35000</v>
      </c>
      <c r="Y13" s="409">
        <v>55000</v>
      </c>
      <c r="Z13" s="402"/>
      <c r="AA13" s="409">
        <v>15000</v>
      </c>
    </row>
    <row r="14" spans="2:27" ht="15.95" customHeight="1" x14ac:dyDescent="0.25">
      <c r="B14" s="10" t="s">
        <v>531</v>
      </c>
      <c r="C14" s="28">
        <f>P14</f>
        <v>42500</v>
      </c>
      <c r="D14" s="10" t="str">
        <f>CONCATENATE("(",TEXT(L14,"$#,##0"),M14,TEXT(N14,"$#,##0"),")",)</f>
        <v>($35,000 + $7,500)</v>
      </c>
      <c r="F14" s="10"/>
      <c r="G14" s="10"/>
      <c r="L14" s="410">
        <f>W5</f>
        <v>35000</v>
      </c>
      <c r="M14" s="410" t="s">
        <v>1588</v>
      </c>
      <c r="N14" s="410">
        <f>P13</f>
        <v>7500</v>
      </c>
      <c r="O14" s="410" t="s">
        <v>1587</v>
      </c>
      <c r="P14" s="410">
        <f>SUM(L14+N14)</f>
        <v>42500</v>
      </c>
      <c r="T14" s="405" t="s">
        <v>1497</v>
      </c>
      <c r="U14" s="409" t="s">
        <v>1509</v>
      </c>
      <c r="V14" s="402"/>
      <c r="W14" s="409" t="s">
        <v>976</v>
      </c>
      <c r="Y14" s="409" t="s">
        <v>533</v>
      </c>
      <c r="Z14" s="402"/>
      <c r="AA14" s="409">
        <v>27600</v>
      </c>
    </row>
    <row r="15" spans="2:27" ht="15.95" customHeight="1" x14ac:dyDescent="0.25">
      <c r="B15" s="10" t="s">
        <v>532</v>
      </c>
      <c r="C15" s="28">
        <f>P15</f>
        <v>57300</v>
      </c>
      <c r="D15" s="10" t="str">
        <f>CONCATENATE("(",TEXT(L15,"$#,##0"),M15,TEXT(N15,"$#,##0"),")",)</f>
        <v>($42,500 + $14,800)</v>
      </c>
      <c r="F15" s="10"/>
      <c r="G15" s="10"/>
      <c r="L15" s="410">
        <f>P14</f>
        <v>42500</v>
      </c>
      <c r="M15" s="410" t="s">
        <v>1588</v>
      </c>
      <c r="N15" s="410">
        <f>W19</f>
        <v>14800</v>
      </c>
      <c r="O15" s="410" t="s">
        <v>1587</v>
      </c>
      <c r="P15" s="410">
        <f>SUM(L15+N15)</f>
        <v>57300</v>
      </c>
      <c r="T15" s="405" t="s">
        <v>978</v>
      </c>
      <c r="U15" s="409" t="s">
        <v>1510</v>
      </c>
      <c r="W15" s="409" t="s">
        <v>975</v>
      </c>
      <c r="Y15" s="409">
        <v>84500</v>
      </c>
      <c r="AA15" s="409" t="s">
        <v>534</v>
      </c>
    </row>
    <row r="16" spans="2:27" ht="9.9499999999999993" customHeight="1" x14ac:dyDescent="0.25">
      <c r="B16" s="10"/>
    </row>
    <row r="17" spans="2:33" s="10" customFormat="1" ht="15.95" customHeight="1" x14ac:dyDescent="0.25">
      <c r="B17" s="10" t="s">
        <v>539</v>
      </c>
      <c r="J17" s="313"/>
      <c r="K17" s="313"/>
      <c r="L17" s="402"/>
      <c r="M17" s="412" t="s">
        <v>794</v>
      </c>
      <c r="N17" s="402"/>
      <c r="O17" s="402"/>
      <c r="P17" s="402"/>
      <c r="Q17" s="402"/>
      <c r="R17" s="402"/>
      <c r="S17" s="402"/>
      <c r="T17" s="405" t="s">
        <v>535</v>
      </c>
      <c r="U17" s="409">
        <v>92500</v>
      </c>
      <c r="V17" s="407"/>
      <c r="W17" s="409" t="s">
        <v>979</v>
      </c>
      <c r="X17" s="402"/>
      <c r="Y17" s="409">
        <v>99200</v>
      </c>
      <c r="Z17" s="407"/>
      <c r="AA17" s="409" t="s">
        <v>536</v>
      </c>
      <c r="AB17" s="313"/>
      <c r="AC17" s="313"/>
      <c r="AD17" s="313"/>
      <c r="AE17" s="313"/>
      <c r="AF17" s="313"/>
      <c r="AG17" s="313"/>
    </row>
    <row r="18" spans="2:33" s="10" customFormat="1" ht="5.0999999999999996" customHeight="1" x14ac:dyDescent="0.25">
      <c r="J18" s="313"/>
      <c r="K18" s="313"/>
      <c r="L18" s="402"/>
      <c r="M18" s="402"/>
      <c r="N18" s="402"/>
      <c r="O18" s="402"/>
      <c r="P18" s="402"/>
      <c r="Q18" s="402"/>
      <c r="R18" s="402"/>
      <c r="S18" s="402"/>
      <c r="T18" s="402"/>
      <c r="U18" s="402"/>
      <c r="V18" s="402"/>
      <c r="W18" s="402"/>
      <c r="X18" s="402"/>
      <c r="Y18" s="402"/>
      <c r="Z18" s="402"/>
      <c r="AA18" s="402"/>
      <c r="AB18" s="218"/>
      <c r="AC18" s="218"/>
      <c r="AD18" s="218"/>
      <c r="AE18" s="218"/>
      <c r="AF18" s="218"/>
      <c r="AG18" s="313"/>
    </row>
    <row r="19" spans="2:33" s="10" customFormat="1" ht="15.95" customHeight="1" x14ac:dyDescent="0.25">
      <c r="B19" s="10" t="s">
        <v>540</v>
      </c>
      <c r="C19" s="28">
        <f>P19</f>
        <v>40000</v>
      </c>
      <c r="D19" s="10" t="str">
        <f>CONCATENATE("(",TEXT(L19,"$#,##0"),M19,TEXT(N19,"$#,##0"),")",)</f>
        <v>($66,400 – $26,400)</v>
      </c>
      <c r="J19" s="313"/>
      <c r="K19" s="313"/>
      <c r="L19" s="410">
        <f>Y7</f>
        <v>66400</v>
      </c>
      <c r="M19" s="410" t="s">
        <v>1589</v>
      </c>
      <c r="N19" s="410">
        <f>Y6</f>
        <v>26400</v>
      </c>
      <c r="O19" s="410" t="s">
        <v>1587</v>
      </c>
      <c r="P19" s="410">
        <f>SUM(L19-N19)</f>
        <v>40000</v>
      </c>
      <c r="Q19" s="402"/>
      <c r="R19" s="402"/>
      <c r="S19" s="402"/>
      <c r="T19" s="405" t="s">
        <v>537</v>
      </c>
      <c r="U19" s="409" t="s">
        <v>953</v>
      </c>
      <c r="V19" s="402"/>
      <c r="W19" s="409">
        <v>14800</v>
      </c>
      <c r="X19" s="402"/>
      <c r="Y19" s="409" t="s">
        <v>538</v>
      </c>
      <c r="Z19" s="402"/>
      <c r="AA19" s="409">
        <v>10700</v>
      </c>
      <c r="AB19" s="218"/>
      <c r="AC19" s="218"/>
      <c r="AD19" s="218"/>
      <c r="AE19" s="218"/>
      <c r="AF19" s="218"/>
      <c r="AG19" s="313"/>
    </row>
    <row r="20" spans="2:33" s="10" customFormat="1" ht="9.9499999999999993" customHeight="1" x14ac:dyDescent="0.25">
      <c r="C20" s="28"/>
      <c r="J20" s="313"/>
      <c r="K20" s="313"/>
      <c r="L20" s="402"/>
      <c r="M20" s="402"/>
      <c r="N20" s="402"/>
      <c r="O20" s="402"/>
      <c r="P20" s="402"/>
      <c r="Q20" s="402"/>
      <c r="R20" s="402"/>
      <c r="S20" s="402"/>
      <c r="T20" s="402"/>
      <c r="U20" s="402"/>
      <c r="V20" s="402"/>
      <c r="W20" s="402"/>
      <c r="X20" s="402"/>
      <c r="Y20" s="402"/>
      <c r="Z20" s="402"/>
      <c r="AA20" s="402"/>
      <c r="AB20" s="218"/>
      <c r="AC20" s="218"/>
      <c r="AD20" s="218"/>
      <c r="AE20" s="218"/>
      <c r="AF20" s="218"/>
      <c r="AG20" s="313"/>
    </row>
    <row r="21" spans="2:33" s="10" customFormat="1" ht="15.95" customHeight="1" x14ac:dyDescent="0.25">
      <c r="B21" s="10" t="s">
        <v>541</v>
      </c>
      <c r="J21" s="313"/>
      <c r="K21" s="313"/>
      <c r="L21" s="402"/>
      <c r="M21" s="412" t="s">
        <v>794</v>
      </c>
      <c r="N21" s="402"/>
      <c r="O21" s="402"/>
      <c r="P21" s="402"/>
      <c r="Q21" s="402"/>
      <c r="R21" s="402"/>
      <c r="S21" s="402"/>
      <c r="T21" s="402"/>
      <c r="U21" s="410"/>
      <c r="V21" s="402"/>
      <c r="W21" s="402"/>
      <c r="X21" s="402"/>
      <c r="Y21" s="410"/>
      <c r="Z21" s="402"/>
      <c r="AA21" s="402"/>
      <c r="AB21" s="218"/>
      <c r="AC21" s="218"/>
      <c r="AD21" s="218"/>
      <c r="AE21" s="218"/>
      <c r="AF21" s="218"/>
      <c r="AG21" s="313"/>
    </row>
    <row r="22" spans="2:33" s="10" customFormat="1" ht="5.0999999999999996" customHeight="1" x14ac:dyDescent="0.25">
      <c r="J22" s="313"/>
      <c r="K22" s="313"/>
      <c r="L22" s="402"/>
      <c r="M22" s="402"/>
      <c r="N22" s="402"/>
      <c r="O22" s="402"/>
      <c r="P22" s="402"/>
      <c r="Q22" s="402"/>
      <c r="R22" s="402"/>
      <c r="S22" s="402"/>
      <c r="T22" s="402"/>
      <c r="U22" s="402"/>
      <c r="V22" s="402"/>
      <c r="W22" s="402"/>
      <c r="X22" s="402"/>
      <c r="Y22" s="402"/>
      <c r="Z22" s="402"/>
      <c r="AA22" s="402"/>
      <c r="AB22" s="313"/>
      <c r="AC22" s="218"/>
      <c r="AD22" s="218"/>
      <c r="AE22" s="218"/>
      <c r="AF22" s="218"/>
      <c r="AG22" s="313"/>
    </row>
    <row r="23" spans="2:33" s="10" customFormat="1" ht="15.95" customHeight="1" x14ac:dyDescent="0.25">
      <c r="B23" s="10" t="s">
        <v>542</v>
      </c>
      <c r="C23" s="28">
        <f>P23</f>
        <v>29500</v>
      </c>
      <c r="D23" s="10" t="str">
        <f>CONCATENATE("(",TEXT(L23,"$#,##0"),M23,TEXT(N23,"$#,##0"),")",)</f>
        <v>($84,500 – $55,000)</v>
      </c>
      <c r="J23" s="313"/>
      <c r="K23" s="313"/>
      <c r="L23" s="410">
        <f>Y15</f>
        <v>84500</v>
      </c>
      <c r="M23" s="410" t="s">
        <v>1589</v>
      </c>
      <c r="N23" s="410">
        <f>Y13</f>
        <v>55000</v>
      </c>
      <c r="O23" s="410" t="s">
        <v>1587</v>
      </c>
      <c r="P23" s="410">
        <f>SUM(L23-N23)</f>
        <v>29500</v>
      </c>
      <c r="Q23" s="402"/>
      <c r="R23" s="402"/>
      <c r="S23" s="402"/>
      <c r="T23" s="405"/>
      <c r="U23" s="410"/>
      <c r="V23" s="402"/>
      <c r="W23" s="402"/>
      <c r="X23" s="402"/>
      <c r="Y23" s="410"/>
      <c r="Z23" s="402"/>
      <c r="AA23" s="402"/>
      <c r="AB23" s="218"/>
      <c r="AC23" s="218"/>
      <c r="AD23" s="218"/>
      <c r="AE23" s="218"/>
      <c r="AF23" s="218"/>
      <c r="AG23" s="313"/>
    </row>
    <row r="24" spans="2:33" s="10" customFormat="1" ht="15.95" customHeight="1" x14ac:dyDescent="0.25">
      <c r="B24" s="11" t="s">
        <v>528</v>
      </c>
      <c r="C24" s="28">
        <f>R24</f>
        <v>2900</v>
      </c>
      <c r="D24" s="10" t="str">
        <f>CONCATENATE("(",TEXT(L24,"$#,##0"),M24,TEXT(N24,"$#,##0"),O24,TEXT(P24,"$#,##0"),")",)</f>
        <v>($26,400 + $6,000 – $29,500)</v>
      </c>
      <c r="J24" s="313"/>
      <c r="K24" s="313"/>
      <c r="L24" s="410">
        <f>Y6</f>
        <v>26400</v>
      </c>
      <c r="M24" s="410" t="s">
        <v>1588</v>
      </c>
      <c r="N24" s="410">
        <f>Y8</f>
        <v>6000</v>
      </c>
      <c r="O24" s="410" t="s">
        <v>1589</v>
      </c>
      <c r="P24" s="410">
        <f>P23</f>
        <v>29500</v>
      </c>
      <c r="Q24" s="410" t="s">
        <v>1587</v>
      </c>
      <c r="R24" s="410">
        <f>SUM(L24+N24-P24)</f>
        <v>2900</v>
      </c>
      <c r="S24" s="402"/>
      <c r="T24" s="405"/>
      <c r="U24" s="410"/>
      <c r="V24" s="402"/>
      <c r="W24" s="402"/>
      <c r="X24" s="402"/>
      <c r="Y24" s="410"/>
      <c r="Z24" s="402"/>
      <c r="AA24" s="402"/>
      <c r="AB24" s="218"/>
      <c r="AC24" s="218"/>
      <c r="AD24" s="218"/>
      <c r="AE24" s="218"/>
      <c r="AF24" s="218"/>
      <c r="AG24" s="313"/>
    </row>
    <row r="25" spans="2:33" s="10" customFormat="1" ht="15.95" customHeight="1" x14ac:dyDescent="0.25">
      <c r="B25" s="10" t="s">
        <v>543</v>
      </c>
      <c r="C25" s="28">
        <f>P25</f>
        <v>14700</v>
      </c>
      <c r="D25" s="10" t="str">
        <f>CONCATENATE("(",TEXT(L25,"$#,##0"),M25,TEXT(N25,"$#,##0"),")",)</f>
        <v>($99,200 – $84,500)</v>
      </c>
      <c r="J25" s="313"/>
      <c r="K25" s="313"/>
      <c r="L25" s="410">
        <f>Y17</f>
        <v>99200</v>
      </c>
      <c r="M25" s="410" t="s">
        <v>1589</v>
      </c>
      <c r="N25" s="410">
        <f>Y15</f>
        <v>84500</v>
      </c>
      <c r="O25" s="410" t="s">
        <v>1587</v>
      </c>
      <c r="P25" s="410">
        <f>SUM(L25-N25)</f>
        <v>14700</v>
      </c>
      <c r="Q25" s="402"/>
      <c r="R25" s="402"/>
      <c r="S25" s="402"/>
      <c r="T25" s="405"/>
      <c r="U25" s="410"/>
      <c r="V25" s="402"/>
      <c r="W25" s="402"/>
      <c r="X25" s="402"/>
      <c r="Y25" s="410"/>
      <c r="Z25" s="402"/>
      <c r="AA25" s="402"/>
      <c r="AB25" s="218"/>
      <c r="AC25" s="218"/>
      <c r="AD25" s="218"/>
      <c r="AE25" s="218"/>
      <c r="AF25" s="218"/>
      <c r="AG25" s="313"/>
    </row>
    <row r="26" spans="2:33" s="10" customFormat="1" ht="9.9499999999999993" customHeight="1" x14ac:dyDescent="0.25">
      <c r="J26" s="313"/>
      <c r="K26" s="313"/>
      <c r="L26" s="402"/>
      <c r="M26" s="402"/>
      <c r="N26" s="402"/>
      <c r="O26" s="402"/>
      <c r="P26" s="402"/>
      <c r="Q26" s="402"/>
      <c r="R26" s="402"/>
      <c r="S26" s="402"/>
      <c r="T26" s="402"/>
      <c r="U26" s="402"/>
      <c r="V26" s="402"/>
      <c r="W26" s="402"/>
      <c r="X26" s="402"/>
      <c r="Y26" s="402"/>
      <c r="Z26" s="402"/>
      <c r="AA26" s="402"/>
      <c r="AB26" s="218"/>
      <c r="AC26" s="218"/>
      <c r="AD26" s="218"/>
      <c r="AE26" s="218"/>
      <c r="AF26" s="218"/>
      <c r="AG26" s="313"/>
    </row>
    <row r="27" spans="2:33" s="10" customFormat="1" ht="15.95" customHeight="1" x14ac:dyDescent="0.25">
      <c r="B27" s="10" t="s">
        <v>544</v>
      </c>
      <c r="J27" s="313"/>
      <c r="K27" s="313"/>
      <c r="L27" s="402"/>
      <c r="M27" s="412" t="s">
        <v>794</v>
      </c>
      <c r="N27" s="402"/>
      <c r="O27" s="402"/>
      <c r="P27" s="402"/>
      <c r="Q27" s="402"/>
      <c r="R27" s="402"/>
      <c r="S27" s="402"/>
      <c r="T27" s="402"/>
      <c r="U27" s="402"/>
      <c r="V27" s="402"/>
      <c r="W27" s="402"/>
      <c r="X27" s="402"/>
      <c r="Y27" s="402"/>
      <c r="Z27" s="402"/>
      <c r="AA27" s="402"/>
      <c r="AB27" s="218"/>
      <c r="AC27" s="218"/>
      <c r="AD27" s="218"/>
      <c r="AE27" s="218"/>
      <c r="AF27" s="218"/>
      <c r="AG27" s="313"/>
    </row>
    <row r="28" spans="2:33" s="10" customFormat="1" ht="5.0999999999999996" customHeight="1" x14ac:dyDescent="0.25">
      <c r="J28" s="313"/>
      <c r="K28" s="313"/>
      <c r="L28" s="402"/>
      <c r="M28" s="402"/>
      <c r="N28" s="402"/>
      <c r="O28" s="402"/>
      <c r="P28" s="402"/>
      <c r="Q28" s="402"/>
      <c r="R28" s="402"/>
      <c r="S28" s="402"/>
      <c r="T28" s="402"/>
      <c r="U28" s="402"/>
      <c r="V28" s="402"/>
      <c r="W28" s="402"/>
      <c r="X28" s="402"/>
      <c r="Y28" s="402"/>
      <c r="Z28" s="402"/>
      <c r="AA28" s="402"/>
      <c r="AB28" s="218"/>
      <c r="AC28" s="218"/>
      <c r="AD28" s="218"/>
      <c r="AE28" s="218"/>
      <c r="AF28" s="218"/>
      <c r="AG28" s="313"/>
    </row>
    <row r="29" spans="2:33" s="10" customFormat="1" ht="15.95" customHeight="1" x14ac:dyDescent="0.25">
      <c r="B29" s="16" t="s">
        <v>545</v>
      </c>
      <c r="C29" s="28">
        <f>R29</f>
        <v>7100</v>
      </c>
      <c r="D29" s="10" t="str">
        <f>CONCATENATE("(",TEXT(L29,"$#,##0"),M29,TEXT(N29,"$#,##0"),O29,TEXT(P29,"$#,##0"),")",)</f>
        <v>($27,600 – $21,900 + $1,400)</v>
      </c>
      <c r="J29" s="313"/>
      <c r="K29" s="313"/>
      <c r="L29" s="410">
        <f>AA14</f>
        <v>27600</v>
      </c>
      <c r="M29" s="410" t="s">
        <v>1589</v>
      </c>
      <c r="N29" s="410">
        <f>AA6</f>
        <v>21900</v>
      </c>
      <c r="O29" s="410" t="s">
        <v>1588</v>
      </c>
      <c r="P29" s="410">
        <f>AA10</f>
        <v>1400</v>
      </c>
      <c r="Q29" s="410" t="s">
        <v>1587</v>
      </c>
      <c r="R29" s="410">
        <f>SUM(L29-N29+P29)</f>
        <v>7100</v>
      </c>
      <c r="S29" s="402"/>
      <c r="T29" s="405"/>
      <c r="U29" s="410"/>
      <c r="V29" s="402"/>
      <c r="W29" s="403"/>
      <c r="X29" s="402"/>
      <c r="Y29" s="403"/>
      <c r="Z29" s="402"/>
      <c r="AA29" s="403"/>
      <c r="AB29" s="218"/>
      <c r="AC29" s="218"/>
      <c r="AD29" s="218"/>
      <c r="AE29" s="218"/>
      <c r="AF29" s="218"/>
      <c r="AG29" s="313"/>
    </row>
    <row r="30" spans="2:33" s="10" customFormat="1" ht="15.95" customHeight="1" x14ac:dyDescent="0.25">
      <c r="B30" s="10" t="s">
        <v>546</v>
      </c>
      <c r="C30" s="28">
        <f>P30</f>
        <v>42600</v>
      </c>
      <c r="D30" s="10" t="str">
        <f>CONCATENATE("(",TEXT(L30,"$#,##0"),M30,TEXT(N30,"$#,##0"),")",)</f>
        <v>($15,000 + $27,600)</v>
      </c>
      <c r="J30" s="313"/>
      <c r="K30" s="313"/>
      <c r="L30" s="410">
        <f>AA13</f>
        <v>15000</v>
      </c>
      <c r="M30" s="410" t="s">
        <v>1588</v>
      </c>
      <c r="N30" s="410">
        <f>AA14</f>
        <v>27600</v>
      </c>
      <c r="O30" s="410" t="s">
        <v>1587</v>
      </c>
      <c r="P30" s="410">
        <f>SUM(L30+N30)</f>
        <v>42600</v>
      </c>
      <c r="Q30" s="402"/>
      <c r="R30" s="402"/>
      <c r="S30" s="402"/>
      <c r="T30" s="405"/>
      <c r="U30" s="410"/>
      <c r="V30" s="402"/>
      <c r="W30" s="402"/>
      <c r="X30" s="402"/>
      <c r="Y30" s="402"/>
      <c r="Z30" s="402"/>
      <c r="AA30" s="402"/>
      <c r="AB30" s="218"/>
      <c r="AC30" s="218"/>
      <c r="AD30" s="218"/>
      <c r="AE30" s="218"/>
      <c r="AF30" s="218"/>
      <c r="AG30" s="313"/>
    </row>
    <row r="31" spans="2:33" s="10" customFormat="1" ht="15.95" customHeight="1" x14ac:dyDescent="0.25">
      <c r="B31" s="10" t="s">
        <v>547</v>
      </c>
      <c r="C31" s="28">
        <f>P31</f>
        <v>53300</v>
      </c>
      <c r="D31" s="10" t="str">
        <f>CONCATENATE("(",TEXT(L31,"$#,##0"),M31,TEXT(N31,"$#,##0"),")",)</f>
        <v>($10,700 + $42,600)</v>
      </c>
      <c r="J31" s="313"/>
      <c r="K31" s="313"/>
      <c r="L31" s="410">
        <f>AA19</f>
        <v>10700</v>
      </c>
      <c r="M31" s="410" t="s">
        <v>1588</v>
      </c>
      <c r="N31" s="410">
        <f>P30</f>
        <v>42600</v>
      </c>
      <c r="O31" s="410" t="s">
        <v>1587</v>
      </c>
      <c r="P31" s="410">
        <f>SUM(L31+N31)</f>
        <v>53300</v>
      </c>
      <c r="Q31" s="402"/>
      <c r="R31" s="402"/>
      <c r="S31" s="402"/>
      <c r="T31" s="405"/>
      <c r="U31" s="410"/>
      <c r="V31" s="402"/>
      <c r="W31" s="402"/>
      <c r="X31" s="402"/>
      <c r="Y31" s="402"/>
      <c r="Z31" s="402"/>
      <c r="AA31" s="402"/>
      <c r="AB31" s="218"/>
      <c r="AC31" s="218"/>
      <c r="AD31" s="218"/>
      <c r="AE31" s="218"/>
      <c r="AF31" s="218"/>
      <c r="AG31" s="313"/>
    </row>
    <row r="32" spans="2:33" ht="5.0999999999999996" customHeight="1" x14ac:dyDescent="0.2">
      <c r="S32" s="402"/>
      <c r="AB32" s="316"/>
      <c r="AC32" s="316"/>
      <c r="AD32" s="316"/>
      <c r="AE32" s="316"/>
      <c r="AF32" s="316"/>
    </row>
    <row r="33" spans="2:33" ht="15.95" customHeight="1" x14ac:dyDescent="0.25">
      <c r="B33" s="10"/>
      <c r="S33" s="402"/>
      <c r="AB33" s="316"/>
      <c r="AC33" s="316"/>
      <c r="AD33" s="316"/>
      <c r="AE33" s="316"/>
      <c r="AF33" s="316"/>
    </row>
    <row r="34" spans="2:33" s="10" customFormat="1" ht="15.95" customHeight="1" x14ac:dyDescent="0.25">
      <c r="J34" s="313"/>
      <c r="K34" s="313"/>
      <c r="L34" s="402"/>
      <c r="M34" s="402"/>
      <c r="N34" s="402"/>
      <c r="O34" s="402"/>
      <c r="P34" s="402"/>
      <c r="Q34" s="402"/>
      <c r="R34" s="402"/>
      <c r="S34" s="402"/>
      <c r="T34" s="405"/>
      <c r="U34" s="452"/>
      <c r="V34" s="402"/>
      <c r="W34" s="403"/>
      <c r="X34" s="402"/>
      <c r="Y34" s="452"/>
      <c r="Z34" s="402"/>
      <c r="AA34" s="403"/>
      <c r="AB34" s="218"/>
      <c r="AC34" s="218"/>
      <c r="AD34" s="218"/>
      <c r="AE34" s="218"/>
      <c r="AF34" s="218"/>
      <c r="AG34" s="313"/>
    </row>
    <row r="35" spans="2:33" s="10" customFormat="1" ht="15.95" customHeight="1" x14ac:dyDescent="0.25">
      <c r="J35" s="313"/>
      <c r="K35" s="313"/>
      <c r="L35" s="402"/>
      <c r="M35" s="402"/>
      <c r="N35" s="402"/>
      <c r="O35" s="402"/>
      <c r="P35" s="402"/>
      <c r="Q35" s="402"/>
      <c r="R35" s="402"/>
      <c r="S35" s="402"/>
      <c r="T35" s="402"/>
      <c r="U35" s="402"/>
      <c r="V35" s="402"/>
      <c r="W35" s="402"/>
      <c r="X35" s="402"/>
      <c r="Y35" s="402"/>
      <c r="Z35" s="402"/>
      <c r="AA35" s="402"/>
      <c r="AB35" s="209"/>
      <c r="AC35" s="313"/>
      <c r="AD35" s="313"/>
      <c r="AE35" s="313"/>
      <c r="AF35" s="314"/>
      <c r="AG35" s="313"/>
    </row>
    <row r="36" spans="2:33" s="10" customFormat="1" ht="15.95" customHeight="1" x14ac:dyDescent="0.25">
      <c r="J36" s="313"/>
      <c r="K36" s="313"/>
      <c r="L36" s="402"/>
      <c r="M36" s="402"/>
      <c r="N36" s="402"/>
      <c r="O36" s="402"/>
      <c r="P36" s="402"/>
      <c r="Q36" s="402"/>
      <c r="R36" s="405"/>
      <c r="S36" s="402"/>
      <c r="T36" s="402"/>
      <c r="U36" s="402"/>
      <c r="V36" s="402"/>
      <c r="W36" s="402"/>
      <c r="X36" s="402"/>
      <c r="Y36" s="405"/>
      <c r="Z36" s="402"/>
      <c r="AA36" s="410"/>
      <c r="AB36" s="218"/>
      <c r="AC36" s="218"/>
      <c r="AD36" s="218"/>
      <c r="AE36" s="218"/>
      <c r="AF36" s="218"/>
      <c r="AG36" s="313"/>
    </row>
    <row r="37" spans="2:33" s="10" customFormat="1" ht="15.95" customHeight="1" x14ac:dyDescent="0.25">
      <c r="D37" s="13"/>
      <c r="E37" s="14"/>
      <c r="F37" s="13"/>
      <c r="G37" s="14"/>
      <c r="J37" s="313"/>
      <c r="K37" s="313"/>
      <c r="L37" s="402"/>
      <c r="M37" s="402"/>
      <c r="N37" s="402"/>
      <c r="O37" s="402"/>
      <c r="P37" s="402"/>
      <c r="Q37" s="402"/>
      <c r="R37" s="402"/>
      <c r="S37" s="402"/>
      <c r="T37" s="402"/>
      <c r="U37" s="402"/>
      <c r="V37" s="402"/>
      <c r="W37" s="402"/>
      <c r="X37" s="402"/>
      <c r="Y37" s="410"/>
      <c r="Z37" s="402"/>
      <c r="AA37" s="402"/>
      <c r="AB37" s="218"/>
      <c r="AC37" s="313"/>
      <c r="AD37" s="313"/>
      <c r="AE37" s="313"/>
      <c r="AF37" s="218"/>
      <c r="AG37" s="313"/>
    </row>
    <row r="38" spans="2:33" s="10" customFormat="1" ht="15.95" customHeight="1" x14ac:dyDescent="0.25">
      <c r="D38" s="34"/>
      <c r="E38" s="14"/>
      <c r="F38" s="34"/>
      <c r="G38" s="14"/>
      <c r="H38" s="28"/>
      <c r="J38" s="313"/>
      <c r="K38" s="313"/>
      <c r="L38" s="402"/>
      <c r="M38" s="402"/>
      <c r="N38" s="402"/>
      <c r="O38" s="402"/>
      <c r="P38" s="402"/>
      <c r="Q38" s="402"/>
      <c r="R38" s="402"/>
      <c r="S38" s="402"/>
      <c r="T38" s="402"/>
      <c r="U38" s="402"/>
      <c r="V38" s="402"/>
      <c r="W38" s="402"/>
      <c r="X38" s="402"/>
      <c r="Y38" s="410"/>
      <c r="Z38" s="402"/>
      <c r="AA38" s="402"/>
      <c r="AB38" s="218"/>
      <c r="AC38" s="313"/>
      <c r="AD38" s="313"/>
      <c r="AE38" s="313"/>
      <c r="AF38" s="218"/>
      <c r="AG38" s="313"/>
    </row>
    <row r="39" spans="2:33" s="10" customFormat="1" ht="15.95" customHeight="1" x14ac:dyDescent="0.25">
      <c r="D39" s="34"/>
      <c r="E39" s="14"/>
      <c r="F39" s="34"/>
      <c r="G39" s="14"/>
      <c r="H39" s="28"/>
      <c r="J39" s="313"/>
      <c r="K39" s="313"/>
      <c r="L39" s="402"/>
      <c r="M39" s="402"/>
      <c r="N39" s="402"/>
      <c r="O39" s="402"/>
      <c r="P39" s="402"/>
      <c r="Q39" s="402"/>
      <c r="R39" s="402"/>
      <c r="S39" s="402"/>
      <c r="T39" s="402"/>
      <c r="U39" s="402"/>
      <c r="V39" s="402"/>
      <c r="W39" s="402"/>
      <c r="X39" s="402"/>
      <c r="Y39" s="402"/>
      <c r="Z39" s="402"/>
      <c r="AA39" s="448"/>
      <c r="AB39" s="218"/>
      <c r="AC39" s="313"/>
      <c r="AD39" s="313"/>
      <c r="AE39" s="313"/>
      <c r="AF39" s="218"/>
      <c r="AG39" s="313"/>
    </row>
    <row r="40" spans="2:33" s="10" customFormat="1" ht="15.95" customHeight="1" x14ac:dyDescent="0.25">
      <c r="D40" s="21"/>
      <c r="E40" s="14"/>
      <c r="F40" s="77"/>
      <c r="G40" s="14"/>
      <c r="H40" s="21"/>
      <c r="J40" s="313"/>
      <c r="K40" s="313"/>
      <c r="L40" s="402"/>
      <c r="M40" s="402"/>
      <c r="N40" s="402"/>
      <c r="O40" s="402"/>
      <c r="P40" s="402"/>
      <c r="Q40" s="402"/>
      <c r="R40" s="402"/>
      <c r="S40" s="402"/>
      <c r="T40" s="402"/>
      <c r="U40" s="402"/>
      <c r="V40" s="402"/>
      <c r="W40" s="448"/>
      <c r="X40" s="448"/>
      <c r="Y40" s="402"/>
      <c r="Z40" s="402"/>
      <c r="AA40" s="448"/>
      <c r="AB40" s="218"/>
      <c r="AC40" s="313"/>
      <c r="AD40" s="313"/>
      <c r="AE40" s="313"/>
      <c r="AF40" s="218"/>
      <c r="AG40" s="313"/>
    </row>
    <row r="41" spans="2:33" s="10" customFormat="1" ht="15.95" customHeight="1" x14ac:dyDescent="0.25">
      <c r="J41" s="313"/>
      <c r="K41" s="313"/>
      <c r="L41" s="402"/>
      <c r="M41" s="402"/>
      <c r="N41" s="402"/>
      <c r="O41" s="402"/>
      <c r="P41" s="402"/>
      <c r="Q41" s="402"/>
      <c r="R41" s="402"/>
      <c r="S41" s="402"/>
      <c r="T41" s="402"/>
      <c r="U41" s="402"/>
      <c r="V41" s="405"/>
      <c r="W41" s="402"/>
      <c r="X41" s="410"/>
      <c r="Y41" s="402"/>
      <c r="Z41" s="402"/>
      <c r="AA41" s="402"/>
      <c r="AB41" s="218"/>
      <c r="AC41" s="313"/>
      <c r="AD41" s="313"/>
      <c r="AE41" s="313"/>
      <c r="AF41" s="218"/>
      <c r="AG41" s="313"/>
    </row>
    <row r="42" spans="2:33" s="10" customFormat="1" ht="15.95" customHeight="1" x14ac:dyDescent="0.25">
      <c r="J42" s="313"/>
      <c r="K42" s="313"/>
      <c r="L42" s="402"/>
      <c r="M42" s="402"/>
      <c r="N42" s="402"/>
      <c r="O42" s="402"/>
      <c r="P42" s="402"/>
      <c r="Q42" s="402"/>
      <c r="R42" s="402"/>
      <c r="S42" s="402"/>
      <c r="T42" s="402"/>
      <c r="U42" s="402"/>
      <c r="V42" s="402"/>
      <c r="W42" s="447"/>
      <c r="X42" s="447"/>
      <c r="Y42" s="402"/>
      <c r="Z42" s="402"/>
      <c r="AA42" s="402"/>
      <c r="AB42" s="218"/>
      <c r="AC42" s="313"/>
      <c r="AD42" s="313"/>
      <c r="AE42" s="313"/>
      <c r="AF42" s="218"/>
      <c r="AG42" s="313"/>
    </row>
    <row r="43" spans="2:33" s="10" customFormat="1" ht="15.95" customHeight="1" x14ac:dyDescent="0.25">
      <c r="B43" s="354"/>
      <c r="C43" s="354"/>
      <c r="D43" s="354"/>
      <c r="E43" s="354"/>
      <c r="J43" s="313"/>
      <c r="K43" s="313"/>
      <c r="L43" s="402"/>
      <c r="M43" s="402"/>
      <c r="N43" s="402"/>
      <c r="O43" s="402"/>
      <c r="P43" s="402"/>
      <c r="Q43" s="402"/>
      <c r="R43" s="402"/>
      <c r="S43" s="402"/>
      <c r="T43" s="402"/>
      <c r="U43" s="402"/>
      <c r="V43" s="402"/>
      <c r="W43" s="402"/>
      <c r="X43" s="447"/>
      <c r="Y43" s="402"/>
      <c r="Z43" s="402"/>
      <c r="AA43" s="402"/>
      <c r="AB43" s="218"/>
      <c r="AC43" s="313"/>
      <c r="AD43" s="313"/>
      <c r="AE43" s="313"/>
      <c r="AF43" s="218"/>
      <c r="AG43" s="313"/>
    </row>
    <row r="44" spans="2:33" s="10" customFormat="1" ht="15.95" customHeight="1" x14ac:dyDescent="0.25">
      <c r="B44" s="354"/>
      <c r="C44" s="354"/>
      <c r="D44" s="354"/>
      <c r="E44" s="354"/>
      <c r="F44" s="91"/>
      <c r="J44" s="313"/>
      <c r="K44" s="313"/>
      <c r="L44" s="402"/>
      <c r="M44" s="402"/>
      <c r="N44" s="402"/>
      <c r="O44" s="402"/>
      <c r="P44" s="402"/>
      <c r="Q44" s="402"/>
      <c r="R44" s="402"/>
      <c r="S44" s="402"/>
      <c r="T44" s="402"/>
      <c r="U44" s="402"/>
      <c r="V44" s="402"/>
      <c r="W44" s="402"/>
      <c r="X44" s="410"/>
      <c r="Y44" s="402"/>
      <c r="Z44" s="402"/>
      <c r="AA44" s="402"/>
      <c r="AB44" s="218"/>
      <c r="AC44" s="313"/>
      <c r="AD44" s="313"/>
      <c r="AE44" s="313"/>
      <c r="AF44" s="218"/>
      <c r="AG44" s="313"/>
    </row>
    <row r="45" spans="2:33" s="10" customFormat="1" ht="15.95" customHeight="1" x14ac:dyDescent="0.25">
      <c r="E45" s="14"/>
      <c r="F45" s="91"/>
      <c r="J45" s="313"/>
      <c r="K45" s="313"/>
      <c r="L45" s="402"/>
      <c r="M45" s="402"/>
      <c r="N45" s="402"/>
      <c r="O45" s="402"/>
      <c r="P45" s="402"/>
      <c r="Q45" s="402"/>
      <c r="R45" s="402"/>
      <c r="S45" s="402"/>
      <c r="T45" s="402"/>
      <c r="U45" s="402"/>
      <c r="V45" s="402"/>
      <c r="W45" s="402"/>
      <c r="X45" s="447"/>
      <c r="Y45" s="402"/>
      <c r="Z45" s="402"/>
      <c r="AA45" s="402"/>
      <c r="AB45" s="218"/>
      <c r="AC45" s="313"/>
      <c r="AD45" s="313"/>
      <c r="AE45" s="313"/>
      <c r="AF45" s="218"/>
      <c r="AG45" s="313"/>
    </row>
    <row r="46" spans="2:33" s="10" customFormat="1" ht="15.95" customHeight="1" x14ac:dyDescent="0.25">
      <c r="B46" s="354"/>
      <c r="C46" s="354"/>
      <c r="D46" s="354"/>
      <c r="E46" s="354"/>
      <c r="J46" s="313"/>
      <c r="K46" s="313"/>
      <c r="L46" s="402"/>
      <c r="M46" s="402"/>
      <c r="N46" s="402"/>
      <c r="O46" s="402"/>
      <c r="P46" s="402"/>
      <c r="Q46" s="402"/>
      <c r="R46" s="402"/>
      <c r="S46" s="402"/>
      <c r="T46" s="402"/>
      <c r="U46" s="402"/>
      <c r="V46" s="402"/>
      <c r="W46" s="402"/>
      <c r="X46" s="410"/>
      <c r="Y46" s="402"/>
      <c r="Z46" s="402"/>
      <c r="AA46" s="402"/>
      <c r="AB46" s="218"/>
      <c r="AC46" s="313"/>
      <c r="AD46" s="313"/>
      <c r="AE46" s="313"/>
      <c r="AF46" s="218"/>
      <c r="AG46" s="313"/>
    </row>
    <row r="47" spans="2:33" s="10" customFormat="1" ht="15.95" customHeight="1" x14ac:dyDescent="0.25">
      <c r="J47" s="313"/>
      <c r="K47" s="313"/>
      <c r="L47" s="402"/>
      <c r="M47" s="402"/>
      <c r="N47" s="402"/>
      <c r="O47" s="402"/>
      <c r="P47" s="402"/>
      <c r="Q47" s="402"/>
      <c r="R47" s="402"/>
      <c r="S47" s="402"/>
      <c r="T47" s="402"/>
      <c r="U47" s="402"/>
      <c r="V47" s="402"/>
      <c r="W47" s="402"/>
      <c r="X47" s="410"/>
      <c r="Y47" s="402"/>
      <c r="Z47" s="402"/>
      <c r="AA47" s="402"/>
      <c r="AB47" s="218"/>
      <c r="AC47" s="313"/>
      <c r="AD47" s="313"/>
      <c r="AE47" s="313"/>
      <c r="AF47" s="218"/>
      <c r="AG47" s="313"/>
    </row>
    <row r="48" spans="2:33" s="10" customFormat="1" ht="15.95" customHeight="1" x14ac:dyDescent="0.25">
      <c r="J48" s="313"/>
      <c r="K48" s="313"/>
      <c r="L48" s="402"/>
      <c r="M48" s="402"/>
      <c r="N48" s="402"/>
      <c r="O48" s="402"/>
      <c r="P48" s="402"/>
      <c r="Q48" s="402"/>
      <c r="R48" s="402"/>
      <c r="S48" s="402"/>
      <c r="T48" s="402"/>
      <c r="U48" s="402"/>
      <c r="V48" s="402"/>
      <c r="W48" s="402"/>
      <c r="X48" s="402"/>
      <c r="Y48" s="402"/>
      <c r="Z48" s="402"/>
      <c r="AA48" s="402"/>
      <c r="AB48" s="218"/>
      <c r="AC48" s="323"/>
      <c r="AD48" s="218"/>
      <c r="AE48" s="218"/>
      <c r="AF48" s="218"/>
      <c r="AG48" s="313"/>
    </row>
    <row r="49" spans="2:33" s="10" customFormat="1" ht="15.95" customHeight="1" x14ac:dyDescent="0.25">
      <c r="B49" s="354"/>
      <c r="C49" s="354"/>
      <c r="D49" s="354"/>
      <c r="E49" s="354"/>
      <c r="J49" s="313"/>
      <c r="K49" s="313"/>
      <c r="L49" s="402"/>
      <c r="M49" s="402"/>
      <c r="N49" s="402"/>
      <c r="O49" s="402"/>
      <c r="P49" s="402"/>
      <c r="Q49" s="402"/>
      <c r="R49" s="402"/>
      <c r="S49" s="402"/>
      <c r="T49" s="402"/>
      <c r="U49" s="402"/>
      <c r="V49" s="402"/>
      <c r="W49" s="402"/>
      <c r="X49" s="402"/>
      <c r="Y49" s="402"/>
      <c r="Z49" s="402"/>
      <c r="AA49" s="402"/>
      <c r="AB49" s="313"/>
      <c r="AC49" s="313"/>
      <c r="AD49" s="313"/>
      <c r="AE49" s="313"/>
      <c r="AF49" s="313"/>
      <c r="AG49" s="313"/>
    </row>
    <row r="50" spans="2:33" s="10" customFormat="1" ht="14.45" customHeight="1" x14ac:dyDescent="0.25">
      <c r="D50" s="14"/>
      <c r="E50" s="28"/>
      <c r="J50" s="313"/>
      <c r="K50" s="313"/>
      <c r="L50" s="402"/>
      <c r="M50" s="402"/>
      <c r="N50" s="402"/>
      <c r="O50" s="402"/>
      <c r="P50" s="402"/>
      <c r="Q50" s="402"/>
      <c r="R50" s="402"/>
      <c r="S50" s="402"/>
      <c r="T50" s="402"/>
      <c r="U50" s="402"/>
      <c r="V50" s="402"/>
      <c r="W50" s="402"/>
      <c r="X50" s="402"/>
      <c r="Y50" s="402"/>
      <c r="Z50" s="402"/>
      <c r="AA50" s="402"/>
      <c r="AB50" s="313"/>
      <c r="AC50" s="313"/>
      <c r="AD50" s="313"/>
      <c r="AE50" s="313"/>
      <c r="AF50" s="313"/>
      <c r="AG50" s="313"/>
    </row>
    <row r="51" spans="2:33" s="10" customFormat="1" ht="9.9499999999999993" customHeight="1" x14ac:dyDescent="0.25">
      <c r="J51" s="313"/>
      <c r="K51" s="313"/>
      <c r="L51" s="402"/>
      <c r="M51" s="402"/>
      <c r="N51" s="402"/>
      <c r="O51" s="402"/>
      <c r="P51" s="402"/>
      <c r="Q51" s="402"/>
      <c r="R51" s="402"/>
      <c r="S51" s="402"/>
      <c r="T51" s="402"/>
      <c r="U51" s="402"/>
      <c r="V51" s="402"/>
      <c r="W51" s="402"/>
      <c r="X51" s="402"/>
      <c r="Y51" s="402"/>
      <c r="Z51" s="402"/>
      <c r="AA51" s="402"/>
      <c r="AB51" s="313"/>
      <c r="AC51" s="313"/>
      <c r="AD51" s="313"/>
      <c r="AE51" s="313"/>
      <c r="AF51" s="313"/>
      <c r="AG51" s="313"/>
    </row>
    <row r="52" spans="2:33" s="10" customFormat="1" ht="15.95" customHeight="1" x14ac:dyDescent="0.25">
      <c r="B52" s="11"/>
      <c r="J52" s="313"/>
      <c r="K52" s="313"/>
      <c r="L52" s="402"/>
      <c r="M52" s="402"/>
      <c r="N52" s="402"/>
      <c r="O52" s="402"/>
      <c r="P52" s="402"/>
      <c r="Q52" s="402"/>
      <c r="R52" s="402"/>
      <c r="S52" s="402"/>
      <c r="T52" s="402"/>
      <c r="U52" s="402"/>
      <c r="V52" s="402"/>
      <c r="W52" s="402"/>
      <c r="X52" s="402"/>
      <c r="Y52" s="402"/>
      <c r="Z52" s="402"/>
      <c r="AA52" s="402"/>
      <c r="AB52" s="313"/>
      <c r="AC52" s="313"/>
      <c r="AD52" s="313"/>
      <c r="AE52" s="313"/>
      <c r="AF52" s="313"/>
      <c r="AG52" s="313"/>
    </row>
    <row r="53" spans="2:33" s="10" customFormat="1" ht="15.95" customHeight="1" x14ac:dyDescent="0.25">
      <c r="J53" s="313"/>
      <c r="K53" s="313"/>
      <c r="L53" s="402"/>
      <c r="M53" s="402"/>
      <c r="N53" s="402"/>
      <c r="O53" s="402"/>
      <c r="P53" s="402"/>
      <c r="Q53" s="402"/>
      <c r="R53" s="402"/>
      <c r="S53" s="402"/>
      <c r="T53" s="402"/>
      <c r="U53" s="402"/>
      <c r="V53" s="402"/>
      <c r="W53" s="402"/>
      <c r="X53" s="402"/>
      <c r="Y53" s="402"/>
      <c r="Z53" s="402"/>
      <c r="AA53" s="402"/>
      <c r="AB53" s="313"/>
      <c r="AC53" s="313"/>
      <c r="AD53" s="313"/>
      <c r="AE53" s="313"/>
      <c r="AF53" s="313"/>
      <c r="AG53" s="313"/>
    </row>
    <row r="54" spans="2:33" s="10" customFormat="1" ht="9.9499999999999993" customHeight="1" x14ac:dyDescent="0.25">
      <c r="J54" s="313"/>
      <c r="K54" s="313"/>
      <c r="L54" s="402"/>
      <c r="M54" s="402"/>
      <c r="N54" s="402"/>
      <c r="O54" s="402"/>
      <c r="P54" s="402"/>
      <c r="Q54" s="402"/>
      <c r="R54" s="402"/>
      <c r="S54" s="402"/>
      <c r="T54" s="402"/>
      <c r="U54" s="402"/>
      <c r="V54" s="402"/>
      <c r="W54" s="402"/>
      <c r="X54" s="402"/>
      <c r="Y54" s="402"/>
      <c r="Z54" s="402"/>
      <c r="AA54" s="402"/>
      <c r="AB54" s="313"/>
      <c r="AC54" s="313"/>
      <c r="AD54" s="313"/>
      <c r="AE54" s="313"/>
      <c r="AF54" s="313"/>
      <c r="AG54" s="313"/>
    </row>
    <row r="55" spans="2:33" s="10" customFormat="1" ht="15.95" customHeight="1" x14ac:dyDescent="0.25">
      <c r="B55" s="11"/>
      <c r="J55" s="313"/>
      <c r="K55" s="313"/>
      <c r="L55" s="402"/>
      <c r="M55" s="402"/>
      <c r="N55" s="402"/>
      <c r="O55" s="402"/>
      <c r="P55" s="402"/>
      <c r="Q55" s="402"/>
      <c r="R55" s="402"/>
      <c r="S55" s="402"/>
      <c r="T55" s="402"/>
      <c r="U55" s="402"/>
      <c r="V55" s="402"/>
      <c r="W55" s="402"/>
      <c r="X55" s="402"/>
      <c r="Y55" s="402"/>
      <c r="Z55" s="402"/>
      <c r="AA55" s="402"/>
      <c r="AB55" s="313"/>
      <c r="AC55" s="313"/>
      <c r="AD55" s="313"/>
      <c r="AE55" s="313"/>
      <c r="AF55" s="313"/>
      <c r="AG55" s="313"/>
    </row>
    <row r="56" spans="2:33" s="10" customFormat="1" ht="15.95" customHeight="1" x14ac:dyDescent="0.25">
      <c r="D56" s="14"/>
      <c r="E56" s="356"/>
      <c r="F56" s="356"/>
      <c r="J56" s="313"/>
      <c r="K56" s="313"/>
      <c r="L56" s="402"/>
      <c r="M56" s="402"/>
      <c r="N56" s="402"/>
      <c r="O56" s="402"/>
      <c r="P56" s="402"/>
      <c r="Q56" s="402"/>
      <c r="R56" s="402"/>
      <c r="S56" s="402"/>
      <c r="T56" s="402"/>
      <c r="U56" s="402"/>
      <c r="V56" s="402"/>
      <c r="W56" s="402"/>
      <c r="X56" s="402"/>
      <c r="Y56" s="402"/>
      <c r="Z56" s="402"/>
      <c r="AA56" s="402"/>
      <c r="AB56" s="313"/>
      <c r="AC56" s="313"/>
      <c r="AD56" s="313"/>
      <c r="AE56" s="313"/>
      <c r="AF56" s="313"/>
      <c r="AG56" s="313"/>
    </row>
    <row r="57" spans="2:33" s="10" customFormat="1" ht="9.9499999999999993" customHeight="1" x14ac:dyDescent="0.25">
      <c r="J57" s="313"/>
      <c r="K57" s="313"/>
      <c r="L57" s="402"/>
      <c r="M57" s="402"/>
      <c r="N57" s="402"/>
      <c r="O57" s="402"/>
      <c r="P57" s="402"/>
      <c r="Q57" s="402"/>
      <c r="R57" s="402"/>
      <c r="S57" s="402"/>
      <c r="T57" s="402"/>
      <c r="U57" s="402"/>
      <c r="V57" s="402"/>
      <c r="W57" s="402"/>
      <c r="X57" s="402"/>
      <c r="Y57" s="402"/>
      <c r="Z57" s="402"/>
      <c r="AA57" s="402"/>
      <c r="AB57" s="313"/>
      <c r="AC57" s="313"/>
      <c r="AD57" s="313"/>
      <c r="AE57" s="313"/>
      <c r="AF57" s="313"/>
      <c r="AG57" s="313"/>
    </row>
    <row r="58" spans="2:33" s="10" customFormat="1" ht="15.95" customHeight="1" x14ac:dyDescent="0.25">
      <c r="B58" s="11"/>
      <c r="C58" s="11"/>
      <c r="J58" s="313"/>
      <c r="K58" s="313"/>
      <c r="L58" s="402"/>
      <c r="M58" s="402"/>
      <c r="N58" s="402"/>
      <c r="O58" s="402"/>
      <c r="P58" s="402"/>
      <c r="Q58" s="402"/>
      <c r="R58" s="402"/>
      <c r="S58" s="402"/>
      <c r="T58" s="402"/>
      <c r="U58" s="402"/>
      <c r="V58" s="402"/>
      <c r="W58" s="402"/>
      <c r="X58" s="402"/>
      <c r="Y58" s="402"/>
      <c r="Z58" s="402"/>
      <c r="AA58" s="402"/>
      <c r="AB58" s="313"/>
      <c r="AC58" s="313"/>
      <c r="AD58" s="313"/>
      <c r="AE58" s="313"/>
      <c r="AF58" s="313"/>
      <c r="AG58" s="313"/>
    </row>
    <row r="59" spans="2:33" s="10" customFormat="1" ht="15.95" customHeight="1" x14ac:dyDescent="0.25">
      <c r="D59" s="14"/>
      <c r="E59" s="356"/>
      <c r="F59" s="356"/>
      <c r="J59" s="313"/>
      <c r="K59" s="313"/>
      <c r="L59" s="402"/>
      <c r="M59" s="402"/>
      <c r="N59" s="402"/>
      <c r="O59" s="402"/>
      <c r="P59" s="402"/>
      <c r="Q59" s="402"/>
      <c r="R59" s="402"/>
      <c r="S59" s="402"/>
      <c r="T59" s="402"/>
      <c r="U59" s="402"/>
      <c r="V59" s="402"/>
      <c r="W59" s="402"/>
      <c r="X59" s="402"/>
      <c r="Y59" s="402"/>
      <c r="Z59" s="402"/>
      <c r="AA59" s="402"/>
      <c r="AB59" s="313"/>
      <c r="AC59" s="313"/>
      <c r="AD59" s="313"/>
      <c r="AE59" s="313"/>
      <c r="AF59" s="313"/>
      <c r="AG59" s="313"/>
    </row>
    <row r="60" spans="2:33" s="10" customFormat="1" ht="9.9499999999999993" customHeight="1" x14ac:dyDescent="0.25">
      <c r="J60" s="313"/>
      <c r="K60" s="313"/>
      <c r="L60" s="402"/>
      <c r="M60" s="402"/>
      <c r="N60" s="402"/>
      <c r="O60" s="402"/>
      <c r="P60" s="402"/>
      <c r="Q60" s="402"/>
      <c r="R60" s="402"/>
      <c r="S60" s="402"/>
      <c r="T60" s="402"/>
      <c r="U60" s="402"/>
      <c r="V60" s="402"/>
      <c r="W60" s="402"/>
      <c r="X60" s="402"/>
      <c r="Y60" s="402"/>
      <c r="Z60" s="402"/>
      <c r="AA60" s="402"/>
      <c r="AB60" s="313"/>
      <c r="AC60" s="313"/>
      <c r="AD60" s="313"/>
      <c r="AE60" s="313"/>
      <c r="AF60" s="313"/>
      <c r="AG60" s="313"/>
    </row>
    <row r="61" spans="2:33" s="10" customFormat="1" ht="14.45" customHeight="1" x14ac:dyDescent="0.25">
      <c r="B61" s="11"/>
      <c r="J61" s="313"/>
      <c r="K61" s="313"/>
      <c r="L61" s="402"/>
      <c r="M61" s="402"/>
      <c r="N61" s="402"/>
      <c r="O61" s="402"/>
      <c r="P61" s="402"/>
      <c r="Q61" s="402"/>
      <c r="R61" s="402"/>
      <c r="S61" s="402"/>
      <c r="T61" s="402"/>
      <c r="U61" s="402"/>
      <c r="V61" s="402"/>
      <c r="W61" s="402"/>
      <c r="X61" s="402"/>
      <c r="Y61" s="402"/>
      <c r="Z61" s="402"/>
      <c r="AA61" s="402"/>
      <c r="AB61" s="313"/>
      <c r="AC61" s="313"/>
      <c r="AD61" s="313"/>
      <c r="AE61" s="313"/>
      <c r="AF61" s="313"/>
      <c r="AG61" s="313"/>
    </row>
    <row r="62" spans="2:33" s="10" customFormat="1" ht="14.45" customHeight="1" x14ac:dyDescent="0.25">
      <c r="J62" s="313"/>
      <c r="K62" s="313"/>
      <c r="L62" s="402"/>
      <c r="M62" s="402"/>
      <c r="N62" s="402"/>
      <c r="O62" s="402"/>
      <c r="P62" s="402"/>
      <c r="Q62" s="402"/>
      <c r="R62" s="402"/>
      <c r="S62" s="402"/>
      <c r="T62" s="402"/>
      <c r="U62" s="402"/>
      <c r="V62" s="402"/>
      <c r="W62" s="402"/>
      <c r="X62" s="402"/>
      <c r="Y62" s="402"/>
      <c r="Z62" s="402"/>
      <c r="AA62" s="402"/>
      <c r="AB62" s="313"/>
      <c r="AC62" s="313"/>
      <c r="AD62" s="313"/>
      <c r="AE62" s="313"/>
      <c r="AF62" s="313"/>
      <c r="AG62" s="313"/>
    </row>
    <row r="63" spans="2:33" s="10" customFormat="1" ht="14.45" customHeight="1" x14ac:dyDescent="0.25">
      <c r="F63" s="28"/>
      <c r="J63" s="313"/>
      <c r="K63" s="313"/>
      <c r="L63" s="402"/>
      <c r="M63" s="402"/>
      <c r="N63" s="402"/>
      <c r="O63" s="402"/>
      <c r="P63" s="402"/>
      <c r="Q63" s="402"/>
      <c r="R63" s="402"/>
      <c r="S63" s="402"/>
      <c r="T63" s="402"/>
      <c r="U63" s="402"/>
      <c r="V63" s="402"/>
      <c r="W63" s="402"/>
      <c r="X63" s="402"/>
      <c r="Y63" s="402"/>
      <c r="Z63" s="402"/>
      <c r="AA63" s="402"/>
      <c r="AB63" s="313"/>
      <c r="AC63" s="313"/>
      <c r="AD63" s="313"/>
      <c r="AE63" s="313"/>
      <c r="AF63" s="313"/>
      <c r="AG63" s="313"/>
    </row>
    <row r="64" spans="2:33" s="10" customFormat="1" ht="4.5" customHeight="1" x14ac:dyDescent="0.25">
      <c r="J64" s="313"/>
      <c r="K64" s="313"/>
      <c r="L64" s="402"/>
      <c r="M64" s="402"/>
      <c r="N64" s="402"/>
      <c r="O64" s="402"/>
      <c r="P64" s="402"/>
      <c r="Q64" s="402"/>
      <c r="R64" s="402"/>
      <c r="S64" s="402"/>
      <c r="T64" s="402"/>
      <c r="U64" s="402"/>
      <c r="V64" s="402"/>
      <c r="W64" s="402"/>
      <c r="X64" s="402"/>
      <c r="Y64" s="402"/>
      <c r="Z64" s="402"/>
      <c r="AA64" s="402"/>
      <c r="AB64" s="313"/>
      <c r="AC64" s="313"/>
      <c r="AD64" s="313"/>
      <c r="AE64" s="313"/>
      <c r="AF64" s="313"/>
      <c r="AG64" s="313"/>
    </row>
    <row r="65" spans="4:33" s="10" customFormat="1" ht="14.45" customHeight="1" x14ac:dyDescent="0.25">
      <c r="J65" s="313"/>
      <c r="K65" s="313"/>
      <c r="L65" s="402"/>
      <c r="M65" s="402"/>
      <c r="N65" s="402"/>
      <c r="O65" s="402"/>
      <c r="P65" s="402"/>
      <c r="Q65" s="402"/>
      <c r="R65" s="402"/>
      <c r="S65" s="402"/>
      <c r="T65" s="402"/>
      <c r="U65" s="402"/>
      <c r="V65" s="402"/>
      <c r="W65" s="402"/>
      <c r="X65" s="402"/>
      <c r="Y65" s="402"/>
      <c r="Z65" s="402"/>
      <c r="AA65" s="402"/>
      <c r="AB65" s="313"/>
      <c r="AC65" s="313"/>
      <c r="AD65" s="313"/>
      <c r="AE65" s="313"/>
      <c r="AF65" s="313"/>
      <c r="AG65" s="313"/>
    </row>
    <row r="66" spans="4:33" s="10" customFormat="1" ht="14.45" customHeight="1" x14ac:dyDescent="0.25">
      <c r="D66" s="14"/>
      <c r="E66" s="356"/>
      <c r="F66" s="356"/>
      <c r="J66" s="313"/>
      <c r="K66" s="313"/>
      <c r="L66" s="402"/>
      <c r="M66" s="402"/>
      <c r="N66" s="402"/>
      <c r="O66" s="402"/>
      <c r="P66" s="402"/>
      <c r="Q66" s="402"/>
      <c r="R66" s="402"/>
      <c r="S66" s="402"/>
      <c r="T66" s="402"/>
      <c r="U66" s="402"/>
      <c r="V66" s="402"/>
      <c r="W66" s="402"/>
      <c r="X66" s="402"/>
      <c r="Y66" s="402"/>
      <c r="Z66" s="402"/>
      <c r="AA66" s="402"/>
      <c r="AB66" s="313"/>
      <c r="AC66" s="313"/>
      <c r="AD66" s="313"/>
      <c r="AE66" s="313"/>
      <c r="AF66" s="313"/>
      <c r="AG66" s="313"/>
    </row>
    <row r="67" spans="4:33" s="10" customFormat="1" ht="15" customHeight="1" x14ac:dyDescent="0.25">
      <c r="J67" s="313"/>
      <c r="K67" s="313"/>
      <c r="L67" s="402"/>
      <c r="M67" s="402"/>
      <c r="N67" s="402"/>
      <c r="O67" s="402"/>
      <c r="P67" s="402"/>
      <c r="Q67" s="402"/>
      <c r="R67" s="402"/>
      <c r="S67" s="402"/>
      <c r="T67" s="402"/>
      <c r="U67" s="402"/>
      <c r="V67" s="402"/>
      <c r="W67" s="402"/>
      <c r="X67" s="402"/>
      <c r="Y67" s="402"/>
      <c r="Z67" s="402"/>
      <c r="AA67" s="402"/>
      <c r="AB67" s="313"/>
      <c r="AC67" s="313"/>
      <c r="AD67" s="313"/>
      <c r="AE67" s="313"/>
      <c r="AF67" s="313"/>
      <c r="AG67" s="313"/>
    </row>
    <row r="68" spans="4:33" s="10" customFormat="1" ht="15" customHeight="1" x14ac:dyDescent="0.25">
      <c r="J68" s="313"/>
      <c r="K68" s="313"/>
      <c r="L68" s="402"/>
      <c r="M68" s="402"/>
      <c r="N68" s="402"/>
      <c r="O68" s="402"/>
      <c r="P68" s="402"/>
      <c r="Q68" s="402"/>
      <c r="R68" s="402"/>
      <c r="S68" s="402"/>
      <c r="T68" s="402"/>
      <c r="U68" s="402"/>
      <c r="V68" s="402"/>
      <c r="W68" s="402"/>
      <c r="X68" s="402"/>
      <c r="Y68" s="402"/>
      <c r="Z68" s="402"/>
      <c r="AA68" s="402"/>
      <c r="AB68" s="313"/>
      <c r="AC68" s="313"/>
      <c r="AD68" s="313"/>
      <c r="AE68" s="313"/>
      <c r="AF68" s="313"/>
      <c r="AG68" s="313"/>
    </row>
    <row r="69" spans="4:33" s="10" customFormat="1" ht="15" customHeight="1" x14ac:dyDescent="0.25">
      <c r="J69" s="313"/>
      <c r="K69" s="313"/>
      <c r="L69" s="402"/>
      <c r="M69" s="402"/>
      <c r="N69" s="402"/>
      <c r="O69" s="402"/>
      <c r="P69" s="402"/>
      <c r="Q69" s="402"/>
      <c r="R69" s="402"/>
      <c r="S69" s="402"/>
      <c r="T69" s="402"/>
      <c r="U69" s="402"/>
      <c r="V69" s="402"/>
      <c r="W69" s="402"/>
      <c r="X69" s="402"/>
      <c r="Y69" s="402"/>
      <c r="Z69" s="402"/>
      <c r="AA69" s="402"/>
      <c r="AB69" s="313"/>
      <c r="AC69" s="313"/>
      <c r="AD69" s="313"/>
      <c r="AE69" s="313"/>
      <c r="AF69" s="313"/>
      <c r="AG69" s="313"/>
    </row>
    <row r="70" spans="4:33" s="10" customFormat="1" ht="15" customHeight="1" x14ac:dyDescent="0.25">
      <c r="J70" s="313"/>
      <c r="K70" s="313"/>
      <c r="L70" s="402"/>
      <c r="M70" s="402"/>
      <c r="N70" s="402"/>
      <c r="O70" s="402"/>
      <c r="P70" s="402"/>
      <c r="Q70" s="402"/>
      <c r="R70" s="402"/>
      <c r="S70" s="402"/>
      <c r="T70" s="402"/>
      <c r="U70" s="402"/>
      <c r="V70" s="402"/>
      <c r="W70" s="402"/>
      <c r="X70" s="402"/>
      <c r="Y70" s="402"/>
      <c r="Z70" s="402"/>
      <c r="AA70" s="402"/>
      <c r="AB70" s="313"/>
      <c r="AC70" s="313"/>
      <c r="AD70" s="313"/>
      <c r="AE70" s="313"/>
      <c r="AF70" s="313"/>
      <c r="AG70" s="313"/>
    </row>
    <row r="71" spans="4:33" s="10" customFormat="1" ht="15" customHeight="1" x14ac:dyDescent="0.25">
      <c r="J71" s="313"/>
      <c r="K71" s="313"/>
      <c r="L71" s="402"/>
      <c r="M71" s="402"/>
      <c r="N71" s="402"/>
      <c r="O71" s="402"/>
      <c r="P71" s="402"/>
      <c r="Q71" s="402"/>
      <c r="R71" s="402"/>
      <c r="S71" s="402"/>
      <c r="T71" s="402"/>
      <c r="U71" s="402"/>
      <c r="V71" s="402"/>
      <c r="W71" s="402"/>
      <c r="X71" s="402"/>
      <c r="Y71" s="402"/>
      <c r="Z71" s="402"/>
      <c r="AA71" s="402"/>
      <c r="AB71" s="313"/>
      <c r="AC71" s="313"/>
      <c r="AD71" s="313"/>
      <c r="AE71" s="313"/>
      <c r="AF71" s="313"/>
      <c r="AG71" s="313"/>
    </row>
    <row r="72" spans="4:33" s="10" customFormat="1" ht="15" customHeight="1" x14ac:dyDescent="0.25">
      <c r="J72" s="313"/>
      <c r="K72" s="313"/>
      <c r="L72" s="402"/>
      <c r="M72" s="402"/>
      <c r="N72" s="402"/>
      <c r="O72" s="402"/>
      <c r="P72" s="402"/>
      <c r="Q72" s="402"/>
      <c r="R72" s="402"/>
      <c r="S72" s="402"/>
      <c r="T72" s="402"/>
      <c r="U72" s="402"/>
      <c r="V72" s="402"/>
      <c r="W72" s="402"/>
      <c r="X72" s="402"/>
      <c r="Y72" s="402"/>
      <c r="Z72" s="402"/>
      <c r="AA72" s="402"/>
      <c r="AB72" s="313"/>
      <c r="AC72" s="313"/>
      <c r="AD72" s="313"/>
      <c r="AE72" s="313"/>
      <c r="AF72" s="313"/>
      <c r="AG72" s="313"/>
    </row>
    <row r="73" spans="4:33" s="10" customFormat="1" ht="15" customHeight="1" x14ac:dyDescent="0.25">
      <c r="J73" s="313"/>
      <c r="K73" s="313"/>
      <c r="L73" s="402"/>
      <c r="M73" s="402"/>
      <c r="N73" s="402"/>
      <c r="O73" s="402"/>
      <c r="P73" s="402"/>
      <c r="Q73" s="402"/>
      <c r="R73" s="402"/>
      <c r="S73" s="402"/>
      <c r="T73" s="402"/>
      <c r="U73" s="402"/>
      <c r="V73" s="402"/>
      <c r="W73" s="402"/>
      <c r="X73" s="402"/>
      <c r="Y73" s="402"/>
      <c r="Z73" s="402"/>
      <c r="AA73" s="402"/>
      <c r="AB73" s="313"/>
      <c r="AC73" s="313"/>
      <c r="AD73" s="313"/>
      <c r="AE73" s="313"/>
      <c r="AF73" s="313"/>
      <c r="AG73" s="313"/>
    </row>
    <row r="74" spans="4:33" s="10" customFormat="1" ht="15" customHeight="1" x14ac:dyDescent="0.25">
      <c r="J74" s="313"/>
      <c r="K74" s="313"/>
      <c r="L74" s="402"/>
      <c r="M74" s="402"/>
      <c r="N74" s="402"/>
      <c r="O74" s="402"/>
      <c r="P74" s="402"/>
      <c r="Q74" s="402"/>
      <c r="R74" s="402"/>
      <c r="S74" s="402"/>
      <c r="T74" s="402"/>
      <c r="U74" s="402"/>
      <c r="V74" s="402"/>
      <c r="W74" s="402"/>
      <c r="X74" s="402"/>
      <c r="Y74" s="402"/>
      <c r="Z74" s="402"/>
      <c r="AA74" s="402"/>
      <c r="AB74" s="313"/>
      <c r="AC74" s="313"/>
      <c r="AD74" s="313"/>
      <c r="AE74" s="313"/>
      <c r="AF74" s="313"/>
      <c r="AG74" s="313"/>
    </row>
    <row r="75" spans="4:33" s="10" customFormat="1" ht="15" customHeight="1" x14ac:dyDescent="0.25">
      <c r="J75" s="313"/>
      <c r="K75" s="313"/>
      <c r="L75" s="402"/>
      <c r="M75" s="402"/>
      <c r="N75" s="402"/>
      <c r="O75" s="402"/>
      <c r="P75" s="402"/>
      <c r="Q75" s="402"/>
      <c r="R75" s="402"/>
      <c r="S75" s="402"/>
      <c r="T75" s="402"/>
      <c r="U75" s="402"/>
      <c r="V75" s="402"/>
      <c r="W75" s="402"/>
      <c r="X75" s="402"/>
      <c r="Y75" s="402"/>
      <c r="Z75" s="402"/>
      <c r="AA75" s="402"/>
      <c r="AB75" s="313"/>
      <c r="AC75" s="313"/>
      <c r="AD75" s="313"/>
      <c r="AE75" s="313"/>
      <c r="AF75" s="313"/>
      <c r="AG75" s="313"/>
    </row>
    <row r="76" spans="4:33" s="10" customFormat="1" ht="15" customHeight="1" x14ac:dyDescent="0.25">
      <c r="J76" s="313"/>
      <c r="K76" s="313"/>
      <c r="L76" s="402"/>
      <c r="M76" s="402"/>
      <c r="N76" s="402"/>
      <c r="O76" s="402"/>
      <c r="P76" s="402"/>
      <c r="Q76" s="402"/>
      <c r="R76" s="402"/>
      <c r="S76" s="402"/>
      <c r="T76" s="402"/>
      <c r="U76" s="402"/>
      <c r="V76" s="402"/>
      <c r="W76" s="402"/>
      <c r="X76" s="402"/>
      <c r="Y76" s="402"/>
      <c r="Z76" s="402"/>
      <c r="AA76" s="402"/>
      <c r="AB76" s="313"/>
      <c r="AC76" s="313"/>
      <c r="AD76" s="313"/>
      <c r="AE76" s="313"/>
      <c r="AF76" s="313"/>
      <c r="AG76" s="313"/>
    </row>
    <row r="77" spans="4:33" s="10" customFormat="1" ht="15" customHeight="1" x14ac:dyDescent="0.25">
      <c r="J77" s="313"/>
      <c r="K77" s="313"/>
      <c r="L77" s="402"/>
      <c r="M77" s="402"/>
      <c r="N77" s="402"/>
      <c r="O77" s="402"/>
      <c r="P77" s="402"/>
      <c r="Q77" s="402"/>
      <c r="R77" s="402"/>
      <c r="S77" s="402"/>
      <c r="T77" s="402"/>
      <c r="U77" s="402"/>
      <c r="V77" s="402"/>
      <c r="W77" s="402"/>
      <c r="X77" s="402"/>
      <c r="Y77" s="402"/>
      <c r="Z77" s="402"/>
      <c r="AA77" s="402"/>
      <c r="AB77" s="313"/>
      <c r="AC77" s="313"/>
      <c r="AD77" s="313"/>
      <c r="AE77" s="313"/>
      <c r="AF77" s="313"/>
      <c r="AG77" s="313"/>
    </row>
    <row r="78" spans="4:33" s="10" customFormat="1" ht="15" customHeight="1" x14ac:dyDescent="0.25">
      <c r="J78" s="313"/>
      <c r="K78" s="313"/>
      <c r="L78" s="402"/>
      <c r="M78" s="402"/>
      <c r="N78" s="402"/>
      <c r="O78" s="402"/>
      <c r="P78" s="402"/>
      <c r="Q78" s="402"/>
      <c r="R78" s="402"/>
      <c r="S78" s="402"/>
      <c r="T78" s="402"/>
      <c r="U78" s="402"/>
      <c r="V78" s="402"/>
      <c r="W78" s="402"/>
      <c r="X78" s="402"/>
      <c r="Y78" s="402"/>
      <c r="Z78" s="402"/>
      <c r="AA78" s="402"/>
      <c r="AB78" s="313"/>
      <c r="AC78" s="313"/>
      <c r="AD78" s="313"/>
      <c r="AE78" s="313"/>
      <c r="AF78" s="313"/>
      <c r="AG78" s="313"/>
    </row>
    <row r="79" spans="4:33" s="10" customFormat="1" ht="15" customHeight="1" x14ac:dyDescent="0.25">
      <c r="J79" s="313"/>
      <c r="K79" s="313"/>
      <c r="L79" s="402"/>
      <c r="M79" s="402"/>
      <c r="N79" s="402"/>
      <c r="O79" s="402"/>
      <c r="P79" s="402"/>
      <c r="Q79" s="402"/>
      <c r="R79" s="402"/>
      <c r="S79" s="402"/>
      <c r="T79" s="402"/>
      <c r="U79" s="402"/>
      <c r="V79" s="402"/>
      <c r="W79" s="402"/>
      <c r="X79" s="402"/>
      <c r="Y79" s="402"/>
      <c r="Z79" s="402"/>
      <c r="AA79" s="402"/>
      <c r="AB79" s="313"/>
      <c r="AC79" s="313"/>
      <c r="AD79" s="313"/>
      <c r="AE79" s="313"/>
      <c r="AF79" s="313"/>
      <c r="AG79" s="313"/>
    </row>
    <row r="80" spans="4:33" s="10" customFormat="1" ht="15" customHeight="1" x14ac:dyDescent="0.25">
      <c r="J80" s="313"/>
      <c r="K80" s="313"/>
      <c r="L80" s="402"/>
      <c r="M80" s="402"/>
      <c r="N80" s="402"/>
      <c r="O80" s="402"/>
      <c r="P80" s="402"/>
      <c r="Q80" s="402"/>
      <c r="R80" s="402"/>
      <c r="S80" s="402"/>
      <c r="T80" s="402"/>
      <c r="U80" s="402"/>
      <c r="V80" s="402"/>
      <c r="W80" s="402"/>
      <c r="X80" s="402"/>
      <c r="Y80" s="402"/>
      <c r="Z80" s="402"/>
      <c r="AA80" s="402"/>
      <c r="AB80" s="313"/>
      <c r="AC80" s="313"/>
      <c r="AD80" s="313"/>
      <c r="AE80" s="313"/>
      <c r="AF80" s="313"/>
      <c r="AG80" s="313"/>
    </row>
    <row r="81" spans="10:33" s="10" customFormat="1" ht="15" customHeight="1" x14ac:dyDescent="0.25">
      <c r="J81" s="313"/>
      <c r="K81" s="313"/>
      <c r="L81" s="402"/>
      <c r="M81" s="402"/>
      <c r="N81" s="402"/>
      <c r="O81" s="402"/>
      <c r="P81" s="402"/>
      <c r="Q81" s="402"/>
      <c r="R81" s="402"/>
      <c r="S81" s="402"/>
      <c r="T81" s="402"/>
      <c r="U81" s="402"/>
      <c r="V81" s="402"/>
      <c r="W81" s="402"/>
      <c r="X81" s="402"/>
      <c r="Y81" s="402"/>
      <c r="Z81" s="402"/>
      <c r="AA81" s="402"/>
      <c r="AB81" s="313"/>
      <c r="AC81" s="313"/>
      <c r="AD81" s="313"/>
      <c r="AE81" s="313"/>
      <c r="AF81" s="313"/>
      <c r="AG81" s="313"/>
    </row>
    <row r="82" spans="10:33" s="10" customFormat="1" ht="15" customHeight="1" x14ac:dyDescent="0.25">
      <c r="J82" s="313"/>
      <c r="K82" s="313"/>
      <c r="L82" s="402"/>
      <c r="M82" s="402"/>
      <c r="N82" s="402"/>
      <c r="O82" s="402"/>
      <c r="P82" s="402"/>
      <c r="Q82" s="402"/>
      <c r="R82" s="402"/>
      <c r="S82" s="402"/>
      <c r="T82" s="402"/>
      <c r="U82" s="402"/>
      <c r="V82" s="402"/>
      <c r="W82" s="402"/>
      <c r="X82" s="402"/>
      <c r="Y82" s="402"/>
      <c r="Z82" s="402"/>
      <c r="AA82" s="402"/>
      <c r="AB82" s="313"/>
      <c r="AC82" s="313"/>
      <c r="AD82" s="313"/>
      <c r="AE82" s="313"/>
      <c r="AF82" s="313"/>
      <c r="AG82" s="313"/>
    </row>
    <row r="83" spans="10:33" s="10" customFormat="1" ht="15" customHeight="1" x14ac:dyDescent="0.25">
      <c r="J83" s="313"/>
      <c r="K83" s="313"/>
      <c r="L83" s="402"/>
      <c r="M83" s="402"/>
      <c r="N83" s="402"/>
      <c r="O83" s="402"/>
      <c r="P83" s="402"/>
      <c r="Q83" s="402"/>
      <c r="R83" s="402"/>
      <c r="S83" s="402"/>
      <c r="T83" s="402"/>
      <c r="U83" s="402"/>
      <c r="V83" s="402"/>
      <c r="W83" s="402"/>
      <c r="X83" s="402"/>
      <c r="Y83" s="402"/>
      <c r="Z83" s="402"/>
      <c r="AA83" s="402"/>
      <c r="AB83" s="313"/>
      <c r="AC83" s="313"/>
      <c r="AD83" s="313"/>
      <c r="AE83" s="313"/>
      <c r="AF83" s="313"/>
      <c r="AG83" s="313"/>
    </row>
    <row r="84" spans="10:33" s="10" customFormat="1" ht="15" customHeight="1" x14ac:dyDescent="0.25">
      <c r="J84" s="313"/>
      <c r="K84" s="313"/>
      <c r="L84" s="402"/>
      <c r="M84" s="402"/>
      <c r="N84" s="402"/>
      <c r="O84" s="402"/>
      <c r="P84" s="402"/>
      <c r="Q84" s="402"/>
      <c r="R84" s="402"/>
      <c r="S84" s="402"/>
      <c r="T84" s="402"/>
      <c r="U84" s="402"/>
      <c r="V84" s="402"/>
      <c r="W84" s="402"/>
      <c r="X84" s="402"/>
      <c r="Y84" s="402"/>
      <c r="Z84" s="402"/>
      <c r="AA84" s="402"/>
      <c r="AB84" s="313"/>
      <c r="AC84" s="313"/>
      <c r="AD84" s="313"/>
      <c r="AE84" s="313"/>
      <c r="AF84" s="313"/>
      <c r="AG84" s="313"/>
    </row>
    <row r="85" spans="10:33" s="10" customFormat="1" ht="15" customHeight="1" x14ac:dyDescent="0.25">
      <c r="J85" s="313"/>
      <c r="K85" s="313"/>
      <c r="L85" s="402"/>
      <c r="M85" s="402"/>
      <c r="N85" s="402"/>
      <c r="O85" s="402"/>
      <c r="P85" s="402"/>
      <c r="Q85" s="402"/>
      <c r="R85" s="402"/>
      <c r="S85" s="402"/>
      <c r="T85" s="402"/>
      <c r="U85" s="402"/>
      <c r="V85" s="402"/>
      <c r="W85" s="402"/>
      <c r="X85" s="402"/>
      <c r="Y85" s="402"/>
      <c r="Z85" s="402"/>
      <c r="AA85" s="402"/>
      <c r="AB85" s="313"/>
      <c r="AC85" s="313"/>
      <c r="AD85" s="313"/>
      <c r="AE85" s="313"/>
      <c r="AF85" s="313"/>
      <c r="AG85" s="313"/>
    </row>
    <row r="86" spans="10:33" s="10" customFormat="1" ht="15" customHeight="1" x14ac:dyDescent="0.25">
      <c r="J86" s="313"/>
      <c r="K86" s="313"/>
      <c r="L86" s="402"/>
      <c r="M86" s="402"/>
      <c r="N86" s="402"/>
      <c r="O86" s="402"/>
      <c r="P86" s="402"/>
      <c r="Q86" s="402"/>
      <c r="R86" s="402"/>
      <c r="S86" s="402"/>
      <c r="T86" s="402"/>
      <c r="U86" s="402"/>
      <c r="V86" s="402"/>
      <c r="W86" s="402"/>
      <c r="X86" s="402"/>
      <c r="Y86" s="402"/>
      <c r="Z86" s="402"/>
      <c r="AA86" s="402"/>
      <c r="AB86" s="313"/>
      <c r="AC86" s="313"/>
      <c r="AD86" s="313"/>
      <c r="AE86" s="313"/>
      <c r="AF86" s="313"/>
      <c r="AG86" s="313"/>
    </row>
    <row r="87" spans="10:33" s="10" customFormat="1" ht="15" customHeight="1" x14ac:dyDescent="0.25">
      <c r="J87" s="313"/>
      <c r="K87" s="313"/>
      <c r="L87" s="402"/>
      <c r="M87" s="402"/>
      <c r="N87" s="402"/>
      <c r="O87" s="402"/>
      <c r="P87" s="402"/>
      <c r="Q87" s="402"/>
      <c r="R87" s="402"/>
      <c r="S87" s="402"/>
      <c r="T87" s="402"/>
      <c r="U87" s="402"/>
      <c r="V87" s="402"/>
      <c r="W87" s="402"/>
      <c r="X87" s="402"/>
      <c r="Y87" s="402"/>
      <c r="Z87" s="402"/>
      <c r="AA87" s="402"/>
      <c r="AB87" s="313"/>
      <c r="AC87" s="313"/>
      <c r="AD87" s="313"/>
      <c r="AE87" s="313"/>
      <c r="AF87" s="313"/>
      <c r="AG87" s="313"/>
    </row>
    <row r="88" spans="10:33" s="10" customFormat="1" ht="15" customHeight="1" x14ac:dyDescent="0.25">
      <c r="J88" s="313"/>
      <c r="K88" s="313"/>
      <c r="L88" s="402"/>
      <c r="M88" s="402"/>
      <c r="N88" s="402"/>
      <c r="O88" s="402"/>
      <c r="P88" s="402"/>
      <c r="Q88" s="402"/>
      <c r="R88" s="402"/>
      <c r="S88" s="402"/>
      <c r="T88" s="402"/>
      <c r="U88" s="402"/>
      <c r="V88" s="402"/>
      <c r="W88" s="402"/>
      <c r="X88" s="402"/>
      <c r="Y88" s="402"/>
      <c r="Z88" s="402"/>
      <c r="AA88" s="402"/>
      <c r="AB88" s="313"/>
      <c r="AC88" s="313"/>
      <c r="AD88" s="313"/>
      <c r="AE88" s="313"/>
      <c r="AF88" s="313"/>
      <c r="AG88" s="313"/>
    </row>
    <row r="89" spans="10:33" s="10" customFormat="1" ht="15" customHeight="1" x14ac:dyDescent="0.25">
      <c r="J89" s="313"/>
      <c r="K89" s="313"/>
      <c r="L89" s="402"/>
      <c r="M89" s="402"/>
      <c r="N89" s="402"/>
      <c r="O89" s="402"/>
      <c r="P89" s="402"/>
      <c r="Q89" s="402"/>
      <c r="R89" s="402"/>
      <c r="S89" s="402"/>
      <c r="T89" s="402"/>
      <c r="U89" s="402"/>
      <c r="V89" s="402"/>
      <c r="W89" s="402"/>
      <c r="X89" s="402"/>
      <c r="Y89" s="402"/>
      <c r="Z89" s="402"/>
      <c r="AA89" s="402"/>
      <c r="AB89" s="313"/>
      <c r="AC89" s="313"/>
      <c r="AD89" s="313"/>
      <c r="AE89" s="313"/>
      <c r="AF89" s="313"/>
      <c r="AG89" s="313"/>
    </row>
    <row r="90" spans="10:33" s="10" customFormat="1" ht="15" customHeight="1" x14ac:dyDescent="0.25">
      <c r="J90" s="313"/>
      <c r="K90" s="313"/>
      <c r="L90" s="402"/>
      <c r="M90" s="402"/>
      <c r="N90" s="402"/>
      <c r="O90" s="402"/>
      <c r="P90" s="402"/>
      <c r="Q90" s="402"/>
      <c r="R90" s="402"/>
      <c r="S90" s="402"/>
      <c r="T90" s="402"/>
      <c r="U90" s="402"/>
      <c r="V90" s="402"/>
      <c r="W90" s="402"/>
      <c r="X90" s="402"/>
      <c r="Y90" s="402"/>
      <c r="Z90" s="402"/>
      <c r="AA90" s="402"/>
      <c r="AB90" s="313"/>
      <c r="AC90" s="313"/>
      <c r="AD90" s="313"/>
      <c r="AE90" s="313"/>
      <c r="AF90" s="313"/>
      <c r="AG90" s="313"/>
    </row>
    <row r="91" spans="10:33" s="10" customFormat="1" ht="15" customHeight="1" x14ac:dyDescent="0.25">
      <c r="J91" s="313"/>
      <c r="K91" s="313"/>
      <c r="L91" s="402"/>
      <c r="M91" s="402"/>
      <c r="N91" s="402"/>
      <c r="O91" s="402"/>
      <c r="P91" s="402"/>
      <c r="Q91" s="402"/>
      <c r="R91" s="402"/>
      <c r="S91" s="402"/>
      <c r="T91" s="402"/>
      <c r="U91" s="402"/>
      <c r="V91" s="402"/>
      <c r="W91" s="402"/>
      <c r="X91" s="402"/>
      <c r="Y91" s="402"/>
      <c r="Z91" s="402"/>
      <c r="AA91" s="402"/>
      <c r="AB91" s="313"/>
      <c r="AC91" s="313"/>
      <c r="AD91" s="313"/>
      <c r="AE91" s="313"/>
      <c r="AF91" s="313"/>
      <c r="AG91" s="313"/>
    </row>
    <row r="92" spans="10:33" s="10" customFormat="1" ht="15" customHeight="1" x14ac:dyDescent="0.25">
      <c r="J92" s="313"/>
      <c r="K92" s="313"/>
      <c r="L92" s="402"/>
      <c r="M92" s="402"/>
      <c r="N92" s="402"/>
      <c r="O92" s="402"/>
      <c r="P92" s="402"/>
      <c r="Q92" s="402"/>
      <c r="R92" s="402"/>
      <c r="S92" s="402"/>
      <c r="T92" s="402"/>
      <c r="U92" s="402"/>
      <c r="V92" s="402"/>
      <c r="W92" s="402"/>
      <c r="X92" s="402"/>
      <c r="Y92" s="402"/>
      <c r="Z92" s="402"/>
      <c r="AA92" s="402"/>
      <c r="AB92" s="313"/>
      <c r="AC92" s="313"/>
      <c r="AD92" s="313"/>
      <c r="AE92" s="313"/>
      <c r="AF92" s="313"/>
      <c r="AG92" s="313"/>
    </row>
    <row r="93" spans="10:33" s="10" customFormat="1" ht="15" customHeight="1" x14ac:dyDescent="0.25">
      <c r="J93" s="313"/>
      <c r="K93" s="313"/>
      <c r="L93" s="402"/>
      <c r="M93" s="402"/>
      <c r="N93" s="402"/>
      <c r="O93" s="402"/>
      <c r="P93" s="402"/>
      <c r="Q93" s="402"/>
      <c r="R93" s="402"/>
      <c r="S93" s="402"/>
      <c r="T93" s="402"/>
      <c r="U93" s="402"/>
      <c r="V93" s="402"/>
      <c r="W93" s="402"/>
      <c r="X93" s="402"/>
      <c r="Y93" s="402"/>
      <c r="Z93" s="402"/>
      <c r="AA93" s="402"/>
      <c r="AB93" s="313"/>
      <c r="AC93" s="313"/>
      <c r="AD93" s="313"/>
      <c r="AE93" s="313"/>
      <c r="AF93" s="313"/>
      <c r="AG93" s="313"/>
    </row>
    <row r="94" spans="10:33" s="10" customFormat="1" ht="15" customHeight="1" x14ac:dyDescent="0.25">
      <c r="J94" s="313"/>
      <c r="K94" s="313"/>
      <c r="L94" s="402"/>
      <c r="M94" s="402"/>
      <c r="N94" s="402"/>
      <c r="O94" s="402"/>
      <c r="P94" s="402"/>
      <c r="Q94" s="402"/>
      <c r="R94" s="402"/>
      <c r="S94" s="402"/>
      <c r="T94" s="402"/>
      <c r="U94" s="402"/>
      <c r="V94" s="402"/>
      <c r="W94" s="402"/>
      <c r="X94" s="402"/>
      <c r="Y94" s="402"/>
      <c r="Z94" s="402"/>
      <c r="AA94" s="402"/>
      <c r="AB94" s="313"/>
      <c r="AC94" s="313"/>
      <c r="AD94" s="313"/>
      <c r="AE94" s="313"/>
      <c r="AF94" s="313"/>
      <c r="AG94" s="313"/>
    </row>
    <row r="95" spans="10:33" s="10" customFormat="1" ht="15" customHeight="1" x14ac:dyDescent="0.25">
      <c r="J95" s="313"/>
      <c r="K95" s="313"/>
      <c r="L95" s="402"/>
      <c r="M95" s="402"/>
      <c r="N95" s="402"/>
      <c r="O95" s="402"/>
      <c r="P95" s="402"/>
      <c r="Q95" s="402"/>
      <c r="R95" s="402"/>
      <c r="S95" s="402"/>
      <c r="T95" s="402"/>
      <c r="U95" s="402"/>
      <c r="V95" s="402"/>
      <c r="W95" s="402"/>
      <c r="X95" s="402"/>
      <c r="Y95" s="402"/>
      <c r="Z95" s="402"/>
      <c r="AA95" s="402"/>
      <c r="AB95" s="313"/>
      <c r="AC95" s="313"/>
      <c r="AD95" s="313"/>
      <c r="AE95" s="313"/>
      <c r="AF95" s="313"/>
      <c r="AG95" s="313"/>
    </row>
    <row r="96" spans="10:33" s="10" customFormat="1" ht="15" customHeight="1" x14ac:dyDescent="0.25">
      <c r="J96" s="313"/>
      <c r="K96" s="313"/>
      <c r="L96" s="402"/>
      <c r="M96" s="402"/>
      <c r="N96" s="402"/>
      <c r="O96" s="402"/>
      <c r="P96" s="402"/>
      <c r="Q96" s="402"/>
      <c r="R96" s="402"/>
      <c r="S96" s="402"/>
      <c r="T96" s="402"/>
      <c r="U96" s="402"/>
      <c r="V96" s="402"/>
      <c r="W96" s="402"/>
      <c r="X96" s="402"/>
      <c r="Y96" s="402"/>
      <c r="Z96" s="402"/>
      <c r="AA96" s="402"/>
      <c r="AB96" s="313"/>
      <c r="AC96" s="313"/>
      <c r="AD96" s="313"/>
      <c r="AE96" s="313"/>
      <c r="AF96" s="313"/>
      <c r="AG96" s="313"/>
    </row>
    <row r="97" spans="2:33" s="10" customFormat="1" ht="15" customHeight="1" x14ac:dyDescent="0.25">
      <c r="J97" s="313"/>
      <c r="K97" s="313"/>
      <c r="L97" s="402"/>
      <c r="M97" s="402"/>
      <c r="N97" s="402"/>
      <c r="O97" s="402"/>
      <c r="P97" s="402"/>
      <c r="Q97" s="402"/>
      <c r="R97" s="402"/>
      <c r="S97" s="402"/>
      <c r="T97" s="402"/>
      <c r="U97" s="402"/>
      <c r="V97" s="402"/>
      <c r="W97" s="402"/>
      <c r="X97" s="402"/>
      <c r="Y97" s="402"/>
      <c r="Z97" s="402"/>
      <c r="AA97" s="402"/>
      <c r="AB97" s="313"/>
      <c r="AC97" s="313"/>
      <c r="AD97" s="313"/>
      <c r="AE97" s="313"/>
      <c r="AF97" s="313"/>
      <c r="AG97" s="313"/>
    </row>
    <row r="98" spans="2:33" s="10" customFormat="1" ht="15" customHeight="1" x14ac:dyDescent="0.25">
      <c r="J98" s="313"/>
      <c r="K98" s="313"/>
      <c r="L98" s="402"/>
      <c r="M98" s="402"/>
      <c r="N98" s="402"/>
      <c r="O98" s="402"/>
      <c r="P98" s="402"/>
      <c r="Q98" s="402"/>
      <c r="R98" s="402"/>
      <c r="S98" s="402"/>
      <c r="T98" s="402"/>
      <c r="U98" s="402"/>
      <c r="V98" s="402"/>
      <c r="W98" s="402"/>
      <c r="X98" s="402"/>
      <c r="Y98" s="402"/>
      <c r="Z98" s="402"/>
      <c r="AA98" s="402"/>
      <c r="AB98" s="313"/>
      <c r="AC98" s="313"/>
      <c r="AD98" s="313"/>
      <c r="AE98" s="313"/>
      <c r="AF98" s="313"/>
      <c r="AG98" s="313"/>
    </row>
    <row r="99" spans="2:33" s="10" customFormat="1" ht="15" customHeight="1" x14ac:dyDescent="0.25">
      <c r="B99" s="2"/>
      <c r="C99" s="2"/>
      <c r="D99" s="2"/>
      <c r="E99" s="2"/>
      <c r="F99" s="2"/>
      <c r="G99" s="2"/>
      <c r="H99" s="2"/>
      <c r="I99" s="2"/>
      <c r="J99" s="312"/>
      <c r="K99" s="312"/>
      <c r="L99" s="407"/>
      <c r="M99" s="407"/>
      <c r="N99" s="407"/>
      <c r="O99" s="407"/>
      <c r="P99" s="407"/>
      <c r="Q99" s="407"/>
      <c r="R99" s="402"/>
      <c r="S99" s="402"/>
      <c r="T99" s="402"/>
      <c r="U99" s="402"/>
      <c r="V99" s="402"/>
      <c r="W99" s="402"/>
      <c r="X99" s="402"/>
      <c r="Y99" s="402"/>
      <c r="Z99" s="402"/>
      <c r="AA99" s="402"/>
      <c r="AB99" s="313"/>
      <c r="AC99" s="313"/>
      <c r="AD99" s="313"/>
      <c r="AE99" s="313"/>
      <c r="AF99" s="313"/>
      <c r="AG99" s="313"/>
    </row>
    <row r="100" spans="2:33" x14ac:dyDescent="0.2">
      <c r="AA100" s="402"/>
      <c r="AB100" s="313"/>
      <c r="AC100" s="313"/>
      <c r="AD100" s="313"/>
      <c r="AE100" s="313"/>
    </row>
    <row r="101" spans="2:33" x14ac:dyDescent="0.2">
      <c r="AA101" s="402"/>
      <c r="AB101" s="313"/>
      <c r="AC101" s="313"/>
      <c r="AD101" s="313"/>
      <c r="AE101" s="313"/>
    </row>
    <row r="102" spans="2:33" x14ac:dyDescent="0.2">
      <c r="AA102" s="402"/>
      <c r="AB102" s="313"/>
      <c r="AC102" s="313"/>
      <c r="AD102" s="313"/>
      <c r="AE102" s="313"/>
    </row>
  </sheetData>
  <customSheetViews>
    <customSheetView guid="{B2DDA8C4-3089-41F7-BA6E-A0E09596A2CA}" scale="80" showPageBreaks="1" fitToPage="1" printArea="1">
      <selection activeCell="B2" sqref="B2"/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2" sqref="B2"/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7">
    <mergeCell ref="B44:E44"/>
    <mergeCell ref="B43:E43"/>
    <mergeCell ref="B46:E46"/>
    <mergeCell ref="E66:F66"/>
    <mergeCell ref="E56:F56"/>
    <mergeCell ref="E59:F59"/>
    <mergeCell ref="B49:E49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76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2" width="6" style="2" customWidth="1"/>
    <col min="3" max="3" width="12.5703125" style="2" customWidth="1"/>
    <col min="4" max="4" width="12.28515625" style="2" customWidth="1"/>
    <col min="5" max="5" width="8.85546875" style="2" customWidth="1"/>
    <col min="6" max="6" width="11.7109375" style="2" customWidth="1"/>
    <col min="7" max="7" width="7.7109375" style="2" customWidth="1"/>
    <col min="8" max="8" width="11.42578125" style="2" customWidth="1"/>
    <col min="9" max="9" width="4.7109375" style="2" customWidth="1"/>
    <col min="10" max="10" width="13.42578125" style="2" customWidth="1"/>
    <col min="11" max="11" width="2.7109375" style="312" customWidth="1"/>
    <col min="12" max="12" width="9.7109375" style="407" hidden="1" customWidth="1"/>
    <col min="13" max="13" width="2.7109375" style="407" hidden="1" customWidth="1"/>
    <col min="14" max="14" width="8.7109375" style="407" hidden="1" customWidth="1"/>
    <col min="15" max="15" width="2.7109375" style="407" hidden="1" customWidth="1"/>
    <col min="16" max="16" width="8.7109375" style="407" hidden="1" customWidth="1"/>
    <col min="17" max="17" width="2.7109375" style="407" hidden="1" customWidth="1"/>
    <col min="18" max="18" width="8.7109375" style="407" hidden="1" customWidth="1"/>
    <col min="19" max="19" width="2.7109375" style="407" hidden="1" customWidth="1"/>
    <col min="20" max="20" width="8.7109375" style="407" hidden="1" customWidth="1"/>
    <col min="21" max="21" width="2.7109375" style="407" hidden="1" customWidth="1"/>
    <col min="22" max="22" width="8.7109375" style="407" hidden="1" customWidth="1"/>
    <col min="23" max="23" width="2.7109375" style="312" customWidth="1"/>
    <col min="24" max="24" width="9.140625" style="312"/>
    <col min="25" max="25" width="2.7109375" style="312" customWidth="1"/>
    <col min="26" max="26" width="9.140625" style="312"/>
    <col min="27" max="27" width="2.7109375" style="312" customWidth="1"/>
    <col min="28" max="29" width="9.140625" style="312"/>
    <col min="30" max="16384" width="9.140625" style="2"/>
  </cols>
  <sheetData>
    <row r="1" spans="2:29" ht="28.5" customHeight="1" x14ac:dyDescent="0.2"/>
    <row r="2" spans="2:29" ht="15.95" customHeight="1" x14ac:dyDescent="0.25">
      <c r="B2" s="10" t="s">
        <v>1193</v>
      </c>
      <c r="K2" s="218"/>
      <c r="L2" s="402"/>
      <c r="M2" s="402"/>
      <c r="N2" s="452"/>
      <c r="O2" s="403"/>
      <c r="P2" s="452"/>
      <c r="Q2" s="452"/>
      <c r="R2" s="403"/>
    </row>
    <row r="3" spans="2:29" s="10" customFormat="1" ht="15.95" customHeight="1" x14ac:dyDescent="0.25">
      <c r="B3" s="10" t="s">
        <v>548</v>
      </c>
      <c r="K3" s="218"/>
      <c r="L3" s="402"/>
      <c r="M3" s="402"/>
      <c r="N3" s="452"/>
      <c r="O3" s="403"/>
      <c r="P3" s="452"/>
      <c r="Q3" s="452"/>
      <c r="R3" s="403"/>
      <c r="S3" s="402"/>
      <c r="T3" s="402"/>
      <c r="U3" s="418" t="s">
        <v>1682</v>
      </c>
      <c r="V3" s="402"/>
      <c r="W3" s="218"/>
      <c r="X3" s="313"/>
      <c r="Y3" s="313"/>
      <c r="Z3" s="313"/>
      <c r="AA3" s="313"/>
      <c r="AB3" s="313"/>
      <c r="AC3" s="313"/>
    </row>
    <row r="4" spans="2:29" s="10" customFormat="1" ht="15.95" customHeight="1" x14ac:dyDescent="0.25">
      <c r="B4" s="10" t="s">
        <v>549</v>
      </c>
      <c r="K4" s="218"/>
      <c r="L4" s="402"/>
      <c r="M4" s="402"/>
      <c r="N4" s="403"/>
      <c r="O4" s="452"/>
      <c r="P4" s="403"/>
      <c r="Q4" s="403"/>
      <c r="R4" s="452"/>
      <c r="S4" s="402"/>
      <c r="T4" s="409" t="s">
        <v>30</v>
      </c>
      <c r="U4" s="409"/>
      <c r="V4" s="409" t="s">
        <v>941</v>
      </c>
      <c r="W4" s="314"/>
      <c r="X4" s="313"/>
      <c r="Y4" s="313"/>
      <c r="Z4" s="313"/>
      <c r="AA4" s="313"/>
      <c r="AB4" s="313"/>
      <c r="AC4" s="313"/>
    </row>
    <row r="5" spans="2:29" s="10" customFormat="1" ht="5.0999999999999996" customHeight="1" x14ac:dyDescent="0.25">
      <c r="K5" s="313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218"/>
      <c r="X5" s="313"/>
      <c r="Y5" s="313"/>
      <c r="Z5" s="313"/>
      <c r="AA5" s="313"/>
      <c r="AB5" s="313"/>
      <c r="AC5" s="313"/>
    </row>
    <row r="6" spans="2:29" s="10" customFormat="1" ht="15.95" customHeight="1" x14ac:dyDescent="0.25">
      <c r="D6" s="13" t="s">
        <v>1490</v>
      </c>
      <c r="E6" s="14" t="s">
        <v>111</v>
      </c>
      <c r="F6" s="13" t="s">
        <v>1491</v>
      </c>
      <c r="G6" s="14" t="s">
        <v>1504</v>
      </c>
      <c r="H6" s="10" t="s">
        <v>550</v>
      </c>
      <c r="K6" s="313"/>
      <c r="L6" s="402"/>
      <c r="M6" s="402"/>
      <c r="N6" s="402"/>
      <c r="O6" s="402"/>
      <c r="P6" s="402"/>
      <c r="Q6" s="402"/>
      <c r="R6" s="402"/>
      <c r="S6" s="405" t="s">
        <v>780</v>
      </c>
      <c r="T6" s="409">
        <v>385500</v>
      </c>
      <c r="U6" s="402"/>
      <c r="V6" s="409">
        <v>420250</v>
      </c>
      <c r="W6" s="218"/>
      <c r="X6" s="313"/>
      <c r="Y6" s="313"/>
      <c r="Z6" s="313"/>
      <c r="AA6" s="313"/>
      <c r="AB6" s="313"/>
      <c r="AC6" s="313"/>
    </row>
    <row r="7" spans="2:29" s="10" customFormat="1" ht="15.95" customHeight="1" x14ac:dyDescent="0.25">
      <c r="B7" s="10" t="s">
        <v>950</v>
      </c>
      <c r="D7" s="34">
        <f>T6</f>
        <v>385500</v>
      </c>
      <c r="E7" s="14" t="s">
        <v>111</v>
      </c>
      <c r="F7" s="34">
        <f>T7</f>
        <v>152800</v>
      </c>
      <c r="G7" s="14" t="s">
        <v>1504</v>
      </c>
      <c r="H7" s="17">
        <f>P10</f>
        <v>232700</v>
      </c>
      <c r="I7" s="10" t="s">
        <v>748</v>
      </c>
      <c r="K7" s="313"/>
      <c r="L7" s="402"/>
      <c r="M7" s="402"/>
      <c r="N7" s="402"/>
      <c r="O7" s="402"/>
      <c r="P7" s="402"/>
      <c r="Q7" s="402"/>
      <c r="R7" s="402"/>
      <c r="S7" s="405" t="s">
        <v>778</v>
      </c>
      <c r="T7" s="409">
        <v>152800</v>
      </c>
      <c r="U7" s="402"/>
      <c r="V7" s="409">
        <v>156600</v>
      </c>
      <c r="W7" s="218"/>
      <c r="X7" s="313"/>
      <c r="Y7" s="313"/>
      <c r="Z7" s="313"/>
      <c r="AA7" s="313"/>
      <c r="AB7" s="313"/>
      <c r="AC7" s="313"/>
    </row>
    <row r="8" spans="2:29" s="10" customFormat="1" ht="15.95" customHeight="1" x14ac:dyDescent="0.25">
      <c r="B8" s="10" t="s">
        <v>551</v>
      </c>
      <c r="D8" s="34">
        <f>V6</f>
        <v>420250</v>
      </c>
      <c r="E8" s="14" t="s">
        <v>111</v>
      </c>
      <c r="F8" s="34">
        <f>V7</f>
        <v>156600</v>
      </c>
      <c r="G8" s="14" t="s">
        <v>1504</v>
      </c>
      <c r="H8" s="17">
        <f>P11</f>
        <v>263650</v>
      </c>
      <c r="I8" s="10" t="s">
        <v>749</v>
      </c>
      <c r="K8" s="313"/>
      <c r="L8" s="402"/>
      <c r="M8" s="412" t="s">
        <v>794</v>
      </c>
      <c r="N8" s="402"/>
      <c r="O8" s="402"/>
      <c r="P8" s="402"/>
      <c r="Q8" s="402"/>
      <c r="R8" s="402"/>
      <c r="S8" s="405" t="s">
        <v>938</v>
      </c>
      <c r="T8" s="409">
        <v>15000</v>
      </c>
      <c r="U8" s="402"/>
      <c r="V8" s="409">
        <v>20000</v>
      </c>
      <c r="W8" s="218"/>
      <c r="X8" s="313"/>
      <c r="Y8" s="313"/>
      <c r="Z8" s="313"/>
      <c r="AA8" s="313"/>
      <c r="AB8" s="313"/>
      <c r="AC8" s="313"/>
    </row>
    <row r="9" spans="2:29" s="10" customFormat="1" ht="5.0999999999999996" customHeight="1" x14ac:dyDescent="0.25">
      <c r="D9" s="21"/>
      <c r="E9" s="14"/>
      <c r="F9" s="77"/>
      <c r="G9" s="14"/>
      <c r="H9" s="21"/>
      <c r="K9" s="313"/>
      <c r="L9" s="402"/>
      <c r="M9" s="402"/>
      <c r="N9" s="402"/>
      <c r="O9" s="402"/>
      <c r="P9" s="402"/>
      <c r="Q9" s="402"/>
      <c r="R9" s="402"/>
      <c r="S9" s="402"/>
      <c r="T9" s="448"/>
      <c r="U9" s="402"/>
      <c r="V9" s="448"/>
      <c r="W9" s="218"/>
      <c r="X9" s="313"/>
      <c r="Y9" s="313"/>
      <c r="Z9" s="313"/>
      <c r="AA9" s="313"/>
      <c r="AB9" s="313"/>
      <c r="AC9" s="313"/>
    </row>
    <row r="10" spans="2:29" s="10" customFormat="1" ht="15.95" customHeight="1" x14ac:dyDescent="0.25">
      <c r="B10" s="25" t="s">
        <v>748</v>
      </c>
      <c r="C10" s="29" t="s">
        <v>1348</v>
      </c>
      <c r="D10" s="21"/>
      <c r="E10" s="14"/>
      <c r="F10" s="77"/>
      <c r="G10" s="14"/>
      <c r="H10" s="21"/>
      <c r="K10" s="313"/>
      <c r="L10" s="410">
        <f>T6</f>
        <v>385500</v>
      </c>
      <c r="M10" s="410" t="s">
        <v>1589</v>
      </c>
      <c r="N10" s="410">
        <f>T7</f>
        <v>152800</v>
      </c>
      <c r="O10" s="410" t="s">
        <v>1587</v>
      </c>
      <c r="P10" s="410">
        <f>SUM(L10-N10)</f>
        <v>232700</v>
      </c>
      <c r="Q10" s="402"/>
      <c r="R10" s="402"/>
      <c r="S10" s="405" t="s">
        <v>31</v>
      </c>
      <c r="T10" s="409">
        <v>40000</v>
      </c>
      <c r="U10" s="402"/>
      <c r="V10" s="409">
        <v>35000</v>
      </c>
      <c r="W10" s="218"/>
      <c r="X10" s="313"/>
      <c r="Y10" s="313"/>
      <c r="Z10" s="313"/>
      <c r="AA10" s="313"/>
      <c r="AB10" s="313"/>
      <c r="AC10" s="313"/>
    </row>
    <row r="11" spans="2:29" s="10" customFormat="1" ht="15.95" customHeight="1" x14ac:dyDescent="0.25">
      <c r="B11" s="25" t="s">
        <v>749</v>
      </c>
      <c r="C11" s="29" t="s">
        <v>1133</v>
      </c>
      <c r="D11" s="21"/>
      <c r="E11" s="14"/>
      <c r="F11" s="77"/>
      <c r="G11" s="14"/>
      <c r="H11" s="21"/>
      <c r="K11" s="313"/>
      <c r="L11" s="410">
        <f>V6</f>
        <v>420250</v>
      </c>
      <c r="M11" s="410" t="s">
        <v>1589</v>
      </c>
      <c r="N11" s="410">
        <f>V7</f>
        <v>156600</v>
      </c>
      <c r="O11" s="410" t="s">
        <v>1587</v>
      </c>
      <c r="P11" s="410">
        <f>SUM(L11-N11)</f>
        <v>263650</v>
      </c>
      <c r="Q11" s="402"/>
      <c r="R11" s="402"/>
      <c r="S11" s="405"/>
      <c r="T11" s="402"/>
      <c r="U11" s="402"/>
      <c r="V11" s="448"/>
      <c r="W11" s="218"/>
      <c r="X11" s="313"/>
      <c r="Y11" s="313"/>
      <c r="Z11" s="313"/>
      <c r="AA11" s="313"/>
      <c r="AB11" s="313"/>
      <c r="AC11" s="313"/>
    </row>
    <row r="12" spans="2:29" s="10" customFormat="1" ht="9.9499999999999993" customHeight="1" x14ac:dyDescent="0.25">
      <c r="D12" s="21"/>
      <c r="E12" s="14"/>
      <c r="F12" s="77"/>
      <c r="G12" s="14"/>
      <c r="H12" s="21"/>
      <c r="K12" s="313"/>
      <c r="L12" s="402"/>
      <c r="M12" s="402"/>
      <c r="N12" s="402"/>
      <c r="O12" s="402"/>
      <c r="P12" s="402"/>
      <c r="Q12" s="402"/>
      <c r="R12" s="402"/>
      <c r="S12" s="402"/>
      <c r="T12" s="448"/>
      <c r="U12" s="402"/>
      <c r="V12" s="448"/>
      <c r="W12" s="218"/>
      <c r="X12" s="313"/>
      <c r="Y12" s="313"/>
      <c r="Z12" s="313"/>
      <c r="AA12" s="313"/>
      <c r="AB12" s="313"/>
      <c r="AC12" s="313"/>
    </row>
    <row r="13" spans="2:29" s="10" customFormat="1" ht="15.95" customHeight="1" x14ac:dyDescent="0.25">
      <c r="B13" s="10" t="s">
        <v>552</v>
      </c>
      <c r="K13" s="313"/>
      <c r="L13" s="402"/>
      <c r="M13" s="402"/>
      <c r="N13" s="402"/>
      <c r="O13" s="402"/>
      <c r="P13" s="402"/>
      <c r="Q13" s="402"/>
      <c r="R13" s="402"/>
      <c r="S13" s="402"/>
      <c r="T13" s="402"/>
      <c r="U13" s="402"/>
      <c r="V13" s="402"/>
      <c r="W13" s="218"/>
      <c r="X13" s="313"/>
      <c r="Y13" s="313"/>
      <c r="Z13" s="313"/>
      <c r="AA13" s="313"/>
      <c r="AB13" s="313"/>
      <c r="AC13" s="313"/>
    </row>
    <row r="14" spans="2:29" s="10" customFormat="1" ht="5.0999999999999996" customHeight="1" x14ac:dyDescent="0.25">
      <c r="K14" s="313"/>
      <c r="L14" s="402"/>
      <c r="M14" s="402"/>
      <c r="N14" s="402"/>
      <c r="O14" s="402"/>
      <c r="P14" s="402"/>
      <c r="Q14" s="402"/>
      <c r="R14" s="402"/>
      <c r="S14" s="402"/>
      <c r="T14" s="447"/>
      <c r="U14" s="402"/>
      <c r="V14" s="402"/>
      <c r="W14" s="218"/>
      <c r="X14" s="313"/>
      <c r="Y14" s="313"/>
      <c r="Z14" s="313"/>
      <c r="AA14" s="313"/>
      <c r="AB14" s="313"/>
      <c r="AC14" s="313"/>
    </row>
    <row r="15" spans="2:29" s="10" customFormat="1" ht="15.95" customHeight="1" x14ac:dyDescent="0.25">
      <c r="B15" s="354" t="s">
        <v>553</v>
      </c>
      <c r="C15" s="354"/>
      <c r="D15" s="354"/>
      <c r="E15" s="354"/>
      <c r="F15" s="10" t="s">
        <v>554</v>
      </c>
      <c r="K15" s="313"/>
      <c r="L15" s="402"/>
      <c r="M15" s="402"/>
      <c r="N15" s="402"/>
      <c r="O15" s="402"/>
      <c r="P15" s="402"/>
      <c r="Q15" s="402"/>
      <c r="R15" s="402"/>
      <c r="S15" s="402"/>
      <c r="T15" s="447"/>
      <c r="U15" s="402"/>
      <c r="V15" s="402"/>
      <c r="W15" s="218"/>
      <c r="X15" s="313"/>
      <c r="Y15" s="313"/>
      <c r="Z15" s="313"/>
      <c r="AA15" s="313"/>
      <c r="AB15" s="313"/>
      <c r="AC15" s="313"/>
    </row>
    <row r="16" spans="2:29" s="10" customFormat="1" ht="5.0999999999999996" customHeight="1" x14ac:dyDescent="0.25">
      <c r="B16" s="25"/>
      <c r="C16" s="25"/>
      <c r="D16" s="25"/>
      <c r="E16" s="25"/>
      <c r="K16" s="313"/>
      <c r="L16" s="402"/>
      <c r="M16" s="402"/>
      <c r="N16" s="402"/>
      <c r="O16" s="402"/>
      <c r="P16" s="402"/>
      <c r="Q16" s="402"/>
      <c r="R16" s="402"/>
      <c r="S16" s="402"/>
      <c r="T16" s="447"/>
      <c r="U16" s="402"/>
      <c r="V16" s="402"/>
      <c r="W16" s="218"/>
      <c r="X16" s="313"/>
      <c r="Y16" s="313"/>
      <c r="Z16" s="313"/>
      <c r="AA16" s="313"/>
      <c r="AB16" s="313"/>
      <c r="AC16" s="313"/>
    </row>
    <row r="17" spans="2:29" s="10" customFormat="1" ht="15.95" customHeight="1" x14ac:dyDescent="0.25">
      <c r="B17" s="354" t="s">
        <v>570</v>
      </c>
      <c r="C17" s="354"/>
      <c r="D17" s="354"/>
      <c r="E17" s="354"/>
      <c r="F17" s="91" t="s">
        <v>555</v>
      </c>
      <c r="K17" s="313"/>
      <c r="L17" s="402"/>
      <c r="M17" s="402"/>
      <c r="N17" s="402"/>
      <c r="O17" s="402"/>
      <c r="P17" s="402"/>
      <c r="Q17" s="402"/>
      <c r="R17" s="402"/>
      <c r="S17" s="402"/>
      <c r="T17" s="402"/>
      <c r="U17" s="402"/>
      <c r="V17" s="402"/>
      <c r="W17" s="218"/>
      <c r="X17" s="313"/>
      <c r="Y17" s="313"/>
      <c r="Z17" s="313"/>
      <c r="AA17" s="313"/>
      <c r="AB17" s="313"/>
      <c r="AC17" s="313"/>
    </row>
    <row r="18" spans="2:29" s="10" customFormat="1" ht="15.95" customHeight="1" x14ac:dyDescent="0.25">
      <c r="E18" s="14"/>
      <c r="F18" s="91" t="s">
        <v>556</v>
      </c>
      <c r="K18" s="313"/>
      <c r="L18" s="402"/>
      <c r="M18" s="402"/>
      <c r="N18" s="402"/>
      <c r="O18" s="402"/>
      <c r="P18" s="402"/>
      <c r="Q18" s="402"/>
      <c r="R18" s="402"/>
      <c r="S18" s="402"/>
      <c r="T18" s="447"/>
      <c r="U18" s="402"/>
      <c r="V18" s="402"/>
      <c r="W18" s="218"/>
      <c r="X18" s="313"/>
      <c r="Y18" s="313"/>
      <c r="Z18" s="313"/>
      <c r="AA18" s="313"/>
      <c r="AB18" s="313"/>
      <c r="AC18" s="313"/>
    </row>
    <row r="19" spans="2:29" s="10" customFormat="1" ht="5.0999999999999996" customHeight="1" x14ac:dyDescent="0.25">
      <c r="E19" s="14"/>
      <c r="F19" s="91"/>
      <c r="K19" s="313"/>
      <c r="L19" s="402"/>
      <c r="M19" s="402"/>
      <c r="N19" s="402"/>
      <c r="O19" s="402"/>
      <c r="P19" s="402"/>
      <c r="Q19" s="402"/>
      <c r="R19" s="402"/>
      <c r="S19" s="402"/>
      <c r="T19" s="447"/>
      <c r="U19" s="402"/>
      <c r="V19" s="402"/>
      <c r="W19" s="218"/>
      <c r="X19" s="313"/>
      <c r="Y19" s="313"/>
      <c r="Z19" s="313"/>
      <c r="AA19" s="313"/>
      <c r="AB19" s="313"/>
      <c r="AC19" s="313"/>
    </row>
    <row r="20" spans="2:29" s="10" customFormat="1" ht="15.95" customHeight="1" x14ac:dyDescent="0.25">
      <c r="B20" s="354" t="s">
        <v>557</v>
      </c>
      <c r="C20" s="354"/>
      <c r="D20" s="354"/>
      <c r="E20" s="354"/>
      <c r="F20" s="10" t="s">
        <v>558</v>
      </c>
      <c r="K20" s="313"/>
      <c r="L20" s="402"/>
      <c r="M20" s="402"/>
      <c r="N20" s="402"/>
      <c r="O20" s="402"/>
      <c r="P20" s="402"/>
      <c r="Q20" s="402"/>
      <c r="R20" s="402"/>
      <c r="S20" s="405"/>
      <c r="T20" s="402"/>
      <c r="U20" s="402"/>
      <c r="V20" s="402"/>
      <c r="W20" s="218"/>
      <c r="X20" s="313"/>
      <c r="Y20" s="313"/>
      <c r="Z20" s="313"/>
      <c r="AA20" s="313"/>
      <c r="AB20" s="313"/>
      <c r="AC20" s="313"/>
    </row>
    <row r="21" spans="2:29" s="10" customFormat="1" ht="9.9499999999999993" customHeight="1" x14ac:dyDescent="0.25">
      <c r="K21" s="313"/>
      <c r="L21" s="402"/>
      <c r="M21" s="402"/>
      <c r="N21" s="402"/>
      <c r="O21" s="402"/>
      <c r="P21" s="402"/>
      <c r="Q21" s="402"/>
      <c r="R21" s="402"/>
      <c r="S21" s="402"/>
      <c r="T21" s="402"/>
      <c r="U21" s="402"/>
      <c r="V21" s="402"/>
      <c r="W21" s="218"/>
      <c r="X21" s="313"/>
      <c r="Y21" s="313"/>
      <c r="Z21" s="313"/>
      <c r="AA21" s="313"/>
      <c r="AB21" s="313"/>
      <c r="AC21" s="313"/>
    </row>
    <row r="22" spans="2:29" s="10" customFormat="1" ht="15.95" customHeight="1" x14ac:dyDescent="0.25">
      <c r="B22" s="10" t="s">
        <v>559</v>
      </c>
      <c r="K22" s="313"/>
      <c r="L22" s="402"/>
      <c r="M22" s="402"/>
      <c r="N22" s="402"/>
      <c r="O22" s="402"/>
      <c r="P22" s="402"/>
      <c r="Q22" s="402"/>
      <c r="R22" s="402"/>
      <c r="S22" s="402"/>
      <c r="T22" s="402"/>
      <c r="U22" s="402"/>
      <c r="V22" s="402"/>
      <c r="W22" s="218"/>
      <c r="X22" s="313"/>
      <c r="Y22" s="313"/>
      <c r="Z22" s="313"/>
      <c r="AA22" s="313"/>
      <c r="AB22" s="313"/>
      <c r="AC22" s="313"/>
    </row>
    <row r="23" spans="2:29" s="10" customFormat="1" ht="15.95" customHeight="1" x14ac:dyDescent="0.25">
      <c r="B23" s="354" t="s">
        <v>570</v>
      </c>
      <c r="C23" s="354"/>
      <c r="D23" s="354"/>
      <c r="E23" s="354"/>
      <c r="F23" s="10" t="s">
        <v>560</v>
      </c>
      <c r="K23" s="313"/>
      <c r="L23" s="402"/>
      <c r="M23" s="402"/>
      <c r="N23" s="402"/>
      <c r="O23" s="402"/>
      <c r="P23" s="402"/>
      <c r="Q23" s="402"/>
      <c r="R23" s="402"/>
      <c r="S23" s="402"/>
      <c r="T23" s="402"/>
      <c r="U23" s="402"/>
      <c r="V23" s="402"/>
      <c r="W23" s="313"/>
      <c r="X23" s="313"/>
      <c r="Y23" s="313"/>
      <c r="Z23" s="313"/>
      <c r="AA23" s="313"/>
      <c r="AB23" s="313"/>
      <c r="AC23" s="313"/>
    </row>
    <row r="24" spans="2:29" s="10" customFormat="1" ht="15.95" customHeight="1" x14ac:dyDescent="0.25">
      <c r="D24" s="14"/>
      <c r="E24" s="28"/>
      <c r="F24" s="10" t="s">
        <v>1020</v>
      </c>
      <c r="K24" s="313"/>
      <c r="L24" s="402"/>
      <c r="M24" s="412" t="s">
        <v>794</v>
      </c>
      <c r="N24" s="402"/>
      <c r="O24" s="402"/>
      <c r="P24" s="402"/>
      <c r="Q24" s="402"/>
      <c r="R24" s="402"/>
      <c r="S24" s="402"/>
      <c r="T24" s="402"/>
      <c r="U24" s="402"/>
      <c r="V24" s="402"/>
      <c r="W24" s="313"/>
      <c r="X24" s="313"/>
      <c r="Y24" s="313"/>
      <c r="Z24" s="313"/>
      <c r="AA24" s="313"/>
      <c r="AB24" s="313"/>
      <c r="AC24" s="313"/>
    </row>
    <row r="25" spans="2:29" s="10" customFormat="1" ht="5.0999999999999996" customHeight="1" x14ac:dyDescent="0.25">
      <c r="K25" s="313"/>
      <c r="L25" s="402"/>
      <c r="M25" s="402"/>
      <c r="N25" s="402"/>
      <c r="O25" s="402"/>
      <c r="P25" s="402"/>
      <c r="Q25" s="402"/>
      <c r="R25" s="402"/>
      <c r="S25" s="402"/>
      <c r="T25" s="402"/>
      <c r="U25" s="402"/>
      <c r="V25" s="402"/>
      <c r="W25" s="313"/>
      <c r="X25" s="313"/>
      <c r="Y25" s="313"/>
      <c r="Z25" s="313"/>
      <c r="AA25" s="313"/>
      <c r="AB25" s="313"/>
      <c r="AC25" s="313"/>
    </row>
    <row r="26" spans="2:29" s="10" customFormat="1" ht="15.95" customHeight="1" x14ac:dyDescent="0.25">
      <c r="B26" s="11" t="s">
        <v>758</v>
      </c>
      <c r="C26" s="10" t="str">
        <f>CONCATENATE("(",TEXT(L26,"$#,##0"),M26,TEXT(N26,"$#,##0"),") = $0 + Net Income – $0")</f>
        <v>($263,650 – $232,700) = $0 + Net Income – $0</v>
      </c>
      <c r="K26" s="313"/>
      <c r="L26" s="410">
        <f>P11</f>
        <v>263650</v>
      </c>
      <c r="M26" s="410" t="s">
        <v>1589</v>
      </c>
      <c r="N26" s="410">
        <f>P10</f>
        <v>232700</v>
      </c>
      <c r="O26" s="410" t="s">
        <v>1587</v>
      </c>
      <c r="P26" s="410">
        <f>SUM(L26-N26)</f>
        <v>30950</v>
      </c>
      <c r="Q26" s="402"/>
      <c r="R26" s="402"/>
      <c r="S26" s="402"/>
      <c r="T26" s="402"/>
      <c r="U26" s="402"/>
      <c r="V26" s="402"/>
      <c r="W26" s="313"/>
      <c r="X26" s="313"/>
      <c r="Y26" s="313"/>
      <c r="Z26" s="313"/>
      <c r="AA26" s="313"/>
      <c r="AB26" s="313"/>
      <c r="AC26" s="313"/>
    </row>
    <row r="27" spans="2:29" s="10" customFormat="1" ht="15.95" customHeight="1" x14ac:dyDescent="0.25">
      <c r="C27" s="10" t="str">
        <f>CONCATENATE("Net Income  =  ",TEXT(P26,"$#,##0"),)</f>
        <v>Net Income  =  $30,950</v>
      </c>
      <c r="K27" s="313"/>
      <c r="L27" s="402"/>
      <c r="M27" s="402"/>
      <c r="N27" s="402"/>
      <c r="O27" s="402"/>
      <c r="P27" s="402"/>
      <c r="Q27" s="402"/>
      <c r="R27" s="402"/>
      <c r="S27" s="402"/>
      <c r="T27" s="402"/>
      <c r="U27" s="402"/>
      <c r="V27" s="402"/>
      <c r="W27" s="313"/>
      <c r="X27" s="313"/>
      <c r="Y27" s="313"/>
      <c r="Z27" s="313"/>
      <c r="AA27" s="313"/>
      <c r="AB27" s="313"/>
      <c r="AC27" s="313"/>
    </row>
    <row r="28" spans="2:29" s="10" customFormat="1" ht="5.0999999999999996" customHeight="1" x14ac:dyDescent="0.25">
      <c r="K28" s="313"/>
      <c r="L28" s="402"/>
      <c r="M28" s="402"/>
      <c r="N28" s="402"/>
      <c r="O28" s="402"/>
      <c r="P28" s="402"/>
      <c r="Q28" s="402"/>
      <c r="R28" s="402"/>
      <c r="S28" s="402"/>
      <c r="T28" s="402"/>
      <c r="U28" s="402"/>
      <c r="V28" s="402"/>
      <c r="W28" s="313"/>
      <c r="X28" s="313"/>
      <c r="Y28" s="313"/>
      <c r="Z28" s="313"/>
      <c r="AA28" s="313"/>
      <c r="AB28" s="313"/>
      <c r="AC28" s="313"/>
    </row>
    <row r="29" spans="2:29" s="10" customFormat="1" ht="15.95" customHeight="1" x14ac:dyDescent="0.25">
      <c r="B29" s="11" t="s">
        <v>759</v>
      </c>
      <c r="C29" s="10" t="str">
        <f>CONCATENATE("(",TEXT(L29,"$#,##0"),M29,TEXT(N29,"$#,##0"),") = ",TEXT(P29,"$#,##0")," + Net Income – $0")</f>
        <v>($263,650 – $232,700) = $40,000 + Net Income – $0</v>
      </c>
      <c r="K29" s="313"/>
      <c r="L29" s="410">
        <f>P11</f>
        <v>263650</v>
      </c>
      <c r="M29" s="410" t="s">
        <v>1589</v>
      </c>
      <c r="N29" s="410">
        <f>P10</f>
        <v>232700</v>
      </c>
      <c r="O29" s="410" t="s">
        <v>1588</v>
      </c>
      <c r="P29" s="410">
        <f>T10</f>
        <v>40000</v>
      </c>
      <c r="Q29" s="410" t="s">
        <v>1587</v>
      </c>
      <c r="R29" s="410">
        <f>SUM(L29-N29)-P29</f>
        <v>-9050</v>
      </c>
      <c r="S29" s="402"/>
      <c r="T29" s="402"/>
      <c r="U29" s="402"/>
      <c r="V29" s="402"/>
      <c r="W29" s="313"/>
      <c r="X29" s="313"/>
      <c r="Y29" s="313"/>
      <c r="Z29" s="313"/>
      <c r="AA29" s="313"/>
      <c r="AB29" s="313"/>
      <c r="AC29" s="313"/>
    </row>
    <row r="30" spans="2:29" s="10" customFormat="1" ht="15.95" customHeight="1" x14ac:dyDescent="0.25">
      <c r="C30" s="10" t="str">
        <f>CONCATENATE("Net Loss  =  ",TEXT(-R29,"($#,##0)"),)</f>
        <v>Net Loss  =  ($9,050)</v>
      </c>
      <c r="D30" s="14"/>
      <c r="E30" s="28"/>
      <c r="F30" s="28"/>
      <c r="K30" s="313"/>
      <c r="L30" s="402"/>
      <c r="M30" s="402"/>
      <c r="N30" s="402"/>
      <c r="O30" s="402"/>
      <c r="P30" s="402"/>
      <c r="Q30" s="402"/>
      <c r="R30" s="402"/>
      <c r="S30" s="402"/>
      <c r="T30" s="402"/>
      <c r="U30" s="402"/>
      <c r="V30" s="402"/>
      <c r="W30" s="313"/>
      <c r="X30" s="313"/>
      <c r="Y30" s="313"/>
      <c r="Z30" s="313"/>
      <c r="AA30" s="313"/>
      <c r="AB30" s="313"/>
      <c r="AC30" s="313"/>
    </row>
    <row r="31" spans="2:29" s="10" customFormat="1" ht="5.0999999999999996" customHeight="1" x14ac:dyDescent="0.25">
      <c r="K31" s="313"/>
      <c r="L31" s="402"/>
      <c r="M31" s="402"/>
      <c r="N31" s="402"/>
      <c r="O31" s="402"/>
      <c r="P31" s="402"/>
      <c r="Q31" s="402"/>
      <c r="R31" s="402"/>
      <c r="S31" s="402"/>
      <c r="T31" s="402"/>
      <c r="U31" s="402"/>
      <c r="V31" s="402"/>
      <c r="W31" s="313"/>
      <c r="X31" s="313"/>
      <c r="Y31" s="313"/>
      <c r="Z31" s="313"/>
      <c r="AA31" s="313"/>
      <c r="AB31" s="313"/>
      <c r="AC31" s="313"/>
    </row>
    <row r="32" spans="2:29" s="10" customFormat="1" ht="15.95" customHeight="1" x14ac:dyDescent="0.25">
      <c r="B32" s="11" t="s">
        <v>760</v>
      </c>
      <c r="C32" s="85" t="str">
        <f>CONCATENATE("(",TEXT(L32,"$#,##0"),M32,TEXT(N32,"$#,##0"),") = $0 + Net Income – ",TEXT(P32,"$#,##0"),)</f>
        <v>($263,650 – $232,700) = $0 + Net Income – $15,000</v>
      </c>
      <c r="K32" s="313"/>
      <c r="L32" s="410">
        <f>P11</f>
        <v>263650</v>
      </c>
      <c r="M32" s="410" t="s">
        <v>1589</v>
      </c>
      <c r="N32" s="410">
        <f>P10</f>
        <v>232700</v>
      </c>
      <c r="O32" s="410" t="s">
        <v>1588</v>
      </c>
      <c r="P32" s="410">
        <f>T8</f>
        <v>15000</v>
      </c>
      <c r="Q32" s="410" t="s">
        <v>1587</v>
      </c>
      <c r="R32" s="410">
        <f>SUM(L32-N32)+P32</f>
        <v>45950</v>
      </c>
      <c r="S32" s="402"/>
      <c r="T32" s="402"/>
      <c r="U32" s="402"/>
      <c r="V32" s="402"/>
      <c r="W32" s="313"/>
      <c r="X32" s="313"/>
      <c r="Y32" s="313"/>
      <c r="Z32" s="313"/>
      <c r="AA32" s="313"/>
      <c r="AB32" s="313"/>
      <c r="AC32" s="313"/>
    </row>
    <row r="33" spans="2:29" s="10" customFormat="1" ht="15.95" customHeight="1" x14ac:dyDescent="0.25">
      <c r="C33" s="10" t="str">
        <f>CONCATENATE("Net Income  =  ",TEXT(R32,"$#,##0"),)</f>
        <v>Net Income  =  $45,950</v>
      </c>
      <c r="D33" s="14"/>
      <c r="E33" s="28"/>
      <c r="F33" s="28"/>
      <c r="K33" s="313"/>
      <c r="L33" s="402"/>
      <c r="M33" s="402"/>
      <c r="N33" s="402"/>
      <c r="O33" s="402"/>
      <c r="P33" s="402"/>
      <c r="Q33" s="402"/>
      <c r="R33" s="402"/>
      <c r="S33" s="402"/>
      <c r="T33" s="402"/>
      <c r="U33" s="402"/>
      <c r="V33" s="402"/>
      <c r="W33" s="313"/>
      <c r="X33" s="313"/>
      <c r="Y33" s="313"/>
      <c r="Z33" s="313"/>
      <c r="AA33" s="313"/>
      <c r="AB33" s="313"/>
      <c r="AC33" s="313"/>
    </row>
    <row r="34" spans="2:29" s="10" customFormat="1" ht="5.0999999999999996" customHeight="1" x14ac:dyDescent="0.25">
      <c r="K34" s="313"/>
      <c r="L34" s="402"/>
      <c r="M34" s="402"/>
      <c r="N34" s="402"/>
      <c r="O34" s="402"/>
      <c r="P34" s="402"/>
      <c r="Q34" s="402"/>
      <c r="R34" s="402"/>
      <c r="S34" s="402"/>
      <c r="T34" s="402"/>
      <c r="U34" s="402"/>
      <c r="V34" s="402"/>
      <c r="W34" s="313"/>
      <c r="X34" s="313"/>
      <c r="Y34" s="313"/>
      <c r="Z34" s="313"/>
      <c r="AA34" s="313"/>
      <c r="AB34" s="313"/>
      <c r="AC34" s="313"/>
    </row>
    <row r="35" spans="2:29" s="10" customFormat="1" ht="15.95" customHeight="1" x14ac:dyDescent="0.25">
      <c r="B35" s="11" t="s">
        <v>270</v>
      </c>
      <c r="C35" s="10" t="str">
        <f>CONCATENATE("(",TEXT(L35,"$#,##0"),M35,TEXT(N35,"$#,##0"),") = ",TEXT(P35,"$#,##0")," + Net Income – ",TEXT(R35,"$#,##0"),)</f>
        <v>($263,650 – $232,700) = $35,000 + Net Income – $20,000</v>
      </c>
      <c r="K35" s="313"/>
      <c r="L35" s="410">
        <f>P11</f>
        <v>263650</v>
      </c>
      <c r="M35" s="410" t="s">
        <v>1589</v>
      </c>
      <c r="N35" s="410">
        <f>P10</f>
        <v>232700</v>
      </c>
      <c r="O35" s="410" t="s">
        <v>1589</v>
      </c>
      <c r="P35" s="410">
        <f>V10</f>
        <v>35000</v>
      </c>
      <c r="Q35" s="410" t="s">
        <v>1588</v>
      </c>
      <c r="R35" s="410">
        <f>V8</f>
        <v>20000</v>
      </c>
      <c r="S35" s="410" t="s">
        <v>1587</v>
      </c>
      <c r="T35" s="410">
        <f>SUM(L35-N35)-P35+R35</f>
        <v>15950</v>
      </c>
      <c r="U35" s="402"/>
      <c r="V35" s="402"/>
      <c r="W35" s="313"/>
      <c r="X35" s="313"/>
      <c r="Y35" s="313"/>
      <c r="Z35" s="313"/>
      <c r="AA35" s="313"/>
      <c r="AB35" s="313"/>
      <c r="AC35" s="313"/>
    </row>
    <row r="36" spans="2:29" s="10" customFormat="1" ht="15.95" customHeight="1" x14ac:dyDescent="0.25">
      <c r="C36" s="10" t="str">
        <f>CONCATENATE("Net Income  =  ",TEXT(T35,"$#,##0"),)</f>
        <v>Net Income  =  $15,950</v>
      </c>
      <c r="K36" s="313"/>
      <c r="L36" s="402"/>
      <c r="M36" s="402"/>
      <c r="N36" s="402"/>
      <c r="O36" s="402"/>
      <c r="P36" s="402"/>
      <c r="Q36" s="402"/>
      <c r="R36" s="402"/>
      <c r="S36" s="402"/>
      <c r="T36" s="402"/>
      <c r="U36" s="402"/>
      <c r="V36" s="402"/>
      <c r="W36" s="313"/>
      <c r="X36" s="313"/>
      <c r="Y36" s="313"/>
      <c r="Z36" s="313"/>
      <c r="AA36" s="313"/>
      <c r="AB36" s="313"/>
      <c r="AC36" s="313"/>
    </row>
    <row r="37" spans="2:29" s="10" customFormat="1" ht="15.95" customHeight="1" x14ac:dyDescent="0.25">
      <c r="F37" s="28"/>
      <c r="K37" s="313"/>
      <c r="L37" s="402"/>
      <c r="M37" s="402"/>
      <c r="N37" s="402"/>
      <c r="O37" s="402"/>
      <c r="P37" s="402"/>
      <c r="Q37" s="402"/>
      <c r="R37" s="402"/>
      <c r="S37" s="402"/>
      <c r="T37" s="402"/>
      <c r="U37" s="402"/>
      <c r="V37" s="402"/>
      <c r="W37" s="313"/>
      <c r="X37" s="313"/>
      <c r="Y37" s="313"/>
      <c r="Z37" s="313"/>
      <c r="AA37" s="313"/>
      <c r="AB37" s="313"/>
      <c r="AC37" s="313"/>
    </row>
    <row r="38" spans="2:29" s="10" customFormat="1" ht="15.95" customHeight="1" x14ac:dyDescent="0.25">
      <c r="K38" s="313"/>
      <c r="L38" s="402"/>
      <c r="M38" s="402"/>
      <c r="N38" s="402"/>
      <c r="O38" s="402"/>
      <c r="P38" s="402"/>
      <c r="Q38" s="402"/>
      <c r="R38" s="402"/>
      <c r="S38" s="402"/>
      <c r="T38" s="402"/>
      <c r="U38" s="402"/>
      <c r="V38" s="402"/>
      <c r="W38" s="313"/>
      <c r="X38" s="313"/>
      <c r="Y38" s="313"/>
      <c r="Z38" s="313"/>
      <c r="AA38" s="313"/>
      <c r="AB38" s="313"/>
      <c r="AC38" s="313"/>
    </row>
    <row r="39" spans="2:29" s="10" customFormat="1" ht="15.95" customHeight="1" x14ac:dyDescent="0.25">
      <c r="K39" s="313"/>
      <c r="L39" s="402"/>
      <c r="M39" s="402"/>
      <c r="N39" s="402"/>
      <c r="O39" s="402"/>
      <c r="P39" s="402"/>
      <c r="Q39" s="402"/>
      <c r="R39" s="402"/>
      <c r="S39" s="402"/>
      <c r="T39" s="402"/>
      <c r="U39" s="402"/>
      <c r="V39" s="402"/>
      <c r="W39" s="313"/>
      <c r="X39" s="313"/>
      <c r="Y39" s="313"/>
      <c r="Z39" s="313"/>
      <c r="AA39" s="313"/>
      <c r="AB39" s="313"/>
      <c r="AC39" s="313"/>
    </row>
    <row r="40" spans="2:29" s="10" customFormat="1" ht="15.95" customHeight="1" x14ac:dyDescent="0.25">
      <c r="D40" s="14"/>
      <c r="E40" s="356"/>
      <c r="F40" s="356"/>
      <c r="K40" s="313"/>
      <c r="L40" s="402"/>
      <c r="M40" s="402"/>
      <c r="N40" s="402"/>
      <c r="O40" s="402"/>
      <c r="P40" s="402"/>
      <c r="Q40" s="402"/>
      <c r="R40" s="402"/>
      <c r="S40" s="402"/>
      <c r="T40" s="402"/>
      <c r="U40" s="402"/>
      <c r="V40" s="402"/>
      <c r="W40" s="313"/>
      <c r="X40" s="313"/>
      <c r="Y40" s="313"/>
      <c r="Z40" s="313"/>
      <c r="AA40" s="313"/>
      <c r="AB40" s="313"/>
      <c r="AC40" s="313"/>
    </row>
    <row r="41" spans="2:29" s="10" customFormat="1" ht="15.95" customHeight="1" x14ac:dyDescent="0.25">
      <c r="K41" s="313"/>
      <c r="L41" s="402"/>
      <c r="M41" s="402"/>
      <c r="N41" s="402"/>
      <c r="O41" s="402"/>
      <c r="P41" s="402"/>
      <c r="Q41" s="402"/>
      <c r="R41" s="402"/>
      <c r="S41" s="402"/>
      <c r="T41" s="402"/>
      <c r="U41" s="402"/>
      <c r="V41" s="402"/>
      <c r="W41" s="313"/>
      <c r="X41" s="313"/>
      <c r="Y41" s="313"/>
      <c r="Z41" s="313"/>
      <c r="AA41" s="313"/>
      <c r="AB41" s="313"/>
      <c r="AC41" s="313"/>
    </row>
    <row r="42" spans="2:29" s="10" customFormat="1" ht="15.95" customHeight="1" x14ac:dyDescent="0.25">
      <c r="K42" s="313"/>
      <c r="L42" s="402"/>
      <c r="M42" s="402"/>
      <c r="N42" s="402"/>
      <c r="O42" s="402"/>
      <c r="P42" s="402"/>
      <c r="Q42" s="402"/>
      <c r="R42" s="402"/>
      <c r="S42" s="402"/>
      <c r="T42" s="402"/>
      <c r="U42" s="402"/>
      <c r="V42" s="402"/>
      <c r="W42" s="313"/>
      <c r="X42" s="313"/>
      <c r="Y42" s="313"/>
      <c r="Z42" s="313"/>
      <c r="AA42" s="313"/>
      <c r="AB42" s="313"/>
      <c r="AC42" s="313"/>
    </row>
    <row r="43" spans="2:29" s="10" customFormat="1" ht="15.95" customHeight="1" x14ac:dyDescent="0.25">
      <c r="K43" s="313"/>
      <c r="L43" s="402"/>
      <c r="M43" s="402"/>
      <c r="N43" s="402"/>
      <c r="O43" s="402"/>
      <c r="P43" s="402"/>
      <c r="Q43" s="402"/>
      <c r="R43" s="402"/>
      <c r="S43" s="402"/>
      <c r="T43" s="402"/>
      <c r="U43" s="402"/>
      <c r="V43" s="402"/>
      <c r="W43" s="313"/>
      <c r="X43" s="313"/>
      <c r="Y43" s="313"/>
      <c r="Z43" s="313"/>
      <c r="AA43" s="313"/>
      <c r="AB43" s="313"/>
      <c r="AC43" s="313"/>
    </row>
    <row r="44" spans="2:29" s="10" customFormat="1" ht="15.95" customHeight="1" x14ac:dyDescent="0.25">
      <c r="K44" s="313"/>
      <c r="L44" s="402"/>
      <c r="M44" s="402"/>
      <c r="N44" s="402"/>
      <c r="O44" s="402"/>
      <c r="P44" s="402"/>
      <c r="Q44" s="402"/>
      <c r="R44" s="402"/>
      <c r="S44" s="402"/>
      <c r="T44" s="402"/>
      <c r="U44" s="402"/>
      <c r="V44" s="402"/>
      <c r="W44" s="313"/>
      <c r="X44" s="313"/>
      <c r="Y44" s="313"/>
      <c r="Z44" s="313"/>
      <c r="AA44" s="313"/>
      <c r="AB44" s="313"/>
      <c r="AC44" s="313"/>
    </row>
    <row r="45" spans="2:29" s="10" customFormat="1" ht="15.95" customHeight="1" x14ac:dyDescent="0.25">
      <c r="K45" s="313"/>
      <c r="L45" s="402"/>
      <c r="M45" s="402"/>
      <c r="N45" s="402"/>
      <c r="O45" s="402"/>
      <c r="P45" s="402"/>
      <c r="Q45" s="402"/>
      <c r="R45" s="402"/>
      <c r="S45" s="402"/>
      <c r="T45" s="402"/>
      <c r="U45" s="402"/>
      <c r="V45" s="402"/>
      <c r="W45" s="313"/>
      <c r="X45" s="313"/>
      <c r="Y45" s="313"/>
      <c r="Z45" s="313"/>
      <c r="AA45" s="313"/>
      <c r="AB45" s="313"/>
      <c r="AC45" s="313"/>
    </row>
    <row r="46" spans="2:29" s="10" customFormat="1" ht="15.95" customHeight="1" x14ac:dyDescent="0.25">
      <c r="K46" s="313"/>
      <c r="L46" s="402"/>
      <c r="M46" s="402"/>
      <c r="N46" s="402"/>
      <c r="O46" s="402"/>
      <c r="P46" s="402"/>
      <c r="Q46" s="402"/>
      <c r="R46" s="402"/>
      <c r="S46" s="402"/>
      <c r="T46" s="402"/>
      <c r="U46" s="402"/>
      <c r="V46" s="402"/>
      <c r="W46" s="313"/>
      <c r="X46" s="313"/>
      <c r="Y46" s="313"/>
      <c r="Z46" s="313"/>
      <c r="AA46" s="313"/>
      <c r="AB46" s="313"/>
      <c r="AC46" s="313"/>
    </row>
    <row r="47" spans="2:29" s="10" customFormat="1" ht="15.95" customHeight="1" x14ac:dyDescent="0.25">
      <c r="K47" s="313"/>
      <c r="L47" s="402"/>
      <c r="M47" s="402"/>
      <c r="N47" s="402"/>
      <c r="O47" s="402"/>
      <c r="P47" s="402"/>
      <c r="Q47" s="402"/>
      <c r="R47" s="402"/>
      <c r="S47" s="402"/>
      <c r="T47" s="402"/>
      <c r="U47" s="402"/>
      <c r="V47" s="402"/>
      <c r="W47" s="313"/>
      <c r="X47" s="313"/>
      <c r="Y47" s="313"/>
      <c r="Z47" s="313"/>
      <c r="AA47" s="313"/>
      <c r="AB47" s="313"/>
      <c r="AC47" s="313"/>
    </row>
    <row r="48" spans="2:29" s="10" customFormat="1" ht="15" customHeight="1" x14ac:dyDescent="0.25">
      <c r="K48" s="313"/>
      <c r="L48" s="402"/>
      <c r="M48" s="402"/>
      <c r="N48" s="402"/>
      <c r="O48" s="402"/>
      <c r="P48" s="402"/>
      <c r="Q48" s="402"/>
      <c r="R48" s="402"/>
      <c r="S48" s="402"/>
      <c r="T48" s="402"/>
      <c r="U48" s="402"/>
      <c r="V48" s="402"/>
      <c r="W48" s="313"/>
      <c r="X48" s="313"/>
      <c r="Y48" s="313"/>
      <c r="Z48" s="313"/>
      <c r="AA48" s="313"/>
      <c r="AB48" s="313"/>
      <c r="AC48" s="313"/>
    </row>
    <row r="49" spans="11:29" s="10" customFormat="1" ht="15" customHeight="1" x14ac:dyDescent="0.25">
      <c r="K49" s="313"/>
      <c r="L49" s="402"/>
      <c r="M49" s="402"/>
      <c r="N49" s="402"/>
      <c r="O49" s="402"/>
      <c r="P49" s="402"/>
      <c r="Q49" s="402"/>
      <c r="R49" s="402"/>
      <c r="S49" s="402"/>
      <c r="T49" s="402"/>
      <c r="U49" s="402"/>
      <c r="V49" s="402"/>
      <c r="W49" s="313"/>
      <c r="X49" s="313"/>
      <c r="Y49" s="313"/>
      <c r="Z49" s="313"/>
      <c r="AA49" s="313"/>
      <c r="AB49" s="313"/>
      <c r="AC49" s="313"/>
    </row>
    <row r="50" spans="11:29" s="10" customFormat="1" ht="15" customHeight="1" x14ac:dyDescent="0.25">
      <c r="K50" s="313"/>
      <c r="L50" s="402"/>
      <c r="M50" s="402"/>
      <c r="N50" s="402"/>
      <c r="O50" s="402"/>
      <c r="P50" s="402"/>
      <c r="Q50" s="402"/>
      <c r="R50" s="402"/>
      <c r="S50" s="402"/>
      <c r="T50" s="402"/>
      <c r="U50" s="402"/>
      <c r="V50" s="402"/>
      <c r="W50" s="313"/>
      <c r="X50" s="313"/>
      <c r="Y50" s="313"/>
      <c r="Z50" s="313"/>
      <c r="AA50" s="313"/>
      <c r="AB50" s="313"/>
      <c r="AC50" s="313"/>
    </row>
    <row r="51" spans="11:29" s="10" customFormat="1" ht="15" customHeight="1" x14ac:dyDescent="0.25">
      <c r="K51" s="313"/>
      <c r="L51" s="402"/>
      <c r="M51" s="402"/>
      <c r="N51" s="402"/>
      <c r="O51" s="402"/>
      <c r="P51" s="402"/>
      <c r="Q51" s="402"/>
      <c r="R51" s="402"/>
      <c r="S51" s="402"/>
      <c r="T51" s="402"/>
      <c r="U51" s="402"/>
      <c r="V51" s="402"/>
      <c r="W51" s="313"/>
      <c r="X51" s="313"/>
      <c r="Y51" s="313"/>
      <c r="Z51" s="313"/>
      <c r="AA51" s="313"/>
      <c r="AB51" s="313"/>
      <c r="AC51" s="313"/>
    </row>
    <row r="52" spans="11:29" s="10" customFormat="1" ht="15" customHeight="1" x14ac:dyDescent="0.25">
      <c r="K52" s="313"/>
      <c r="L52" s="402"/>
      <c r="M52" s="402"/>
      <c r="N52" s="402"/>
      <c r="O52" s="402"/>
      <c r="P52" s="402"/>
      <c r="Q52" s="402"/>
      <c r="R52" s="402"/>
      <c r="S52" s="402"/>
      <c r="T52" s="402"/>
      <c r="U52" s="402"/>
      <c r="V52" s="402"/>
      <c r="W52" s="313"/>
      <c r="X52" s="313"/>
      <c r="Y52" s="313"/>
      <c r="Z52" s="313"/>
      <c r="AA52" s="313"/>
      <c r="AB52" s="313"/>
      <c r="AC52" s="313"/>
    </row>
    <row r="53" spans="11:29" s="10" customFormat="1" ht="15" customHeight="1" x14ac:dyDescent="0.25">
      <c r="K53" s="313"/>
      <c r="L53" s="402"/>
      <c r="M53" s="402"/>
      <c r="N53" s="402"/>
      <c r="O53" s="402"/>
      <c r="P53" s="402"/>
      <c r="Q53" s="402"/>
      <c r="R53" s="402"/>
      <c r="S53" s="402"/>
      <c r="T53" s="402"/>
      <c r="U53" s="402"/>
      <c r="V53" s="402"/>
      <c r="W53" s="313"/>
      <c r="X53" s="313"/>
      <c r="Y53" s="313"/>
      <c r="Z53" s="313"/>
      <c r="AA53" s="313"/>
      <c r="AB53" s="313"/>
      <c r="AC53" s="313"/>
    </row>
    <row r="54" spans="11:29" s="10" customFormat="1" ht="15" customHeight="1" x14ac:dyDescent="0.25">
      <c r="K54" s="313"/>
      <c r="L54" s="402"/>
      <c r="M54" s="402"/>
      <c r="N54" s="402"/>
      <c r="O54" s="402"/>
      <c r="P54" s="402"/>
      <c r="Q54" s="402"/>
      <c r="R54" s="402"/>
      <c r="S54" s="402"/>
      <c r="T54" s="402"/>
      <c r="U54" s="402"/>
      <c r="V54" s="402"/>
      <c r="W54" s="313"/>
      <c r="X54" s="313"/>
      <c r="Y54" s="313"/>
      <c r="Z54" s="313"/>
      <c r="AA54" s="313"/>
      <c r="AB54" s="313"/>
      <c r="AC54" s="313"/>
    </row>
    <row r="55" spans="11:29" s="10" customFormat="1" ht="15" customHeight="1" x14ac:dyDescent="0.25">
      <c r="K55" s="313"/>
      <c r="L55" s="402"/>
      <c r="M55" s="402"/>
      <c r="N55" s="402"/>
      <c r="O55" s="402"/>
      <c r="P55" s="402"/>
      <c r="Q55" s="402"/>
      <c r="R55" s="402"/>
      <c r="S55" s="402"/>
      <c r="T55" s="402"/>
      <c r="U55" s="402"/>
      <c r="V55" s="402"/>
      <c r="W55" s="313"/>
      <c r="X55" s="313"/>
      <c r="Y55" s="313"/>
      <c r="Z55" s="313"/>
      <c r="AA55" s="313"/>
      <c r="AB55" s="313"/>
      <c r="AC55" s="313"/>
    </row>
    <row r="56" spans="11:29" s="10" customFormat="1" ht="15" customHeight="1" x14ac:dyDescent="0.25">
      <c r="K56" s="313"/>
      <c r="L56" s="402"/>
      <c r="M56" s="402"/>
      <c r="N56" s="402"/>
      <c r="O56" s="402"/>
      <c r="P56" s="402"/>
      <c r="Q56" s="402"/>
      <c r="R56" s="402"/>
      <c r="S56" s="402"/>
      <c r="T56" s="402"/>
      <c r="U56" s="402"/>
      <c r="V56" s="402"/>
      <c r="W56" s="313"/>
      <c r="X56" s="313"/>
      <c r="Y56" s="313"/>
      <c r="Z56" s="313"/>
      <c r="AA56" s="313"/>
      <c r="AB56" s="313"/>
      <c r="AC56" s="313"/>
    </row>
    <row r="57" spans="11:29" s="10" customFormat="1" ht="15" customHeight="1" x14ac:dyDescent="0.25">
      <c r="K57" s="313"/>
      <c r="L57" s="402"/>
      <c r="M57" s="402"/>
      <c r="N57" s="402"/>
      <c r="O57" s="402"/>
      <c r="P57" s="402"/>
      <c r="Q57" s="402"/>
      <c r="R57" s="402"/>
      <c r="S57" s="402"/>
      <c r="T57" s="402"/>
      <c r="U57" s="402"/>
      <c r="V57" s="402"/>
      <c r="W57" s="313"/>
      <c r="X57" s="313"/>
      <c r="Y57" s="313"/>
      <c r="Z57" s="313"/>
      <c r="AA57" s="313"/>
      <c r="AB57" s="313"/>
      <c r="AC57" s="313"/>
    </row>
    <row r="58" spans="11:29" s="10" customFormat="1" ht="15" customHeight="1" x14ac:dyDescent="0.25">
      <c r="K58" s="313"/>
      <c r="L58" s="402"/>
      <c r="M58" s="402"/>
      <c r="N58" s="402"/>
      <c r="O58" s="402"/>
      <c r="P58" s="402"/>
      <c r="Q58" s="402"/>
      <c r="R58" s="402"/>
      <c r="S58" s="402"/>
      <c r="T58" s="402"/>
      <c r="U58" s="402"/>
      <c r="V58" s="402"/>
      <c r="W58" s="313"/>
      <c r="X58" s="313"/>
      <c r="Y58" s="313"/>
      <c r="Z58" s="313"/>
      <c r="AA58" s="313"/>
      <c r="AB58" s="313"/>
      <c r="AC58" s="313"/>
    </row>
    <row r="59" spans="11:29" s="10" customFormat="1" ht="15" customHeight="1" x14ac:dyDescent="0.25">
      <c r="K59" s="313"/>
      <c r="L59" s="402"/>
      <c r="M59" s="402"/>
      <c r="N59" s="402"/>
      <c r="O59" s="402"/>
      <c r="P59" s="402"/>
      <c r="Q59" s="402"/>
      <c r="R59" s="402"/>
      <c r="S59" s="402"/>
      <c r="T59" s="402"/>
      <c r="U59" s="402"/>
      <c r="V59" s="402"/>
      <c r="W59" s="313"/>
      <c r="X59" s="313"/>
      <c r="Y59" s="313"/>
      <c r="Z59" s="313"/>
      <c r="AA59" s="313"/>
      <c r="AB59" s="313"/>
      <c r="AC59" s="313"/>
    </row>
    <row r="60" spans="11:29" s="10" customFormat="1" ht="15" customHeight="1" x14ac:dyDescent="0.25">
      <c r="K60" s="313"/>
      <c r="L60" s="402"/>
      <c r="M60" s="402"/>
      <c r="N60" s="402"/>
      <c r="O60" s="402"/>
      <c r="P60" s="402"/>
      <c r="Q60" s="402"/>
      <c r="R60" s="402"/>
      <c r="S60" s="402"/>
      <c r="T60" s="402"/>
      <c r="U60" s="402"/>
      <c r="V60" s="402"/>
      <c r="W60" s="313"/>
      <c r="X60" s="313"/>
      <c r="Y60" s="313"/>
      <c r="Z60" s="313"/>
      <c r="AA60" s="313"/>
      <c r="AB60" s="313"/>
      <c r="AC60" s="313"/>
    </row>
    <row r="61" spans="11:29" s="10" customFormat="1" ht="15" customHeight="1" x14ac:dyDescent="0.25">
      <c r="K61" s="313"/>
      <c r="L61" s="402"/>
      <c r="M61" s="402"/>
      <c r="N61" s="402"/>
      <c r="O61" s="402"/>
      <c r="P61" s="402"/>
      <c r="Q61" s="402"/>
      <c r="R61" s="402"/>
      <c r="S61" s="402"/>
      <c r="T61" s="402"/>
      <c r="U61" s="402"/>
      <c r="V61" s="402"/>
      <c r="W61" s="313"/>
      <c r="X61" s="313"/>
      <c r="Y61" s="313"/>
      <c r="Z61" s="313"/>
      <c r="AA61" s="313"/>
      <c r="AB61" s="313"/>
      <c r="AC61" s="313"/>
    </row>
    <row r="62" spans="11:29" s="10" customFormat="1" ht="15" customHeight="1" x14ac:dyDescent="0.25">
      <c r="K62" s="313"/>
      <c r="L62" s="402"/>
      <c r="M62" s="402"/>
      <c r="N62" s="402"/>
      <c r="O62" s="402"/>
      <c r="P62" s="402"/>
      <c r="Q62" s="402"/>
      <c r="R62" s="402"/>
      <c r="S62" s="402"/>
      <c r="T62" s="402"/>
      <c r="U62" s="402"/>
      <c r="V62" s="402"/>
      <c r="W62" s="313"/>
      <c r="X62" s="313"/>
      <c r="Y62" s="313"/>
      <c r="Z62" s="313"/>
      <c r="AA62" s="313"/>
      <c r="AB62" s="313"/>
      <c r="AC62" s="313"/>
    </row>
    <row r="63" spans="11:29" s="10" customFormat="1" ht="15" customHeight="1" x14ac:dyDescent="0.25">
      <c r="K63" s="313"/>
      <c r="L63" s="402"/>
      <c r="M63" s="402"/>
      <c r="N63" s="402"/>
      <c r="O63" s="402"/>
      <c r="P63" s="402"/>
      <c r="Q63" s="402"/>
      <c r="R63" s="402"/>
      <c r="S63" s="402"/>
      <c r="T63" s="402"/>
      <c r="U63" s="402"/>
      <c r="V63" s="402"/>
      <c r="W63" s="313"/>
      <c r="X63" s="313"/>
      <c r="Y63" s="313"/>
      <c r="Z63" s="313"/>
      <c r="AA63" s="313"/>
      <c r="AB63" s="313"/>
      <c r="AC63" s="313"/>
    </row>
    <row r="64" spans="11:29" s="10" customFormat="1" ht="15" customHeight="1" x14ac:dyDescent="0.25">
      <c r="K64" s="313"/>
      <c r="L64" s="402"/>
      <c r="M64" s="402"/>
      <c r="N64" s="402"/>
      <c r="O64" s="402"/>
      <c r="P64" s="402"/>
      <c r="Q64" s="402"/>
      <c r="R64" s="402"/>
      <c r="S64" s="402"/>
      <c r="T64" s="402"/>
      <c r="U64" s="402"/>
      <c r="V64" s="402"/>
      <c r="W64" s="313"/>
      <c r="X64" s="313"/>
      <c r="Y64" s="313"/>
      <c r="Z64" s="313"/>
      <c r="AA64" s="313"/>
      <c r="AB64" s="313"/>
      <c r="AC64" s="313"/>
    </row>
    <row r="65" spans="2:29" s="10" customFormat="1" ht="15" customHeight="1" x14ac:dyDescent="0.25">
      <c r="K65" s="313"/>
      <c r="L65" s="402"/>
      <c r="M65" s="402"/>
      <c r="N65" s="402"/>
      <c r="O65" s="402"/>
      <c r="P65" s="402"/>
      <c r="Q65" s="402"/>
      <c r="R65" s="402"/>
      <c r="S65" s="402"/>
      <c r="T65" s="402"/>
      <c r="U65" s="402"/>
      <c r="V65" s="402"/>
      <c r="W65" s="313"/>
      <c r="X65" s="313"/>
      <c r="Y65" s="313"/>
      <c r="Z65" s="313"/>
      <c r="AA65" s="313"/>
      <c r="AB65" s="313"/>
      <c r="AC65" s="313"/>
    </row>
    <row r="66" spans="2:29" s="10" customFormat="1" ht="15" customHeight="1" x14ac:dyDescent="0.25">
      <c r="K66" s="313"/>
      <c r="L66" s="402"/>
      <c r="M66" s="402"/>
      <c r="N66" s="402"/>
      <c r="O66" s="402"/>
      <c r="P66" s="402"/>
      <c r="Q66" s="402"/>
      <c r="R66" s="402"/>
      <c r="S66" s="402"/>
      <c r="T66" s="402"/>
      <c r="U66" s="402"/>
      <c r="V66" s="402"/>
      <c r="W66" s="313"/>
      <c r="X66" s="313"/>
      <c r="Y66" s="313"/>
      <c r="Z66" s="313"/>
      <c r="AA66" s="313"/>
      <c r="AB66" s="313"/>
      <c r="AC66" s="313"/>
    </row>
    <row r="67" spans="2:29" s="10" customFormat="1" ht="15" customHeight="1" x14ac:dyDescent="0.25">
      <c r="K67" s="313"/>
      <c r="L67" s="402"/>
      <c r="M67" s="402"/>
      <c r="N67" s="402"/>
      <c r="O67" s="402"/>
      <c r="P67" s="402"/>
      <c r="Q67" s="402"/>
      <c r="R67" s="402"/>
      <c r="S67" s="402"/>
      <c r="T67" s="402"/>
      <c r="U67" s="402"/>
      <c r="V67" s="402"/>
      <c r="W67" s="313"/>
      <c r="X67" s="313"/>
      <c r="Y67" s="313"/>
      <c r="Z67" s="313"/>
      <c r="AA67" s="313"/>
      <c r="AB67" s="313"/>
      <c r="AC67" s="313"/>
    </row>
    <row r="68" spans="2:29" s="10" customFormat="1" ht="15" customHeight="1" x14ac:dyDescent="0.25">
      <c r="K68" s="313"/>
      <c r="L68" s="402"/>
      <c r="M68" s="402"/>
      <c r="N68" s="402"/>
      <c r="O68" s="402"/>
      <c r="P68" s="402"/>
      <c r="Q68" s="402"/>
      <c r="R68" s="402"/>
      <c r="S68" s="402"/>
      <c r="T68" s="402"/>
      <c r="U68" s="402"/>
      <c r="V68" s="402"/>
      <c r="W68" s="313"/>
      <c r="X68" s="313"/>
      <c r="Y68" s="313"/>
      <c r="Z68" s="313"/>
      <c r="AA68" s="313"/>
      <c r="AB68" s="313"/>
      <c r="AC68" s="313"/>
    </row>
    <row r="69" spans="2:29" s="10" customFormat="1" ht="15" customHeight="1" x14ac:dyDescent="0.25">
      <c r="K69" s="313"/>
      <c r="L69" s="402"/>
      <c r="M69" s="402"/>
      <c r="N69" s="402"/>
      <c r="O69" s="402"/>
      <c r="P69" s="402"/>
      <c r="Q69" s="402"/>
      <c r="R69" s="402"/>
      <c r="S69" s="402"/>
      <c r="T69" s="402"/>
      <c r="U69" s="402"/>
      <c r="V69" s="402"/>
      <c r="W69" s="313"/>
      <c r="X69" s="313"/>
      <c r="Y69" s="313"/>
      <c r="Z69" s="313"/>
      <c r="AA69" s="313"/>
      <c r="AB69" s="313"/>
      <c r="AC69" s="313"/>
    </row>
    <row r="70" spans="2:29" s="10" customFormat="1" ht="15" customHeight="1" x14ac:dyDescent="0.25">
      <c r="K70" s="313"/>
      <c r="L70" s="402"/>
      <c r="M70" s="402"/>
      <c r="N70" s="402"/>
      <c r="O70" s="402"/>
      <c r="P70" s="402"/>
      <c r="Q70" s="402"/>
      <c r="R70" s="402"/>
      <c r="S70" s="402"/>
      <c r="T70" s="402"/>
      <c r="U70" s="402"/>
      <c r="V70" s="402"/>
      <c r="W70" s="313"/>
      <c r="X70" s="313"/>
      <c r="Y70" s="313"/>
      <c r="Z70" s="313"/>
      <c r="AA70" s="313"/>
      <c r="AB70" s="313"/>
      <c r="AC70" s="313"/>
    </row>
    <row r="71" spans="2:29" s="10" customFormat="1" ht="15" customHeight="1" x14ac:dyDescent="0.25">
      <c r="K71" s="313"/>
      <c r="L71" s="402"/>
      <c r="M71" s="402"/>
      <c r="N71" s="402"/>
      <c r="O71" s="402"/>
      <c r="P71" s="402"/>
      <c r="Q71" s="402"/>
      <c r="R71" s="402"/>
      <c r="S71" s="402"/>
      <c r="T71" s="402"/>
      <c r="U71" s="402"/>
      <c r="V71" s="402"/>
      <c r="W71" s="313"/>
      <c r="X71" s="313"/>
      <c r="Y71" s="313"/>
      <c r="Z71" s="313"/>
      <c r="AA71" s="313"/>
      <c r="AB71" s="313"/>
      <c r="AC71" s="313"/>
    </row>
    <row r="72" spans="2:29" s="10" customFormat="1" ht="15" customHeight="1" x14ac:dyDescent="0.25">
      <c r="K72" s="313"/>
      <c r="L72" s="402"/>
      <c r="M72" s="402"/>
      <c r="N72" s="402"/>
      <c r="O72" s="402"/>
      <c r="P72" s="402"/>
      <c r="Q72" s="402"/>
      <c r="R72" s="402"/>
      <c r="S72" s="402"/>
      <c r="T72" s="402"/>
      <c r="U72" s="402"/>
      <c r="V72" s="402"/>
      <c r="W72" s="313"/>
      <c r="X72" s="313"/>
      <c r="Y72" s="313"/>
      <c r="Z72" s="313"/>
      <c r="AA72" s="313"/>
      <c r="AB72" s="313"/>
      <c r="AC72" s="313"/>
    </row>
    <row r="73" spans="2:29" s="10" customFormat="1" ht="15" customHeight="1" x14ac:dyDescent="0.25">
      <c r="B73" s="2"/>
      <c r="C73" s="2"/>
      <c r="D73" s="2"/>
      <c r="E73" s="2"/>
      <c r="F73" s="2"/>
      <c r="G73" s="2"/>
      <c r="H73" s="2"/>
      <c r="I73" s="2"/>
      <c r="J73" s="2"/>
      <c r="K73" s="313"/>
      <c r="L73" s="402"/>
      <c r="M73" s="402"/>
      <c r="N73" s="402"/>
      <c r="O73" s="402"/>
      <c r="P73" s="402"/>
      <c r="Q73" s="402"/>
      <c r="R73" s="402"/>
      <c r="S73" s="402"/>
      <c r="T73" s="402"/>
      <c r="U73" s="402"/>
      <c r="V73" s="402"/>
      <c r="W73" s="313"/>
      <c r="X73" s="313"/>
      <c r="Y73" s="313"/>
      <c r="Z73" s="313"/>
      <c r="AA73" s="313"/>
      <c r="AB73" s="313"/>
      <c r="AC73" s="313"/>
    </row>
    <row r="74" spans="2:29" x14ac:dyDescent="0.2">
      <c r="R74" s="402"/>
      <c r="S74" s="402"/>
      <c r="T74" s="402"/>
      <c r="U74" s="402"/>
      <c r="V74" s="402"/>
    </row>
    <row r="75" spans="2:29" x14ac:dyDescent="0.2">
      <c r="R75" s="402"/>
      <c r="S75" s="402"/>
      <c r="T75" s="402"/>
      <c r="U75" s="402"/>
      <c r="V75" s="402"/>
    </row>
    <row r="76" spans="2:29" x14ac:dyDescent="0.2">
      <c r="R76" s="402"/>
      <c r="S76" s="402"/>
      <c r="T76" s="402"/>
      <c r="U76" s="402"/>
      <c r="V76" s="402"/>
    </row>
  </sheetData>
  <customSheetViews>
    <customSheetView guid="{B2DDA8C4-3089-41F7-BA6E-A0E09596A2CA}" scale="80" showPageBreaks="1" fitToPage="1" printArea="1">
      <selection activeCell="B2" sqref="B2"/>
      <pageMargins left="0.75" right="1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B2" sqref="B2"/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2" sqref="B2"/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2" sqref="B2"/>
      <pageMargins left="0.75" right="1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2" sqref="B2"/>
      <pageMargins left="0.75" right="1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5">
    <mergeCell ref="B17:E17"/>
    <mergeCell ref="B15:E15"/>
    <mergeCell ref="B20:E20"/>
    <mergeCell ref="E40:F40"/>
    <mergeCell ref="B23:E23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drawing r:id="rId7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7"/>
  <sheetViews>
    <sheetView showGridLines="0" zoomScale="70" zoomScaleNormal="70" workbookViewId="0">
      <selection activeCell="B2" sqref="B2:K2"/>
    </sheetView>
  </sheetViews>
  <sheetFormatPr defaultRowHeight="12.75" x14ac:dyDescent="0.2"/>
  <cols>
    <col min="1" max="1" width="1.7109375" style="2" customWidth="1"/>
    <col min="2" max="2" width="4.7109375" style="2" customWidth="1"/>
    <col min="3" max="3" width="8.42578125" style="2" customWidth="1"/>
    <col min="4" max="4" width="4.7109375" style="2" customWidth="1"/>
    <col min="5" max="5" width="11.5703125" style="2" customWidth="1"/>
    <col min="6" max="6" width="3.5703125" style="2" customWidth="1"/>
    <col min="7" max="7" width="16.5703125" style="2" bestFit="1" customWidth="1"/>
    <col min="8" max="8" width="5.7109375" style="2" customWidth="1"/>
    <col min="9" max="9" width="16.5703125" style="2" bestFit="1" customWidth="1"/>
    <col min="10" max="10" width="5.7109375" style="2" customWidth="1"/>
    <col min="11" max="11" width="13.7109375" style="2" customWidth="1"/>
    <col min="12" max="12" width="5.28515625" style="2" customWidth="1"/>
    <col min="13" max="13" width="2.7109375" style="312" customWidth="1"/>
    <col min="14" max="14" width="9.28515625" style="407" hidden="1" customWidth="1"/>
    <col min="15" max="15" width="2.7109375" style="407" hidden="1" customWidth="1"/>
    <col min="16" max="16" width="9.7109375" style="407" hidden="1" customWidth="1"/>
    <col min="17" max="17" width="2.7109375" style="407" hidden="1" customWidth="1"/>
    <col min="18" max="18" width="9.85546875" style="407" hidden="1" customWidth="1"/>
    <col min="19" max="19" width="2.7109375" style="312" customWidth="1"/>
    <col min="20" max="20" width="9.140625" style="312"/>
    <col min="21" max="21" width="2.7109375" style="312" customWidth="1"/>
    <col min="22" max="22" width="8.7109375" style="312" customWidth="1"/>
    <col min="23" max="23" width="11.85546875" style="312" customWidth="1"/>
    <col min="24" max="24" width="9.140625" style="312"/>
    <col min="25" max="16384" width="9.140625" style="2"/>
  </cols>
  <sheetData>
    <row r="1" spans="2:24" ht="28.5" customHeight="1" x14ac:dyDescent="0.2"/>
    <row r="2" spans="2:24" ht="15.95" customHeight="1" x14ac:dyDescent="0.25">
      <c r="B2" s="353" t="s">
        <v>1021</v>
      </c>
      <c r="C2" s="353"/>
      <c r="D2" s="353"/>
      <c r="E2" s="353"/>
      <c r="F2" s="353"/>
      <c r="G2" s="353"/>
      <c r="H2" s="353"/>
      <c r="I2" s="353"/>
      <c r="J2" s="353"/>
      <c r="K2" s="353"/>
      <c r="L2" s="288"/>
    </row>
    <row r="3" spans="2:24" ht="15.95" customHeight="1" x14ac:dyDescent="0.2"/>
    <row r="4" spans="2:24" ht="15.95" customHeight="1" x14ac:dyDescent="0.25">
      <c r="B4" s="10" t="s">
        <v>1194</v>
      </c>
      <c r="R4" s="418" t="s">
        <v>1682</v>
      </c>
    </row>
    <row r="5" spans="2:24" s="10" customFormat="1" ht="15.95" customHeight="1" x14ac:dyDescent="0.25">
      <c r="B5" s="71" t="s">
        <v>1022</v>
      </c>
      <c r="M5" s="313"/>
      <c r="N5" s="402"/>
      <c r="O5" s="402"/>
      <c r="P5" s="402"/>
      <c r="Q5" s="405" t="s">
        <v>32</v>
      </c>
      <c r="R5" s="409">
        <v>525700</v>
      </c>
      <c r="S5" s="218"/>
      <c r="T5" s="218"/>
      <c r="U5" s="218"/>
      <c r="V5" s="218"/>
      <c r="W5" s="218"/>
      <c r="X5" s="218"/>
    </row>
    <row r="6" spans="2:24" s="10" customFormat="1" ht="15.95" customHeight="1" x14ac:dyDescent="0.25">
      <c r="B6" s="71" t="s">
        <v>1023</v>
      </c>
      <c r="M6" s="313"/>
      <c r="N6" s="402"/>
      <c r="O6" s="402"/>
      <c r="P6" s="402"/>
      <c r="Q6" s="405" t="s">
        <v>933</v>
      </c>
      <c r="R6" s="409">
        <v>290800</v>
      </c>
      <c r="S6" s="218"/>
      <c r="T6" s="218"/>
      <c r="U6" s="218"/>
      <c r="V6" s="218"/>
      <c r="W6" s="218"/>
      <c r="X6" s="218"/>
    </row>
    <row r="7" spans="2:24" s="10" customFormat="1" ht="15.95" customHeight="1" x14ac:dyDescent="0.25">
      <c r="B7" s="71" t="s">
        <v>1113</v>
      </c>
      <c r="M7" s="313"/>
      <c r="N7" s="402"/>
      <c r="O7" s="402"/>
      <c r="P7" s="402"/>
      <c r="Q7" s="405" t="s">
        <v>934</v>
      </c>
      <c r="R7" s="409">
        <v>100000</v>
      </c>
      <c r="S7" s="218"/>
      <c r="T7" s="314"/>
      <c r="U7" s="314"/>
      <c r="V7" s="218"/>
      <c r="W7" s="218"/>
      <c r="X7" s="218"/>
    </row>
    <row r="8" spans="2:24" s="10" customFormat="1" ht="15.95" customHeight="1" x14ac:dyDescent="0.25">
      <c r="B8" s="71" t="s">
        <v>1024</v>
      </c>
      <c r="M8" s="313"/>
      <c r="N8" s="402"/>
      <c r="O8" s="402"/>
      <c r="P8" s="402"/>
      <c r="Q8" s="405" t="s">
        <v>1026</v>
      </c>
      <c r="R8" s="409">
        <v>134900</v>
      </c>
      <c r="S8" s="218"/>
      <c r="T8" s="218"/>
      <c r="U8" s="209"/>
      <c r="V8" s="313"/>
      <c r="W8" s="218"/>
      <c r="X8" s="218"/>
    </row>
    <row r="9" spans="2:24" s="10" customFormat="1" ht="15.95" customHeight="1" x14ac:dyDescent="0.25">
      <c r="B9" s="71" t="s">
        <v>1025</v>
      </c>
      <c r="M9" s="313"/>
      <c r="N9" s="402"/>
      <c r="O9" s="402"/>
      <c r="P9" s="402"/>
      <c r="Q9" s="405" t="s">
        <v>1027</v>
      </c>
      <c r="R9" s="409">
        <v>205500</v>
      </c>
      <c r="S9" s="218"/>
      <c r="T9" s="218"/>
      <c r="U9" s="209"/>
      <c r="V9" s="313"/>
      <c r="W9" s="218"/>
      <c r="X9" s="218"/>
    </row>
    <row r="10" spans="2:24" s="10" customFormat="1" ht="5.0999999999999996" customHeight="1" x14ac:dyDescent="0.25">
      <c r="C10" s="71"/>
      <c r="M10" s="313"/>
      <c r="N10" s="402"/>
      <c r="O10" s="402"/>
      <c r="P10" s="402"/>
      <c r="Q10" s="402"/>
      <c r="R10" s="402"/>
      <c r="S10" s="218"/>
      <c r="T10" s="218"/>
      <c r="U10" s="218"/>
      <c r="V10" s="313"/>
      <c r="W10" s="218"/>
      <c r="X10" s="218"/>
    </row>
    <row r="11" spans="2:24" s="10" customFormat="1" ht="15.95" customHeight="1" x14ac:dyDescent="0.25">
      <c r="B11" s="10" t="str">
        <f>CONCATENATE("The amount of KJ’s assets at 12/31/13 is ",TEXT(R13,"$#,##0"),". KJ’s stockholders’ equity ")</f>
        <v xml:space="preserve">The amount of KJ’s assets at 12/31/13 is $710,100. KJ’s stockholders’ equity </v>
      </c>
      <c r="M11" s="313"/>
      <c r="N11" s="402"/>
      <c r="O11" s="402"/>
      <c r="P11" s="402"/>
      <c r="Q11" s="405" t="s">
        <v>938</v>
      </c>
      <c r="R11" s="409">
        <v>70000</v>
      </c>
      <c r="S11" s="218"/>
      <c r="T11" s="218"/>
      <c r="U11" s="209"/>
      <c r="V11" s="313"/>
      <c r="W11" s="218"/>
      <c r="X11" s="218"/>
    </row>
    <row r="12" spans="2:24" s="10" customFormat="1" ht="15.95" customHeight="1" x14ac:dyDescent="0.25">
      <c r="B12" s="10" t="s">
        <v>1114</v>
      </c>
      <c r="M12" s="313"/>
      <c r="N12" s="402"/>
      <c r="O12" s="402"/>
      <c r="P12" s="402"/>
      <c r="Q12" s="405" t="s">
        <v>33</v>
      </c>
      <c r="R12" s="409">
        <v>75000</v>
      </c>
      <c r="S12" s="218"/>
      <c r="T12" s="218"/>
      <c r="U12" s="209"/>
      <c r="V12" s="313"/>
      <c r="W12" s="218"/>
      <c r="X12" s="218"/>
    </row>
    <row r="13" spans="2:24" s="10" customFormat="1" ht="15.95" customHeight="1" x14ac:dyDescent="0.25">
      <c r="B13" s="10" t="s">
        <v>1259</v>
      </c>
      <c r="M13" s="313"/>
      <c r="N13" s="402"/>
      <c r="O13" s="402"/>
      <c r="P13" s="402"/>
      <c r="Q13" s="405" t="s">
        <v>1586</v>
      </c>
      <c r="R13" s="409">
        <v>710100</v>
      </c>
      <c r="S13" s="218"/>
      <c r="T13" s="218"/>
      <c r="U13" s="209"/>
      <c r="V13" s="313"/>
      <c r="W13" s="218"/>
      <c r="X13" s="218"/>
    </row>
    <row r="14" spans="2:24" s="10" customFormat="1" ht="15.95" customHeight="1" x14ac:dyDescent="0.25">
      <c r="B14" s="10" t="s">
        <v>1028</v>
      </c>
      <c r="M14" s="313"/>
      <c r="N14" s="402"/>
      <c r="O14" s="402"/>
      <c r="P14" s="402"/>
      <c r="Q14" s="402"/>
      <c r="R14" s="402"/>
      <c r="S14" s="218"/>
      <c r="T14" s="218"/>
      <c r="U14" s="209"/>
      <c r="V14" s="313"/>
      <c r="W14" s="218"/>
      <c r="X14" s="218"/>
    </row>
    <row r="15" spans="2:24" s="10" customFormat="1" ht="5.0999999999999996" customHeight="1" x14ac:dyDescent="0.25">
      <c r="M15" s="313"/>
      <c r="N15" s="402"/>
      <c r="O15" s="402"/>
      <c r="P15" s="402"/>
      <c r="Q15" s="402"/>
      <c r="R15" s="402"/>
      <c r="S15" s="218"/>
      <c r="T15" s="313"/>
      <c r="U15" s="313"/>
      <c r="V15" s="313"/>
      <c r="W15" s="218"/>
      <c r="X15" s="218"/>
    </row>
    <row r="16" spans="2:24" s="10" customFormat="1" ht="15.95" customHeight="1" x14ac:dyDescent="0.25">
      <c r="G16" s="13" t="s">
        <v>935</v>
      </c>
      <c r="I16" s="13" t="s">
        <v>1029</v>
      </c>
      <c r="K16" s="13" t="s">
        <v>937</v>
      </c>
      <c r="M16" s="313"/>
      <c r="N16" s="402"/>
      <c r="O16" s="402"/>
      <c r="P16" s="402"/>
      <c r="Q16" s="402"/>
      <c r="R16" s="402"/>
      <c r="S16" s="218"/>
      <c r="T16" s="218"/>
      <c r="U16" s="209"/>
      <c r="V16" s="313"/>
      <c r="W16" s="218"/>
      <c r="X16" s="218"/>
    </row>
    <row r="17" spans="2:24" s="10" customFormat="1" ht="15.95" customHeight="1" x14ac:dyDescent="0.25">
      <c r="G17" s="67" t="s">
        <v>939</v>
      </c>
      <c r="H17" s="14" t="s">
        <v>1504</v>
      </c>
      <c r="I17" s="67" t="s">
        <v>940</v>
      </c>
      <c r="J17" s="14" t="s">
        <v>111</v>
      </c>
      <c r="K17" s="67" t="s">
        <v>1505</v>
      </c>
      <c r="M17" s="313"/>
      <c r="N17" s="402"/>
      <c r="O17" s="402"/>
      <c r="P17" s="402"/>
      <c r="Q17" s="402"/>
      <c r="R17" s="402"/>
      <c r="S17" s="218"/>
      <c r="T17" s="218"/>
      <c r="U17" s="218"/>
      <c r="V17" s="218"/>
      <c r="W17" s="218"/>
      <c r="X17" s="218"/>
    </row>
    <row r="18" spans="2:24" s="10" customFormat="1" ht="5.0999999999999996" customHeight="1" x14ac:dyDescent="0.25">
      <c r="G18" s="20"/>
      <c r="H18" s="14"/>
      <c r="I18" s="20"/>
      <c r="J18" s="14"/>
      <c r="K18" s="20"/>
      <c r="M18" s="313"/>
      <c r="N18" s="402"/>
      <c r="O18" s="402"/>
      <c r="P18" s="402"/>
      <c r="Q18" s="402"/>
      <c r="R18" s="402"/>
      <c r="S18" s="218"/>
      <c r="T18" s="218"/>
      <c r="U18" s="218"/>
      <c r="V18" s="218"/>
      <c r="W18" s="218"/>
      <c r="X18" s="218"/>
    </row>
    <row r="19" spans="2:24" s="10" customFormat="1" ht="15.95" customHeight="1" x14ac:dyDescent="0.25">
      <c r="B19" s="10" t="s">
        <v>1109</v>
      </c>
      <c r="G19" s="155">
        <f>R7</f>
        <v>100000</v>
      </c>
      <c r="H19" s="84" t="s">
        <v>1504</v>
      </c>
      <c r="I19" s="155">
        <f>R8</f>
        <v>134900</v>
      </c>
      <c r="J19" s="84" t="s">
        <v>111</v>
      </c>
      <c r="K19" s="155">
        <f>G19+I19</f>
        <v>234900</v>
      </c>
      <c r="M19" s="313"/>
      <c r="N19" s="402"/>
      <c r="O19" s="402"/>
      <c r="P19" s="402"/>
      <c r="Q19" s="402"/>
      <c r="R19" s="402"/>
      <c r="S19" s="218"/>
      <c r="T19" s="218"/>
      <c r="U19" s="218"/>
      <c r="V19" s="218"/>
      <c r="W19" s="218"/>
      <c r="X19" s="218"/>
    </row>
    <row r="20" spans="2:24" s="10" customFormat="1" ht="15.95" customHeight="1" x14ac:dyDescent="0.25">
      <c r="B20" s="10" t="s">
        <v>476</v>
      </c>
      <c r="I20" s="156">
        <f>R9</f>
        <v>205500</v>
      </c>
      <c r="K20" s="22"/>
      <c r="M20" s="313"/>
      <c r="N20" s="402"/>
      <c r="O20" s="402"/>
      <c r="P20" s="402"/>
      <c r="Q20" s="402"/>
      <c r="R20" s="402"/>
      <c r="S20" s="218"/>
      <c r="T20" s="218"/>
      <c r="U20" s="218"/>
      <c r="V20" s="218"/>
      <c r="W20" s="218"/>
      <c r="X20" s="218"/>
    </row>
    <row r="21" spans="2:24" s="10" customFormat="1" ht="15.95" customHeight="1" x14ac:dyDescent="0.25">
      <c r="B21" s="10" t="s">
        <v>688</v>
      </c>
      <c r="I21" s="157">
        <f>-R11</f>
        <v>-70000</v>
      </c>
      <c r="K21" s="22"/>
      <c r="M21" s="313"/>
      <c r="N21" s="402"/>
      <c r="O21" s="402"/>
      <c r="P21" s="402"/>
      <c r="Q21" s="402"/>
      <c r="R21" s="402"/>
      <c r="S21" s="218"/>
      <c r="T21" s="218"/>
      <c r="U21" s="218"/>
      <c r="V21" s="218"/>
      <c r="W21" s="218"/>
      <c r="X21" s="218"/>
    </row>
    <row r="22" spans="2:24" s="10" customFormat="1" ht="15.95" customHeight="1" x14ac:dyDescent="0.25">
      <c r="B22" s="10" t="s">
        <v>942</v>
      </c>
      <c r="G22" s="170">
        <f>R12</f>
        <v>75000</v>
      </c>
      <c r="I22" s="39"/>
      <c r="K22" s="108"/>
      <c r="M22" s="313"/>
      <c r="N22" s="402"/>
      <c r="O22" s="402"/>
      <c r="P22" s="402"/>
      <c r="Q22" s="402"/>
      <c r="R22" s="402"/>
      <c r="S22" s="218"/>
      <c r="T22" s="218"/>
      <c r="U22" s="218"/>
      <c r="V22" s="218"/>
      <c r="W22" s="218"/>
      <c r="X22" s="218"/>
    </row>
    <row r="23" spans="2:24" s="10" customFormat="1" ht="15.95" customHeight="1" x14ac:dyDescent="0.25">
      <c r="B23" s="10" t="s">
        <v>1115</v>
      </c>
      <c r="G23" s="155">
        <f>SUM(G19:G22)</f>
        <v>175000</v>
      </c>
      <c r="H23" s="84" t="s">
        <v>1504</v>
      </c>
      <c r="I23" s="155">
        <f>SUM(I19:I22)</f>
        <v>270400</v>
      </c>
      <c r="J23" s="84" t="s">
        <v>111</v>
      </c>
      <c r="K23" s="155">
        <f>SUM(G23:I23)</f>
        <v>445400</v>
      </c>
      <c r="M23" s="313"/>
      <c r="N23" s="402"/>
      <c r="O23" s="402"/>
      <c r="P23" s="402"/>
      <c r="Q23" s="402"/>
      <c r="R23" s="402"/>
      <c r="S23" s="218"/>
      <c r="T23" s="218"/>
      <c r="U23" s="218"/>
      <c r="V23" s="218"/>
      <c r="W23" s="218"/>
      <c r="X23" s="218"/>
    </row>
    <row r="24" spans="2:24" s="10" customFormat="1" ht="9.9499999999999993" customHeight="1" x14ac:dyDescent="0.25">
      <c r="K24" s="22"/>
      <c r="M24" s="313"/>
      <c r="N24" s="402"/>
      <c r="O24" s="402"/>
      <c r="P24" s="402"/>
      <c r="Q24" s="402"/>
      <c r="R24" s="402"/>
      <c r="S24" s="218"/>
      <c r="T24" s="218"/>
      <c r="U24" s="218"/>
      <c r="V24" s="218"/>
      <c r="W24" s="218"/>
      <c r="X24" s="218"/>
    </row>
    <row r="25" spans="2:24" s="10" customFormat="1" ht="15.95" customHeight="1" x14ac:dyDescent="0.25">
      <c r="B25" s="10" t="s">
        <v>1116</v>
      </c>
      <c r="K25" s="22"/>
      <c r="M25" s="313"/>
      <c r="N25" s="402"/>
      <c r="O25" s="402"/>
      <c r="P25" s="402"/>
      <c r="Q25" s="402"/>
      <c r="R25" s="402"/>
      <c r="S25" s="218"/>
      <c r="T25" s="218"/>
      <c r="U25" s="218"/>
      <c r="V25" s="218"/>
      <c r="W25" s="218"/>
      <c r="X25" s="218"/>
    </row>
    <row r="26" spans="2:24" s="10" customFormat="1" ht="15.95" customHeight="1" x14ac:dyDescent="0.25">
      <c r="B26" s="10" t="s">
        <v>1030</v>
      </c>
      <c r="K26" s="22"/>
      <c r="M26" s="313"/>
      <c r="N26" s="402"/>
      <c r="O26" s="402"/>
      <c r="P26" s="402"/>
      <c r="Q26" s="402"/>
      <c r="R26" s="402"/>
      <c r="S26" s="218"/>
      <c r="T26" s="218"/>
      <c r="U26" s="218"/>
      <c r="V26" s="218"/>
      <c r="W26" s="218"/>
      <c r="X26" s="218"/>
    </row>
    <row r="27" spans="2:24" s="10" customFormat="1" ht="9.9499999999999993" customHeight="1" x14ac:dyDescent="0.25">
      <c r="K27" s="22"/>
      <c r="M27" s="313"/>
      <c r="N27" s="402"/>
      <c r="O27" s="402"/>
      <c r="P27" s="402"/>
      <c r="Q27" s="402"/>
      <c r="R27" s="402"/>
      <c r="S27" s="218"/>
      <c r="T27" s="218"/>
      <c r="U27" s="218"/>
      <c r="V27" s="218"/>
      <c r="W27" s="218"/>
      <c r="X27" s="218"/>
    </row>
    <row r="28" spans="2:24" s="10" customFormat="1" ht="15.95" customHeight="1" x14ac:dyDescent="0.25">
      <c r="G28" s="67" t="s">
        <v>1490</v>
      </c>
      <c r="H28" s="14" t="s">
        <v>111</v>
      </c>
      <c r="I28" s="67" t="s">
        <v>1491</v>
      </c>
      <c r="J28" s="14" t="s">
        <v>1504</v>
      </c>
      <c r="K28" s="67" t="s">
        <v>1505</v>
      </c>
      <c r="M28" s="313"/>
      <c r="N28" s="402"/>
      <c r="O28" s="402"/>
      <c r="P28" s="402"/>
      <c r="Q28" s="402"/>
      <c r="R28" s="402"/>
      <c r="S28" s="218"/>
      <c r="T28" s="218"/>
      <c r="U28" s="218"/>
      <c r="V28" s="218"/>
      <c r="W28" s="218"/>
      <c r="X28" s="218"/>
    </row>
    <row r="29" spans="2:24" s="10" customFormat="1" ht="5.0999999999999996" customHeight="1" x14ac:dyDescent="0.25">
      <c r="G29" s="20"/>
      <c r="H29" s="14"/>
      <c r="I29" s="20"/>
      <c r="J29" s="14"/>
      <c r="K29" s="20"/>
      <c r="M29" s="313"/>
      <c r="N29" s="402"/>
      <c r="O29" s="402"/>
      <c r="P29" s="402"/>
      <c r="Q29" s="402"/>
      <c r="R29" s="402"/>
      <c r="S29" s="218"/>
      <c r="T29" s="218"/>
      <c r="U29" s="218"/>
      <c r="V29" s="218"/>
      <c r="W29" s="218"/>
      <c r="X29" s="218"/>
    </row>
    <row r="30" spans="2:24" s="10" customFormat="1" ht="15.95" customHeight="1" x14ac:dyDescent="0.25">
      <c r="B30" s="10" t="s">
        <v>1117</v>
      </c>
      <c r="G30" s="155">
        <f>R13</f>
        <v>710100</v>
      </c>
      <c r="H30" s="14" t="s">
        <v>111</v>
      </c>
      <c r="I30" s="13" t="s">
        <v>868</v>
      </c>
      <c r="J30" s="14" t="s">
        <v>1504</v>
      </c>
      <c r="K30" s="155">
        <f>K23</f>
        <v>445400</v>
      </c>
      <c r="M30" s="313"/>
      <c r="N30" s="402"/>
      <c r="O30" s="412" t="s">
        <v>794</v>
      </c>
      <c r="P30" s="402"/>
      <c r="Q30" s="402"/>
      <c r="R30" s="402"/>
      <c r="S30" s="218"/>
      <c r="T30" s="218"/>
      <c r="U30" s="218"/>
      <c r="V30" s="218"/>
      <c r="W30" s="218"/>
      <c r="X30" s="218"/>
    </row>
    <row r="31" spans="2:24" s="10" customFormat="1" ht="9.9499999999999993" customHeight="1" x14ac:dyDescent="0.25">
      <c r="M31" s="313"/>
      <c r="N31" s="402"/>
      <c r="O31" s="402"/>
      <c r="P31" s="402"/>
      <c r="Q31" s="402"/>
      <c r="R31" s="402"/>
      <c r="S31" s="218"/>
      <c r="T31" s="218"/>
      <c r="U31" s="218"/>
      <c r="V31" s="218"/>
      <c r="W31" s="218"/>
      <c r="X31" s="218"/>
    </row>
    <row r="32" spans="2:24" s="10" customFormat="1" ht="15.95" customHeight="1" x14ac:dyDescent="0.25">
      <c r="B32" s="60" t="s">
        <v>1317</v>
      </c>
      <c r="C32" s="83"/>
      <c r="G32" s="12"/>
      <c r="H32" s="225"/>
      <c r="I32" s="225"/>
      <c r="J32" s="12"/>
      <c r="M32" s="313"/>
      <c r="N32" s="410">
        <f>R13</f>
        <v>710100</v>
      </c>
      <c r="O32" s="410" t="s">
        <v>1589</v>
      </c>
      <c r="P32" s="410">
        <f>K23</f>
        <v>445400</v>
      </c>
      <c r="Q32" s="410" t="s">
        <v>1587</v>
      </c>
      <c r="R32" s="410">
        <f>SUM(N32-P32)</f>
        <v>264700</v>
      </c>
      <c r="S32" s="218"/>
      <c r="T32" s="218"/>
      <c r="U32" s="218"/>
      <c r="V32" s="323"/>
      <c r="W32" s="323"/>
      <c r="X32" s="218"/>
    </row>
    <row r="33" spans="2:24" s="10" customFormat="1" ht="5.0999999999999996" customHeight="1" x14ac:dyDescent="0.25">
      <c r="G33" s="12"/>
      <c r="H33" s="12"/>
      <c r="I33" s="12"/>
      <c r="J33" s="12"/>
      <c r="M33" s="313"/>
      <c r="N33" s="402"/>
      <c r="O33" s="402"/>
      <c r="P33" s="402"/>
      <c r="Q33" s="402"/>
      <c r="R33" s="402"/>
      <c r="S33" s="218"/>
      <c r="T33" s="218"/>
      <c r="U33" s="218"/>
      <c r="V33" s="323"/>
      <c r="W33" s="218"/>
      <c r="X33" s="218"/>
    </row>
    <row r="34" spans="2:24" s="10" customFormat="1" ht="15.95" customHeight="1" x14ac:dyDescent="0.25">
      <c r="B34" s="60"/>
      <c r="G34" s="12"/>
      <c r="H34" s="12"/>
      <c r="I34" s="12"/>
      <c r="J34" s="12"/>
      <c r="M34" s="313"/>
      <c r="N34" s="402"/>
      <c r="O34" s="402"/>
      <c r="P34" s="402"/>
      <c r="Q34" s="402"/>
      <c r="R34" s="402"/>
      <c r="S34" s="218"/>
      <c r="T34" s="313"/>
      <c r="U34" s="218"/>
      <c r="V34" s="313"/>
      <c r="W34" s="313"/>
      <c r="X34" s="218"/>
    </row>
    <row r="35" spans="2:24" s="10" customFormat="1" ht="15.95" customHeight="1" x14ac:dyDescent="0.25">
      <c r="I35" s="12"/>
      <c r="J35" s="12"/>
      <c r="M35" s="313"/>
      <c r="N35" s="402"/>
      <c r="O35" s="402"/>
      <c r="P35" s="402"/>
      <c r="Q35" s="402"/>
      <c r="R35" s="402"/>
      <c r="S35" s="313"/>
      <c r="T35" s="313"/>
      <c r="U35" s="313"/>
      <c r="V35" s="313"/>
      <c r="W35" s="313"/>
      <c r="X35" s="218"/>
    </row>
    <row r="36" spans="2:24" s="10" customFormat="1" ht="15.95" customHeight="1" x14ac:dyDescent="0.25">
      <c r="M36" s="313"/>
      <c r="N36" s="402"/>
      <c r="O36" s="402"/>
      <c r="P36" s="402"/>
      <c r="Q36" s="402"/>
      <c r="R36" s="402"/>
      <c r="S36" s="313"/>
      <c r="T36" s="313"/>
      <c r="U36" s="313"/>
      <c r="V36" s="313"/>
      <c r="W36" s="313"/>
      <c r="X36" s="218"/>
    </row>
    <row r="37" spans="2:24" s="10" customFormat="1" ht="15.95" customHeight="1" x14ac:dyDescent="0.25">
      <c r="M37" s="313"/>
      <c r="N37" s="402"/>
      <c r="O37" s="402"/>
      <c r="P37" s="402"/>
      <c r="Q37" s="402"/>
      <c r="R37" s="402"/>
      <c r="S37" s="313"/>
      <c r="T37" s="313"/>
      <c r="U37" s="313"/>
      <c r="V37" s="313"/>
      <c r="W37" s="313"/>
      <c r="X37" s="218"/>
    </row>
    <row r="38" spans="2:24" s="10" customFormat="1" ht="15.95" customHeight="1" x14ac:dyDescent="0.25">
      <c r="M38" s="313"/>
      <c r="N38" s="402"/>
      <c r="O38" s="402"/>
      <c r="P38" s="402"/>
      <c r="Q38" s="402"/>
      <c r="R38" s="402"/>
      <c r="S38" s="313"/>
      <c r="T38" s="313"/>
      <c r="U38" s="313"/>
      <c r="V38" s="313"/>
      <c r="W38" s="313"/>
      <c r="X38" s="218"/>
    </row>
    <row r="39" spans="2:24" s="10" customFormat="1" ht="15.95" customHeight="1" x14ac:dyDescent="0.25">
      <c r="M39" s="313"/>
      <c r="N39" s="402"/>
      <c r="O39" s="402"/>
      <c r="P39" s="402"/>
      <c r="Q39" s="402"/>
      <c r="R39" s="402"/>
      <c r="S39" s="313"/>
      <c r="T39" s="313"/>
      <c r="U39" s="313"/>
      <c r="V39" s="313"/>
      <c r="W39" s="313"/>
      <c r="X39" s="218"/>
    </row>
    <row r="40" spans="2:24" s="10" customFormat="1" ht="15.95" customHeight="1" x14ac:dyDescent="0.25">
      <c r="M40" s="313"/>
      <c r="N40" s="402"/>
      <c r="O40" s="402"/>
      <c r="P40" s="402"/>
      <c r="Q40" s="402"/>
      <c r="R40" s="402"/>
      <c r="S40" s="313"/>
      <c r="T40" s="313"/>
      <c r="U40" s="313"/>
      <c r="V40" s="313"/>
      <c r="W40" s="313"/>
      <c r="X40" s="218"/>
    </row>
    <row r="41" spans="2:24" s="10" customFormat="1" ht="15.95" customHeight="1" x14ac:dyDescent="0.25">
      <c r="M41" s="313"/>
      <c r="N41" s="402"/>
      <c r="O41" s="402"/>
      <c r="P41" s="402"/>
      <c r="Q41" s="402"/>
      <c r="R41" s="402"/>
      <c r="S41" s="218"/>
      <c r="T41" s="313"/>
      <c r="U41" s="218"/>
      <c r="V41" s="313"/>
      <c r="W41" s="313"/>
      <c r="X41" s="218"/>
    </row>
    <row r="42" spans="2:24" s="10" customFormat="1" ht="15.95" customHeight="1" x14ac:dyDescent="0.25">
      <c r="H42" s="21"/>
      <c r="I42" s="21"/>
      <c r="M42" s="313"/>
      <c r="N42" s="402"/>
      <c r="O42" s="402"/>
      <c r="P42" s="402"/>
      <c r="Q42" s="402"/>
      <c r="R42" s="402"/>
      <c r="S42" s="218"/>
      <c r="T42" s="218"/>
      <c r="U42" s="218"/>
      <c r="V42" s="218"/>
      <c r="W42" s="218"/>
      <c r="X42" s="218"/>
    </row>
    <row r="43" spans="2:24" s="10" customFormat="1" ht="15.95" customHeight="1" x14ac:dyDescent="0.25">
      <c r="M43" s="313"/>
      <c r="N43" s="402"/>
      <c r="O43" s="402"/>
      <c r="P43" s="402"/>
      <c r="Q43" s="402"/>
      <c r="R43" s="402"/>
      <c r="S43" s="313"/>
      <c r="T43" s="313"/>
      <c r="U43" s="313"/>
      <c r="V43" s="313"/>
      <c r="W43" s="313"/>
      <c r="X43" s="313"/>
    </row>
    <row r="44" spans="2:24" s="10" customFormat="1" ht="15.95" customHeight="1" x14ac:dyDescent="0.25">
      <c r="M44" s="313"/>
      <c r="N44" s="402"/>
      <c r="O44" s="402"/>
      <c r="P44" s="402"/>
      <c r="Q44" s="402"/>
      <c r="R44" s="402"/>
      <c r="S44" s="313"/>
      <c r="T44" s="313"/>
      <c r="U44" s="313"/>
      <c r="V44" s="313"/>
      <c r="W44" s="313"/>
      <c r="X44" s="313"/>
    </row>
    <row r="45" spans="2:24" s="10" customFormat="1" ht="15.95" customHeight="1" x14ac:dyDescent="0.25">
      <c r="M45" s="313"/>
      <c r="N45" s="402"/>
      <c r="O45" s="402"/>
      <c r="P45" s="402"/>
      <c r="Q45" s="402"/>
      <c r="R45" s="402"/>
      <c r="S45" s="313"/>
      <c r="T45" s="313"/>
      <c r="U45" s="313"/>
      <c r="V45" s="313"/>
      <c r="W45" s="313"/>
      <c r="X45" s="313"/>
    </row>
    <row r="46" spans="2:24" s="10" customFormat="1" ht="15.95" customHeight="1" x14ac:dyDescent="0.25">
      <c r="M46" s="313"/>
      <c r="N46" s="402"/>
      <c r="O46" s="402"/>
      <c r="P46" s="402"/>
      <c r="Q46" s="402"/>
      <c r="R46" s="402"/>
      <c r="S46" s="313"/>
      <c r="T46" s="313"/>
      <c r="U46" s="313"/>
      <c r="V46" s="313"/>
      <c r="W46" s="313"/>
      <c r="X46" s="313"/>
    </row>
    <row r="47" spans="2:24" s="10" customFormat="1" ht="15" customHeight="1" x14ac:dyDescent="0.25">
      <c r="M47" s="313"/>
      <c r="N47" s="402"/>
      <c r="O47" s="402"/>
      <c r="P47" s="402"/>
      <c r="Q47" s="402"/>
      <c r="R47" s="402"/>
      <c r="S47" s="313"/>
      <c r="T47" s="313"/>
      <c r="U47" s="313"/>
      <c r="V47" s="313"/>
      <c r="W47" s="313"/>
      <c r="X47" s="313"/>
    </row>
    <row r="48" spans="2:24" s="10" customFormat="1" ht="15" customHeight="1" x14ac:dyDescent="0.25">
      <c r="M48" s="313"/>
      <c r="N48" s="402"/>
      <c r="O48" s="402"/>
      <c r="P48" s="402"/>
      <c r="Q48" s="402"/>
      <c r="R48" s="402"/>
      <c r="S48" s="313"/>
      <c r="T48" s="313"/>
      <c r="U48" s="313"/>
      <c r="V48" s="313"/>
      <c r="W48" s="313"/>
      <c r="X48" s="313"/>
    </row>
    <row r="49" spans="13:24" s="10" customFormat="1" ht="15" customHeight="1" x14ac:dyDescent="0.25">
      <c r="M49" s="313"/>
      <c r="N49" s="402"/>
      <c r="O49" s="402"/>
      <c r="P49" s="402"/>
      <c r="Q49" s="402"/>
      <c r="R49" s="402"/>
      <c r="S49" s="313"/>
      <c r="T49" s="313"/>
      <c r="U49" s="313"/>
      <c r="V49" s="313"/>
      <c r="W49" s="313"/>
      <c r="X49" s="313"/>
    </row>
    <row r="50" spans="13:24" s="10" customFormat="1" ht="15" customHeight="1" x14ac:dyDescent="0.25">
      <c r="M50" s="313"/>
      <c r="N50" s="402"/>
      <c r="O50" s="402"/>
      <c r="P50" s="402"/>
      <c r="Q50" s="402"/>
      <c r="R50" s="402"/>
      <c r="S50" s="313"/>
      <c r="T50" s="313"/>
      <c r="U50" s="313"/>
      <c r="V50" s="313"/>
      <c r="W50" s="313"/>
      <c r="X50" s="313"/>
    </row>
    <row r="51" spans="13:24" s="10" customFormat="1" ht="15" customHeight="1" x14ac:dyDescent="0.25">
      <c r="M51" s="313"/>
      <c r="N51" s="402"/>
      <c r="O51" s="402"/>
      <c r="P51" s="402"/>
      <c r="Q51" s="402"/>
      <c r="R51" s="402"/>
      <c r="S51" s="313"/>
      <c r="T51" s="313"/>
      <c r="U51" s="313"/>
      <c r="V51" s="313"/>
      <c r="W51" s="313"/>
      <c r="X51" s="313"/>
    </row>
    <row r="52" spans="13:24" s="10" customFormat="1" ht="15" customHeight="1" x14ac:dyDescent="0.25">
      <c r="M52" s="313"/>
      <c r="N52" s="402"/>
      <c r="O52" s="402"/>
      <c r="P52" s="402"/>
      <c r="Q52" s="402"/>
      <c r="R52" s="402"/>
      <c r="S52" s="313"/>
      <c r="T52" s="313"/>
      <c r="U52" s="313"/>
      <c r="V52" s="313"/>
      <c r="W52" s="313"/>
      <c r="X52" s="313"/>
    </row>
    <row r="53" spans="13:24" s="10" customFormat="1" ht="15" customHeight="1" x14ac:dyDescent="0.25">
      <c r="M53" s="313"/>
      <c r="N53" s="402"/>
      <c r="O53" s="402"/>
      <c r="P53" s="402"/>
      <c r="Q53" s="402"/>
      <c r="R53" s="402"/>
      <c r="S53" s="313"/>
      <c r="T53" s="312"/>
      <c r="U53" s="312"/>
      <c r="V53" s="312"/>
      <c r="W53" s="312"/>
      <c r="X53" s="313"/>
    </row>
    <row r="54" spans="13:24" s="10" customFormat="1" ht="15" customHeight="1" x14ac:dyDescent="0.25">
      <c r="M54" s="313"/>
      <c r="N54" s="402"/>
      <c r="O54" s="402"/>
      <c r="P54" s="402"/>
      <c r="Q54" s="402"/>
      <c r="R54" s="402"/>
      <c r="S54" s="313"/>
      <c r="T54" s="312"/>
      <c r="U54" s="312"/>
      <c r="V54" s="312"/>
      <c r="W54" s="312"/>
      <c r="X54" s="313"/>
    </row>
    <row r="55" spans="13:24" s="10" customFormat="1" ht="15" customHeight="1" x14ac:dyDescent="0.25">
      <c r="M55" s="313"/>
      <c r="N55" s="402"/>
      <c r="O55" s="402"/>
      <c r="P55" s="402"/>
      <c r="Q55" s="402"/>
      <c r="R55" s="402"/>
      <c r="S55" s="313"/>
      <c r="T55" s="312"/>
      <c r="U55" s="312"/>
      <c r="V55" s="312"/>
      <c r="W55" s="312"/>
      <c r="X55" s="313"/>
    </row>
    <row r="56" spans="13:24" s="10" customFormat="1" ht="15" customHeight="1" x14ac:dyDescent="0.25">
      <c r="M56" s="313"/>
      <c r="N56" s="402"/>
      <c r="O56" s="402"/>
      <c r="P56" s="402"/>
      <c r="Q56" s="402"/>
      <c r="R56" s="402"/>
      <c r="S56" s="313"/>
      <c r="T56" s="312"/>
      <c r="U56" s="312"/>
      <c r="V56" s="312"/>
      <c r="W56" s="312"/>
      <c r="X56" s="313"/>
    </row>
    <row r="57" spans="13:24" s="10" customFormat="1" ht="15" customHeight="1" x14ac:dyDescent="0.25">
      <c r="M57" s="313"/>
      <c r="N57" s="402"/>
      <c r="O57" s="402"/>
      <c r="P57" s="402"/>
      <c r="Q57" s="402"/>
      <c r="R57" s="402"/>
      <c r="S57" s="313"/>
      <c r="T57" s="312"/>
      <c r="U57" s="312"/>
      <c r="V57" s="312"/>
      <c r="W57" s="312"/>
      <c r="X57" s="313"/>
    </row>
  </sheetData>
  <customSheetViews>
    <customSheetView guid="{B2DDA8C4-3089-41F7-BA6E-A0E09596A2CA}" scale="80" showPageBreaks="1" fitToPage="1" printArea="1">
      <selection activeCell="B4" sqref="B4"/>
      <colBreaks count="1" manualBreakCount="1">
        <brk id="11" max="39" man="1"/>
      </colBreaks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4">
      <selection activeCell="J32" sqref="J32"/>
      <colBreaks count="1" manualBreakCount="1">
        <brk id="11" max="39" man="1"/>
      </colBreaks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 topLeftCell="A4">
      <selection activeCell="B4" sqref="B4"/>
      <colBreaks count="1" manualBreakCount="1">
        <brk id="11" max="39" man="1"/>
      </colBreaks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4" sqref="B4"/>
      <colBreaks count="1" manualBreakCount="1">
        <brk id="11" max="39" man="1"/>
      </colBreaks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4" sqref="B4"/>
      <colBreaks count="1" manualBreakCount="1">
        <brk id="11" max="39" man="1"/>
      </colBreaks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">
    <mergeCell ref="B2:K2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drawing r:id="rId7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2" width="4.7109375" style="2" customWidth="1"/>
    <col min="3" max="3" width="16.85546875" style="2" customWidth="1"/>
    <col min="4" max="4" width="4.7109375" style="2" customWidth="1"/>
    <col min="5" max="5" width="14.140625" style="2" customWidth="1"/>
    <col min="6" max="6" width="4.7109375" style="2" customWidth="1"/>
    <col min="7" max="7" width="14.5703125" style="2" customWidth="1"/>
    <col min="8" max="8" width="4.7109375" style="2" customWidth="1"/>
    <col min="9" max="9" width="12.7109375" style="2" customWidth="1"/>
    <col min="10" max="10" width="1.7109375" style="2" customWidth="1"/>
    <col min="11" max="11" width="12.7109375" style="2" customWidth="1"/>
    <col min="12" max="12" width="2.7109375" style="312" customWidth="1"/>
    <col min="13" max="13" width="9.85546875" style="407" hidden="1" customWidth="1"/>
    <col min="14" max="14" width="2.7109375" style="407" hidden="1" customWidth="1"/>
    <col min="15" max="15" width="9.7109375" style="407" hidden="1" customWidth="1"/>
    <col min="16" max="16" width="2.7109375" style="407" hidden="1" customWidth="1"/>
    <col min="17" max="17" width="9.85546875" style="407" hidden="1" customWidth="1"/>
    <col min="18" max="18" width="2.7109375" style="407" hidden="1" customWidth="1"/>
    <col min="19" max="19" width="9.28515625" style="407" hidden="1" customWidth="1"/>
    <col min="20" max="20" width="2.7109375" style="407" hidden="1" customWidth="1"/>
    <col min="21" max="21" width="0" style="407" hidden="1" customWidth="1"/>
    <col min="22" max="22" width="2.7109375" style="407" hidden="1" customWidth="1"/>
    <col min="23" max="23" width="8.7109375" style="407" hidden="1" customWidth="1"/>
    <col min="24" max="24" width="14" style="312" bestFit="1" customWidth="1"/>
    <col min="25" max="16384" width="9.140625" style="2"/>
  </cols>
  <sheetData>
    <row r="1" spans="1:24" ht="28.5" customHeight="1" x14ac:dyDescent="0.2"/>
    <row r="2" spans="1:24" ht="15.95" customHeight="1" x14ac:dyDescent="0.25">
      <c r="B2" s="10" t="s">
        <v>1195</v>
      </c>
    </row>
    <row r="3" spans="1:24" ht="15.95" customHeight="1" x14ac:dyDescent="0.25">
      <c r="A3" s="10"/>
      <c r="B3" s="10" t="s">
        <v>183</v>
      </c>
      <c r="C3" s="10"/>
      <c r="D3" s="10"/>
      <c r="E3" s="10"/>
      <c r="F3" s="10"/>
      <c r="G3" s="10"/>
      <c r="H3" s="10"/>
      <c r="I3" s="10"/>
      <c r="J3" s="10"/>
      <c r="K3" s="10"/>
      <c r="L3" s="313"/>
      <c r="M3" s="402"/>
      <c r="N3" s="402"/>
      <c r="O3" s="402"/>
      <c r="P3" s="402"/>
      <c r="Q3" s="402"/>
      <c r="R3" s="402"/>
      <c r="S3" s="402"/>
      <c r="T3" s="402"/>
      <c r="U3" s="402"/>
      <c r="V3" s="402"/>
      <c r="W3" s="402"/>
    </row>
    <row r="4" spans="1:24" ht="15.95" customHeight="1" x14ac:dyDescent="0.25">
      <c r="A4" s="10"/>
      <c r="B4" s="10" t="s">
        <v>182</v>
      </c>
      <c r="C4" s="10"/>
      <c r="D4" s="10"/>
      <c r="E4" s="10"/>
      <c r="F4" s="10"/>
      <c r="G4" s="10"/>
      <c r="H4" s="10"/>
      <c r="I4" s="10"/>
      <c r="J4" s="10"/>
      <c r="K4" s="10"/>
      <c r="L4" s="313"/>
      <c r="M4" s="402"/>
      <c r="N4" s="402"/>
      <c r="O4" s="402"/>
      <c r="P4" s="402"/>
      <c r="Q4" s="402"/>
      <c r="R4" s="402"/>
      <c r="T4" s="402"/>
      <c r="V4" s="413" t="s">
        <v>1679</v>
      </c>
      <c r="W4" s="402"/>
    </row>
    <row r="5" spans="1:24" ht="5.0999999999999996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313"/>
      <c r="M5" s="402"/>
      <c r="N5" s="402"/>
      <c r="O5" s="402"/>
      <c r="P5" s="402"/>
      <c r="Q5" s="402"/>
      <c r="R5" s="402"/>
      <c r="S5" s="402"/>
      <c r="T5" s="402"/>
      <c r="U5" s="448"/>
      <c r="W5" s="402"/>
    </row>
    <row r="6" spans="1:24" ht="15.95" customHeight="1" x14ac:dyDescent="0.25">
      <c r="A6" s="10"/>
      <c r="B6" s="11" t="s">
        <v>1507</v>
      </c>
      <c r="C6" s="10" t="s">
        <v>909</v>
      </c>
      <c r="D6" s="14" t="s">
        <v>111</v>
      </c>
      <c r="E6" s="10" t="s">
        <v>1491</v>
      </c>
      <c r="F6" s="14" t="s">
        <v>1504</v>
      </c>
      <c r="G6" s="10" t="s">
        <v>550</v>
      </c>
      <c r="H6" s="10"/>
      <c r="I6" s="10"/>
      <c r="J6" s="10"/>
      <c r="K6" s="10"/>
      <c r="L6" s="313"/>
      <c r="M6" s="402"/>
      <c r="N6" s="402"/>
      <c r="O6" s="402"/>
      <c r="R6" s="402"/>
      <c r="T6" s="402"/>
      <c r="V6" s="405" t="s">
        <v>34</v>
      </c>
      <c r="W6" s="409">
        <v>368200</v>
      </c>
    </row>
    <row r="7" spans="1:24" ht="15.95" customHeight="1" x14ac:dyDescent="0.25">
      <c r="A7" s="10"/>
      <c r="B7" s="11"/>
      <c r="C7" s="10"/>
      <c r="D7" s="14"/>
      <c r="E7" s="10"/>
      <c r="F7" s="14"/>
      <c r="G7" s="10" t="s">
        <v>947</v>
      </c>
      <c r="H7" s="10"/>
      <c r="I7" s="10"/>
      <c r="J7" s="10"/>
      <c r="K7" s="10"/>
      <c r="L7" s="313"/>
      <c r="M7" s="402"/>
      <c r="N7" s="412" t="s">
        <v>794</v>
      </c>
      <c r="O7" s="402"/>
      <c r="R7" s="402"/>
      <c r="T7" s="402"/>
      <c r="V7" s="405" t="s">
        <v>35</v>
      </c>
      <c r="W7" s="409">
        <v>426630</v>
      </c>
    </row>
    <row r="8" spans="1:24" ht="15.95" customHeight="1" x14ac:dyDescent="0.25">
      <c r="A8" s="10"/>
      <c r="B8" s="10"/>
      <c r="C8" s="10" t="s">
        <v>337</v>
      </c>
      <c r="D8" s="14" t="s">
        <v>111</v>
      </c>
      <c r="E8" s="28">
        <f>W6</f>
        <v>368200</v>
      </c>
      <c r="F8" s="84" t="s">
        <v>1504</v>
      </c>
      <c r="G8" s="28">
        <f>W9</f>
        <v>272900</v>
      </c>
      <c r="H8" s="10"/>
      <c r="I8" s="10"/>
      <c r="J8" s="10"/>
      <c r="K8" s="10"/>
      <c r="L8" s="313"/>
      <c r="M8" s="410">
        <f>W6</f>
        <v>368200</v>
      </c>
      <c r="N8" s="410" t="s">
        <v>1588</v>
      </c>
      <c r="O8" s="410">
        <f>W9</f>
        <v>272900</v>
      </c>
      <c r="P8" s="410" t="s">
        <v>1587</v>
      </c>
      <c r="Q8" s="410">
        <f>SUM(M8+O8)</f>
        <v>641100</v>
      </c>
      <c r="R8" s="402"/>
      <c r="V8" s="405" t="s">
        <v>36</v>
      </c>
      <c r="W8" s="409">
        <v>758150</v>
      </c>
    </row>
    <row r="9" spans="1:24" ht="15.95" customHeight="1" x14ac:dyDescent="0.25">
      <c r="A9" s="10"/>
      <c r="B9" s="10"/>
      <c r="C9" s="10" t="s">
        <v>337</v>
      </c>
      <c r="D9" s="14" t="s">
        <v>111</v>
      </c>
      <c r="E9" s="28">
        <f>E8+G8</f>
        <v>641100</v>
      </c>
      <c r="F9" s="28"/>
      <c r="G9" s="10"/>
      <c r="H9" s="10"/>
      <c r="I9" s="10"/>
      <c r="J9" s="10"/>
      <c r="K9" s="10"/>
      <c r="L9" s="313"/>
      <c r="M9" s="402"/>
      <c r="N9" s="402"/>
      <c r="O9" s="402"/>
      <c r="R9" s="402"/>
      <c r="S9" s="402"/>
      <c r="T9" s="402"/>
      <c r="U9" s="402"/>
      <c r="V9" s="405" t="s">
        <v>37</v>
      </c>
      <c r="W9" s="409">
        <v>272900</v>
      </c>
    </row>
    <row r="10" spans="1:24" ht="5.0999999999999996" customHeight="1" x14ac:dyDescent="0.25">
      <c r="A10" s="10"/>
      <c r="B10" s="10"/>
      <c r="C10" s="10"/>
      <c r="D10" s="14"/>
      <c r="E10" s="28"/>
      <c r="F10" s="28"/>
      <c r="G10" s="10"/>
      <c r="H10" s="10"/>
      <c r="I10" s="10"/>
      <c r="J10" s="10"/>
      <c r="K10" s="10"/>
      <c r="L10" s="313"/>
      <c r="M10" s="402"/>
      <c r="N10" s="402"/>
      <c r="O10" s="402"/>
      <c r="R10" s="402"/>
      <c r="S10" s="402"/>
      <c r="T10" s="402"/>
      <c r="U10" s="402"/>
      <c r="V10" s="405"/>
      <c r="W10" s="410"/>
    </row>
    <row r="11" spans="1:24" ht="15.95" customHeight="1" x14ac:dyDescent="0.25">
      <c r="B11" s="10" t="s">
        <v>1678</v>
      </c>
      <c r="V11" s="405" t="s">
        <v>1604</v>
      </c>
      <c r="W11" s="409">
        <v>929440</v>
      </c>
    </row>
    <row r="12" spans="1:24" ht="9.9499999999999993" customHeight="1" x14ac:dyDescent="0.2">
      <c r="B12" s="49"/>
    </row>
    <row r="13" spans="1:24" s="10" customFormat="1" ht="15.95" customHeight="1" x14ac:dyDescent="0.25">
      <c r="B13" s="11" t="s">
        <v>953</v>
      </c>
      <c r="C13" s="10" t="s">
        <v>318</v>
      </c>
      <c r="D13" s="14" t="s">
        <v>111</v>
      </c>
      <c r="E13" s="10" t="s">
        <v>1498</v>
      </c>
      <c r="F13" s="13" t="s">
        <v>329</v>
      </c>
      <c r="G13" s="10" t="s">
        <v>982</v>
      </c>
      <c r="L13" s="313"/>
      <c r="M13" s="402"/>
      <c r="N13" s="412" t="s">
        <v>794</v>
      </c>
      <c r="O13" s="402"/>
      <c r="P13" s="402"/>
      <c r="Q13" s="402"/>
      <c r="R13" s="402"/>
      <c r="S13" s="402"/>
      <c r="T13" s="447"/>
      <c r="U13" s="402"/>
      <c r="V13" s="405" t="s">
        <v>1605</v>
      </c>
      <c r="W13" s="409">
        <v>835320</v>
      </c>
      <c r="X13" s="313"/>
    </row>
    <row r="14" spans="1:24" s="10" customFormat="1" ht="15.95" customHeight="1" x14ac:dyDescent="0.25">
      <c r="C14" s="10" t="s">
        <v>337</v>
      </c>
      <c r="D14" s="14" t="s">
        <v>111</v>
      </c>
      <c r="E14" s="28">
        <f>W11</f>
        <v>929440</v>
      </c>
      <c r="F14" s="84" t="s">
        <v>329</v>
      </c>
      <c r="G14" s="28">
        <f>W13</f>
        <v>835320</v>
      </c>
      <c r="L14" s="313"/>
      <c r="M14" s="410">
        <f>W11</f>
        <v>929440</v>
      </c>
      <c r="N14" s="410" t="s">
        <v>1589</v>
      </c>
      <c r="O14" s="410">
        <f>W13</f>
        <v>835320</v>
      </c>
      <c r="P14" s="410" t="s">
        <v>1587</v>
      </c>
      <c r="Q14" s="410">
        <f>SUM(M14-O14)</f>
        <v>94120</v>
      </c>
      <c r="R14" s="402"/>
      <c r="S14" s="402"/>
      <c r="T14" s="402"/>
      <c r="U14" s="402"/>
      <c r="V14" s="405" t="s">
        <v>938</v>
      </c>
      <c r="W14" s="409">
        <v>35500</v>
      </c>
      <c r="X14" s="313"/>
    </row>
    <row r="15" spans="1:24" s="10" customFormat="1" ht="15.95" customHeight="1" x14ac:dyDescent="0.25">
      <c r="C15" s="10" t="s">
        <v>337</v>
      </c>
      <c r="D15" s="14" t="s">
        <v>111</v>
      </c>
      <c r="E15" s="28">
        <f>E14-G14</f>
        <v>94120</v>
      </c>
      <c r="F15" s="28"/>
      <c r="G15" s="28"/>
      <c r="L15" s="313"/>
      <c r="M15" s="402"/>
      <c r="N15" s="402"/>
      <c r="O15" s="402"/>
      <c r="P15" s="402"/>
      <c r="Q15" s="402"/>
      <c r="R15" s="402"/>
      <c r="S15" s="402"/>
      <c r="T15" s="402"/>
      <c r="U15" s="402"/>
      <c r="V15" s="402"/>
      <c r="W15" s="447"/>
      <c r="X15" s="313"/>
    </row>
    <row r="16" spans="1:24" s="10" customFormat="1" ht="5.0999999999999996" customHeight="1" x14ac:dyDescent="0.25">
      <c r="L16" s="313"/>
      <c r="M16" s="402"/>
      <c r="N16" s="402"/>
      <c r="O16" s="402"/>
      <c r="P16" s="402"/>
      <c r="Q16" s="402"/>
      <c r="R16" s="402"/>
      <c r="S16" s="402"/>
      <c r="T16" s="402"/>
      <c r="U16" s="402"/>
      <c r="V16" s="402"/>
      <c r="W16" s="402"/>
      <c r="X16" s="330"/>
    </row>
    <row r="17" spans="2:24" s="10" customFormat="1" ht="15.95" customHeight="1" x14ac:dyDescent="0.25">
      <c r="B17" s="10" t="s">
        <v>1677</v>
      </c>
      <c r="L17" s="313"/>
      <c r="M17" s="402"/>
      <c r="N17" s="402"/>
      <c r="O17" s="402"/>
      <c r="P17" s="402"/>
      <c r="Q17" s="402"/>
      <c r="R17" s="402"/>
      <c r="S17" s="402"/>
      <c r="T17" s="402"/>
      <c r="U17" s="402"/>
      <c r="V17" s="402"/>
      <c r="W17" s="402"/>
      <c r="X17" s="330"/>
    </row>
    <row r="18" spans="2:24" s="10" customFormat="1" ht="9.9499999999999993" customHeight="1" x14ac:dyDescent="0.25">
      <c r="B18" s="49"/>
      <c r="L18" s="313"/>
      <c r="M18" s="402"/>
      <c r="N18" s="402"/>
      <c r="O18" s="402"/>
      <c r="P18" s="402"/>
      <c r="Q18" s="402"/>
      <c r="R18" s="402"/>
      <c r="S18" s="402"/>
      <c r="T18" s="402"/>
      <c r="U18" s="402"/>
      <c r="V18" s="402"/>
      <c r="W18" s="402"/>
      <c r="X18" s="330"/>
    </row>
    <row r="19" spans="2:24" s="10" customFormat="1" ht="15.95" customHeight="1" x14ac:dyDescent="0.25">
      <c r="B19" s="11" t="s">
        <v>1510</v>
      </c>
      <c r="C19" s="10" t="s">
        <v>1031</v>
      </c>
      <c r="D19" s="14" t="s">
        <v>1504</v>
      </c>
      <c r="E19" s="10" t="s">
        <v>318</v>
      </c>
      <c r="F19" s="84" t="s">
        <v>329</v>
      </c>
      <c r="G19" s="10" t="s">
        <v>688</v>
      </c>
      <c r="H19" s="14" t="s">
        <v>111</v>
      </c>
      <c r="I19" s="10" t="s">
        <v>951</v>
      </c>
      <c r="L19" s="313"/>
      <c r="M19" s="402"/>
      <c r="N19" s="402"/>
      <c r="O19" s="402"/>
      <c r="P19" s="402"/>
      <c r="Q19" s="402"/>
      <c r="R19" s="402"/>
      <c r="S19" s="402"/>
      <c r="T19" s="402"/>
      <c r="U19" s="402"/>
      <c r="V19" s="402"/>
      <c r="W19" s="402"/>
      <c r="X19" s="313"/>
    </row>
    <row r="20" spans="2:24" s="10" customFormat="1" ht="15.95" customHeight="1" x14ac:dyDescent="0.25">
      <c r="B20" s="11"/>
      <c r="C20" s="10" t="s">
        <v>952</v>
      </c>
      <c r="D20" s="14"/>
      <c r="F20" s="84"/>
      <c r="H20" s="14"/>
      <c r="I20" s="10" t="s">
        <v>952</v>
      </c>
      <c r="L20" s="313"/>
      <c r="M20" s="402"/>
      <c r="N20" s="402"/>
      <c r="O20" s="402"/>
      <c r="P20" s="402"/>
      <c r="Q20" s="402"/>
      <c r="R20" s="402"/>
      <c r="S20" s="402"/>
      <c r="T20" s="402"/>
      <c r="U20" s="402"/>
      <c r="V20" s="402"/>
      <c r="W20" s="402"/>
      <c r="X20" s="313"/>
    </row>
    <row r="21" spans="2:24" s="10" customFormat="1" ht="15.95" customHeight="1" x14ac:dyDescent="0.25">
      <c r="C21" s="10" t="s">
        <v>1505</v>
      </c>
      <c r="I21" s="10" t="s">
        <v>1505</v>
      </c>
      <c r="L21" s="313"/>
      <c r="M21" s="402"/>
      <c r="N21" s="412" t="s">
        <v>794</v>
      </c>
      <c r="O21" s="402"/>
      <c r="P21" s="412" t="s">
        <v>794</v>
      </c>
      <c r="Q21" s="402"/>
      <c r="R21" s="402"/>
      <c r="S21" s="402"/>
      <c r="T21" s="402"/>
      <c r="U21" s="402"/>
      <c r="V21" s="402"/>
      <c r="W21" s="402"/>
      <c r="X21" s="313"/>
    </row>
    <row r="22" spans="2:24" s="10" customFormat="1" ht="5.0999999999999996" customHeight="1" x14ac:dyDescent="0.25">
      <c r="L22" s="313"/>
      <c r="M22" s="402"/>
      <c r="N22" s="402"/>
      <c r="O22" s="402"/>
      <c r="P22" s="402"/>
      <c r="Q22" s="402"/>
      <c r="R22" s="402"/>
      <c r="S22" s="402"/>
      <c r="T22" s="402"/>
      <c r="U22" s="402"/>
      <c r="V22" s="402"/>
      <c r="W22" s="402"/>
      <c r="X22" s="313"/>
    </row>
    <row r="23" spans="2:24" s="10" customFormat="1" ht="15.95" customHeight="1" x14ac:dyDescent="0.25">
      <c r="C23" s="28">
        <f>W9</f>
        <v>272900</v>
      </c>
      <c r="D23" s="84" t="s">
        <v>1504</v>
      </c>
      <c r="E23" s="28">
        <f>E15</f>
        <v>94120</v>
      </c>
      <c r="F23" s="84" t="s">
        <v>329</v>
      </c>
      <c r="G23" s="28">
        <f>W14</f>
        <v>35500</v>
      </c>
      <c r="H23" s="14" t="s">
        <v>111</v>
      </c>
      <c r="I23" s="10" t="s">
        <v>951</v>
      </c>
      <c r="L23" s="313"/>
      <c r="M23" s="410">
        <f>W9</f>
        <v>272900</v>
      </c>
      <c r="N23" s="410" t="s">
        <v>1588</v>
      </c>
      <c r="O23" s="410">
        <f>Q14</f>
        <v>94120</v>
      </c>
      <c r="P23" s="410" t="s">
        <v>1589</v>
      </c>
      <c r="Q23" s="410">
        <f>W14</f>
        <v>35500</v>
      </c>
      <c r="R23" s="410" t="s">
        <v>1587</v>
      </c>
      <c r="S23" s="410">
        <f>SUM(M23+O23-Q23)</f>
        <v>331520</v>
      </c>
      <c r="T23" s="402"/>
      <c r="U23" s="402"/>
      <c r="V23" s="402"/>
      <c r="W23" s="447"/>
      <c r="X23" s="313"/>
    </row>
    <row r="24" spans="2:24" s="10" customFormat="1" ht="15.95" customHeight="1" x14ac:dyDescent="0.25">
      <c r="C24" s="28"/>
      <c r="D24" s="84"/>
      <c r="E24" s="28"/>
      <c r="F24" s="84"/>
      <c r="G24" s="28"/>
      <c r="H24" s="14"/>
      <c r="I24" s="10" t="s">
        <v>937</v>
      </c>
      <c r="L24" s="313"/>
      <c r="M24" s="402"/>
      <c r="N24" s="402"/>
      <c r="O24" s="402"/>
      <c r="P24" s="402"/>
      <c r="Q24" s="402"/>
      <c r="R24" s="402"/>
      <c r="S24" s="402"/>
      <c r="T24" s="402"/>
      <c r="U24" s="402"/>
      <c r="V24" s="402"/>
      <c r="W24" s="447"/>
      <c r="X24" s="313"/>
    </row>
    <row r="25" spans="2:24" s="10" customFormat="1" ht="15.95" customHeight="1" x14ac:dyDescent="0.25">
      <c r="I25" s="10" t="s">
        <v>1505</v>
      </c>
      <c r="L25" s="313"/>
      <c r="M25" s="402"/>
      <c r="N25" s="402"/>
      <c r="O25" s="402"/>
      <c r="P25" s="402"/>
      <c r="Q25" s="402"/>
      <c r="R25" s="402"/>
      <c r="S25" s="402"/>
      <c r="T25" s="402"/>
      <c r="U25" s="402"/>
      <c r="V25" s="402"/>
      <c r="W25" s="402"/>
      <c r="X25" s="313"/>
    </row>
    <row r="26" spans="2:24" s="10" customFormat="1" ht="15.95" customHeight="1" x14ac:dyDescent="0.25">
      <c r="C26" s="10" t="s">
        <v>1032</v>
      </c>
      <c r="F26" s="14" t="s">
        <v>111</v>
      </c>
      <c r="G26" s="28">
        <f>C23+E23-G23</f>
        <v>331520</v>
      </c>
      <c r="L26" s="313"/>
      <c r="M26" s="402"/>
      <c r="N26" s="402"/>
      <c r="O26" s="402"/>
      <c r="P26" s="402"/>
      <c r="Q26" s="402"/>
      <c r="R26" s="402"/>
      <c r="S26" s="402"/>
      <c r="T26" s="402"/>
      <c r="U26" s="402"/>
      <c r="V26" s="402"/>
      <c r="W26" s="402"/>
      <c r="X26" s="313"/>
    </row>
    <row r="27" spans="2:24" s="10" customFormat="1" ht="9.9499999999999993" customHeight="1" x14ac:dyDescent="0.25">
      <c r="L27" s="313"/>
      <c r="M27" s="402"/>
      <c r="N27" s="402"/>
      <c r="O27" s="402"/>
      <c r="P27" s="402"/>
      <c r="Q27" s="402"/>
      <c r="R27" s="402"/>
      <c r="S27" s="402"/>
      <c r="T27" s="402"/>
      <c r="U27" s="402"/>
      <c r="V27" s="402"/>
      <c r="W27" s="402"/>
      <c r="X27" s="313"/>
    </row>
    <row r="28" spans="2:24" s="10" customFormat="1" ht="15.95" customHeight="1" x14ac:dyDescent="0.25">
      <c r="B28" s="11" t="s">
        <v>1509</v>
      </c>
      <c r="C28" s="10" t="s">
        <v>909</v>
      </c>
      <c r="D28" s="14" t="s">
        <v>111</v>
      </c>
      <c r="E28" s="10" t="s">
        <v>1491</v>
      </c>
      <c r="F28" s="14" t="s">
        <v>1504</v>
      </c>
      <c r="G28" s="10" t="s">
        <v>945</v>
      </c>
      <c r="L28" s="313"/>
      <c r="M28" s="402"/>
      <c r="N28" s="402"/>
      <c r="O28" s="402"/>
      <c r="P28" s="402"/>
      <c r="Q28" s="402"/>
      <c r="R28" s="402"/>
      <c r="S28" s="402"/>
      <c r="T28" s="402"/>
      <c r="U28" s="402"/>
      <c r="V28" s="402"/>
      <c r="W28" s="402"/>
      <c r="X28" s="313"/>
    </row>
    <row r="29" spans="2:24" s="10" customFormat="1" ht="15.95" customHeight="1" x14ac:dyDescent="0.25">
      <c r="G29" s="10" t="s">
        <v>1033</v>
      </c>
      <c r="L29" s="313"/>
      <c r="M29" s="402"/>
      <c r="N29" s="412" t="s">
        <v>794</v>
      </c>
      <c r="O29" s="402"/>
      <c r="P29" s="402"/>
      <c r="Q29" s="402"/>
      <c r="R29" s="402"/>
      <c r="S29" s="402"/>
      <c r="T29" s="402"/>
      <c r="U29" s="402"/>
      <c r="V29" s="402"/>
      <c r="W29" s="402"/>
      <c r="X29" s="313"/>
    </row>
    <row r="30" spans="2:24" s="10" customFormat="1" ht="15.95" customHeight="1" x14ac:dyDescent="0.25">
      <c r="C30" s="28">
        <f>'1-38'!W8</f>
        <v>758150</v>
      </c>
      <c r="D30" s="14" t="s">
        <v>111</v>
      </c>
      <c r="E30" s="10" t="s">
        <v>1491</v>
      </c>
      <c r="F30" s="14" t="s">
        <v>1504</v>
      </c>
      <c r="G30" s="28">
        <f>G26</f>
        <v>331520</v>
      </c>
      <c r="L30" s="313"/>
      <c r="M30" s="410">
        <f>W8</f>
        <v>758150</v>
      </c>
      <c r="N30" s="410" t="s">
        <v>1589</v>
      </c>
      <c r="O30" s="410">
        <f>S23</f>
        <v>331520</v>
      </c>
      <c r="P30" s="410" t="s">
        <v>1587</v>
      </c>
      <c r="Q30" s="410">
        <f>SUM(M30-O30)</f>
        <v>426630</v>
      </c>
      <c r="R30" s="402"/>
      <c r="S30" s="402"/>
      <c r="T30" s="402"/>
      <c r="U30" s="402"/>
      <c r="V30" s="402"/>
      <c r="W30" s="402"/>
      <c r="X30" s="313"/>
    </row>
    <row r="31" spans="2:24" s="10" customFormat="1" ht="15.95" customHeight="1" x14ac:dyDescent="0.25">
      <c r="C31" s="10" t="s">
        <v>1491</v>
      </c>
      <c r="D31" s="14" t="s">
        <v>111</v>
      </c>
      <c r="E31" s="28">
        <f>C30-G30</f>
        <v>426630</v>
      </c>
      <c r="L31" s="313"/>
      <c r="M31" s="402"/>
      <c r="N31" s="402"/>
      <c r="O31" s="402"/>
      <c r="P31" s="402"/>
      <c r="Q31" s="402"/>
      <c r="R31" s="402"/>
      <c r="S31" s="402"/>
      <c r="T31" s="402"/>
      <c r="U31" s="402"/>
      <c r="V31" s="402"/>
      <c r="W31" s="402"/>
      <c r="X31" s="313"/>
    </row>
    <row r="32" spans="2:24" s="10" customFormat="1" ht="5.0999999999999996" customHeight="1" x14ac:dyDescent="0.25">
      <c r="L32" s="313"/>
      <c r="M32" s="402"/>
      <c r="N32" s="402"/>
      <c r="O32" s="402"/>
      <c r="P32" s="402"/>
      <c r="Q32" s="402"/>
      <c r="R32" s="402"/>
      <c r="S32" s="402"/>
      <c r="T32" s="402"/>
      <c r="U32" s="402"/>
      <c r="V32" s="402"/>
      <c r="W32" s="402"/>
      <c r="X32" s="313"/>
    </row>
    <row r="33" spans="12:24" s="10" customFormat="1" ht="15.95" customHeight="1" x14ac:dyDescent="0.25">
      <c r="L33" s="313"/>
      <c r="M33" s="402"/>
      <c r="N33" s="402"/>
      <c r="O33" s="402"/>
      <c r="P33" s="402"/>
      <c r="Q33" s="402"/>
      <c r="R33" s="402"/>
      <c r="S33" s="402"/>
      <c r="T33" s="402"/>
      <c r="U33" s="402"/>
      <c r="V33" s="402"/>
      <c r="W33" s="402"/>
      <c r="X33" s="313"/>
    </row>
    <row r="34" spans="12:24" s="10" customFormat="1" ht="15.95" customHeight="1" x14ac:dyDescent="0.25">
      <c r="L34" s="313"/>
      <c r="M34" s="402"/>
      <c r="N34" s="402"/>
      <c r="O34" s="402"/>
      <c r="P34" s="402"/>
      <c r="Q34" s="402"/>
      <c r="R34" s="402"/>
      <c r="S34" s="402"/>
      <c r="T34" s="402"/>
      <c r="U34" s="402"/>
      <c r="V34" s="402"/>
      <c r="W34" s="402"/>
      <c r="X34" s="313"/>
    </row>
    <row r="35" spans="12:24" s="10" customFormat="1" ht="15.95" customHeight="1" x14ac:dyDescent="0.25">
      <c r="L35" s="313"/>
      <c r="M35" s="402"/>
      <c r="N35" s="402"/>
      <c r="O35" s="402"/>
      <c r="P35" s="402"/>
      <c r="Q35" s="402"/>
      <c r="R35" s="402"/>
      <c r="S35" s="402"/>
      <c r="T35" s="402"/>
      <c r="U35" s="402"/>
      <c r="V35" s="402"/>
      <c r="W35" s="402"/>
      <c r="X35" s="313"/>
    </row>
    <row r="36" spans="12:24" s="10" customFormat="1" ht="15.95" customHeight="1" x14ac:dyDescent="0.25">
      <c r="L36" s="313"/>
      <c r="M36" s="402"/>
      <c r="N36" s="402"/>
      <c r="O36" s="402"/>
      <c r="P36" s="402"/>
      <c r="Q36" s="402"/>
      <c r="R36" s="402"/>
      <c r="S36" s="402"/>
      <c r="T36" s="402"/>
      <c r="U36" s="402"/>
      <c r="V36" s="402"/>
      <c r="W36" s="402"/>
      <c r="X36" s="313"/>
    </row>
    <row r="37" spans="12:24" s="10" customFormat="1" ht="15.95" customHeight="1" x14ac:dyDescent="0.25">
      <c r="L37" s="313"/>
      <c r="M37" s="402"/>
      <c r="N37" s="402"/>
      <c r="O37" s="402"/>
      <c r="P37" s="402"/>
      <c r="Q37" s="402"/>
      <c r="R37" s="402"/>
      <c r="S37" s="402"/>
      <c r="T37" s="402"/>
      <c r="U37" s="402"/>
      <c r="V37" s="402"/>
      <c r="W37" s="402"/>
      <c r="X37" s="313"/>
    </row>
    <row r="38" spans="12:24" s="10" customFormat="1" ht="15.95" customHeight="1" x14ac:dyDescent="0.25">
      <c r="L38" s="313"/>
      <c r="M38" s="402"/>
      <c r="N38" s="402"/>
      <c r="O38" s="402"/>
      <c r="P38" s="402"/>
      <c r="Q38" s="402"/>
      <c r="R38" s="402"/>
      <c r="S38" s="402"/>
      <c r="T38" s="402"/>
      <c r="U38" s="402"/>
      <c r="V38" s="402"/>
      <c r="W38" s="402"/>
      <c r="X38" s="313"/>
    </row>
    <row r="39" spans="12:24" s="10" customFormat="1" ht="15.95" customHeight="1" x14ac:dyDescent="0.25">
      <c r="L39" s="313"/>
      <c r="M39" s="402"/>
      <c r="N39" s="402"/>
      <c r="O39" s="402"/>
      <c r="P39" s="402"/>
      <c r="Q39" s="402"/>
      <c r="R39" s="402"/>
      <c r="S39" s="402"/>
      <c r="T39" s="402"/>
      <c r="U39" s="402"/>
      <c r="V39" s="402"/>
      <c r="W39" s="402"/>
      <c r="X39" s="313"/>
    </row>
    <row r="40" spans="12:24" ht="15.95" customHeight="1" x14ac:dyDescent="0.2"/>
    <row r="41" spans="12:24" ht="15.95" customHeight="1" x14ac:dyDescent="0.2"/>
    <row r="42" spans="12:24" ht="15.95" customHeight="1" x14ac:dyDescent="0.2"/>
    <row r="43" spans="12:24" ht="15.95" customHeight="1" x14ac:dyDescent="0.2"/>
    <row r="44" spans="12:24" ht="15.95" customHeight="1" x14ac:dyDescent="0.2"/>
    <row r="45" spans="12:24" ht="15.95" customHeight="1" x14ac:dyDescent="0.2"/>
    <row r="46" spans="12:24" ht="15.95" customHeight="1" x14ac:dyDescent="0.2"/>
  </sheetData>
  <customSheetViews>
    <customSheetView guid="{B2DDA8C4-3089-41F7-BA6E-A0E09596A2CA}" scale="80" showPageBreaks="1" fitToPage="1" printArea="1">
      <selection activeCell="B2" sqref="B2"/>
      <pageMargins left="0.75" right="1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B2" sqref="B2"/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2" sqref="B2"/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2" sqref="B2"/>
      <pageMargins left="0.75" right="1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2" sqref="B2"/>
      <pageMargins left="0.75" right="1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drawing r:id="rId7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3"/>
  <sheetViews>
    <sheetView zoomScale="70" zoomScaleNormal="70" workbookViewId="0"/>
  </sheetViews>
  <sheetFormatPr defaultRowHeight="12.75" x14ac:dyDescent="0.2"/>
  <cols>
    <col min="1" max="1" width="1.7109375" style="2" customWidth="1"/>
    <col min="2" max="2" width="4.7109375" style="2" customWidth="1"/>
    <col min="3" max="3" width="16.85546875" style="2" customWidth="1"/>
    <col min="4" max="4" width="4.7109375" style="2" customWidth="1"/>
    <col min="5" max="5" width="14.140625" style="2" customWidth="1"/>
    <col min="6" max="6" width="4.7109375" style="2" customWidth="1"/>
    <col min="7" max="7" width="14.5703125" style="2" customWidth="1"/>
    <col min="8" max="8" width="2" style="2" customWidth="1"/>
    <col min="9" max="9" width="11.28515625" style="2" customWidth="1"/>
    <col min="10" max="10" width="1.7109375" style="2" customWidth="1"/>
    <col min="11" max="11" width="11.42578125" style="2" customWidth="1"/>
    <col min="12" max="12" width="2.7109375" style="2" customWidth="1"/>
    <col min="13" max="13" width="9.140625" style="312"/>
    <col min="14" max="14" width="2.7109375" style="312" customWidth="1"/>
    <col min="15" max="15" width="0" style="407" hidden="1" customWidth="1"/>
    <col min="16" max="16" width="2.7109375" style="407" hidden="1" customWidth="1"/>
    <col min="17" max="17" width="0" style="407" hidden="1" customWidth="1"/>
    <col min="18" max="18" width="2.7109375" style="312" customWidth="1"/>
    <col min="19" max="19" width="9.140625" style="312"/>
    <col min="20" max="20" width="2.7109375" style="2" customWidth="1"/>
    <col min="21" max="21" width="9.140625" style="2"/>
    <col min="22" max="22" width="2.7109375" style="2" customWidth="1"/>
    <col min="23" max="23" width="8.7109375" style="2" customWidth="1"/>
    <col min="24" max="24" width="14" style="2" bestFit="1" customWidth="1"/>
    <col min="25" max="16384" width="9.140625" style="2"/>
  </cols>
  <sheetData>
    <row r="1" spans="2:23" ht="28.5" customHeight="1" x14ac:dyDescent="0.2"/>
    <row r="2" spans="2:23" s="10" customFormat="1" ht="15.95" customHeight="1" x14ac:dyDescent="0.25">
      <c r="B2" s="26" t="s">
        <v>1196</v>
      </c>
      <c r="C2" s="26"/>
      <c r="D2" s="26"/>
      <c r="E2" s="26"/>
      <c r="F2" s="26"/>
      <c r="G2" s="26"/>
      <c r="H2" s="26"/>
      <c r="I2" s="26"/>
      <c r="J2" s="26"/>
      <c r="K2" s="26"/>
      <c r="M2" s="313"/>
      <c r="N2" s="313"/>
      <c r="O2" s="402"/>
      <c r="P2" s="402"/>
      <c r="Q2" s="402"/>
      <c r="R2" s="313"/>
      <c r="S2" s="313"/>
    </row>
    <row r="3" spans="2:23" s="10" customFormat="1" ht="5.0999999999999996" customHeight="1" x14ac:dyDescent="0.25">
      <c r="B3" s="39"/>
      <c r="C3" s="39"/>
      <c r="D3" s="39"/>
      <c r="E3" s="39"/>
      <c r="F3" s="39"/>
      <c r="G3" s="39"/>
      <c r="H3" s="39"/>
      <c r="I3" s="39"/>
      <c r="J3" s="39"/>
      <c r="K3" s="39"/>
      <c r="M3" s="313"/>
      <c r="N3" s="313"/>
      <c r="O3" s="402"/>
      <c r="P3" s="402"/>
      <c r="Q3" s="402"/>
      <c r="R3" s="313"/>
      <c r="S3" s="313"/>
    </row>
    <row r="4" spans="2:23" s="10" customFormat="1" ht="15.95" customHeight="1" x14ac:dyDescent="0.25">
      <c r="B4" s="363" t="s">
        <v>1034</v>
      </c>
      <c r="C4" s="363"/>
      <c r="D4" s="363"/>
      <c r="E4" s="363"/>
      <c r="F4" s="363"/>
      <c r="G4" s="363"/>
      <c r="H4" s="363"/>
      <c r="I4" s="363"/>
      <c r="J4" s="363"/>
      <c r="K4" s="363"/>
      <c r="M4" s="313"/>
      <c r="N4" s="313"/>
      <c r="O4" s="402"/>
      <c r="P4" s="402"/>
      <c r="Q4" s="402"/>
      <c r="R4" s="313"/>
      <c r="S4" s="313"/>
    </row>
    <row r="5" spans="2:23" s="10" customFormat="1" ht="15.95" customHeight="1" x14ac:dyDescent="0.25">
      <c r="B5" s="363" t="s">
        <v>467</v>
      </c>
      <c r="C5" s="363"/>
      <c r="D5" s="363"/>
      <c r="E5" s="363"/>
      <c r="F5" s="363"/>
      <c r="G5" s="363"/>
      <c r="H5" s="363"/>
      <c r="I5" s="363"/>
      <c r="J5" s="363"/>
      <c r="K5" s="363"/>
      <c r="M5" s="313"/>
      <c r="N5" s="313"/>
      <c r="O5" s="402"/>
      <c r="P5" s="402"/>
      <c r="Q5" s="402"/>
      <c r="R5" s="218"/>
      <c r="S5" s="218"/>
      <c r="T5" s="26"/>
      <c r="U5" s="26"/>
      <c r="V5" s="26"/>
      <c r="W5" s="26"/>
    </row>
    <row r="6" spans="2:23" s="10" customFormat="1" ht="15.95" customHeight="1" x14ac:dyDescent="0.25">
      <c r="B6" s="372" t="s">
        <v>1118</v>
      </c>
      <c r="C6" s="372"/>
      <c r="D6" s="372"/>
      <c r="E6" s="372"/>
      <c r="F6" s="372"/>
      <c r="G6" s="372"/>
      <c r="H6" s="372"/>
      <c r="I6" s="372"/>
      <c r="J6" s="372"/>
      <c r="K6" s="372"/>
      <c r="M6" s="313"/>
      <c r="N6" s="313"/>
      <c r="O6" s="402"/>
      <c r="P6" s="402"/>
      <c r="Q6" s="402"/>
      <c r="R6" s="218"/>
      <c r="S6" s="314"/>
      <c r="T6" s="20"/>
      <c r="U6" s="20"/>
      <c r="V6" s="20"/>
      <c r="W6" s="26"/>
    </row>
    <row r="7" spans="2:23" s="10" customFormat="1" ht="5.0999999999999996" customHeight="1" x14ac:dyDescent="0.25">
      <c r="M7" s="313"/>
      <c r="N7" s="313"/>
      <c r="O7" s="402"/>
      <c r="P7" s="402"/>
      <c r="Q7" s="402"/>
      <c r="R7" s="218"/>
      <c r="S7" s="313"/>
      <c r="T7" s="26"/>
      <c r="U7" s="26"/>
    </row>
    <row r="8" spans="2:23" s="10" customFormat="1" ht="15.95" customHeight="1" x14ac:dyDescent="0.25">
      <c r="B8" s="10" t="s">
        <v>469</v>
      </c>
      <c r="G8" s="83"/>
      <c r="H8" s="25"/>
      <c r="I8" s="25"/>
      <c r="J8" s="25"/>
      <c r="M8" s="313"/>
      <c r="N8" s="313"/>
      <c r="O8" s="402"/>
      <c r="P8" s="402"/>
      <c r="Q8" s="418" t="s">
        <v>1682</v>
      </c>
      <c r="R8" s="218"/>
      <c r="S8" s="313"/>
      <c r="T8" s="26"/>
    </row>
    <row r="9" spans="2:23" s="10" customFormat="1" ht="15.95" customHeight="1" x14ac:dyDescent="0.25">
      <c r="B9" s="69" t="s">
        <v>184</v>
      </c>
      <c r="H9" s="10" t="s">
        <v>337</v>
      </c>
      <c r="I9" s="41">
        <f>Q9</f>
        <v>763400</v>
      </c>
      <c r="J9" s="25"/>
      <c r="K9" s="25"/>
      <c r="M9" s="313"/>
      <c r="N9" s="313"/>
      <c r="O9" s="402"/>
      <c r="P9" s="405" t="s">
        <v>804</v>
      </c>
      <c r="Q9" s="409">
        <v>763400</v>
      </c>
      <c r="R9" s="218"/>
      <c r="S9" s="313"/>
      <c r="T9" s="26"/>
    </row>
    <row r="10" spans="2:23" s="10" customFormat="1" ht="15.95" customHeight="1" x14ac:dyDescent="0.25">
      <c r="B10" s="69" t="s">
        <v>185</v>
      </c>
      <c r="H10" s="10" t="s">
        <v>337</v>
      </c>
      <c r="I10" s="53">
        <f>Q10</f>
        <v>5475</v>
      </c>
      <c r="J10" s="25"/>
      <c r="K10" s="25"/>
      <c r="M10" s="313"/>
      <c r="N10" s="313"/>
      <c r="O10" s="402"/>
      <c r="P10" s="405" t="s">
        <v>38</v>
      </c>
      <c r="Q10" s="409">
        <v>5475</v>
      </c>
      <c r="R10" s="218"/>
      <c r="S10" s="313"/>
      <c r="T10" s="26"/>
    </row>
    <row r="11" spans="2:23" s="10" customFormat="1" ht="15.95" customHeight="1" x14ac:dyDescent="0.25">
      <c r="B11" s="158" t="s">
        <v>186</v>
      </c>
      <c r="H11" s="10" t="s">
        <v>337</v>
      </c>
      <c r="I11" s="83" t="s">
        <v>337</v>
      </c>
      <c r="J11" s="25"/>
      <c r="K11" s="17">
        <f>SUM(I9:I10)</f>
        <v>768875</v>
      </c>
      <c r="M11" s="313"/>
      <c r="N11" s="313"/>
      <c r="O11" s="402"/>
      <c r="P11" s="402"/>
      <c r="Q11" s="402"/>
      <c r="R11" s="218"/>
      <c r="S11" s="313"/>
      <c r="T11" s="26"/>
    </row>
    <row r="12" spans="2:23" s="10" customFormat="1" ht="15.95" customHeight="1" x14ac:dyDescent="0.25">
      <c r="B12" s="10" t="s">
        <v>719</v>
      </c>
      <c r="I12" s="83"/>
      <c r="J12" s="25"/>
      <c r="K12" s="25"/>
      <c r="M12" s="313"/>
      <c r="N12" s="313"/>
      <c r="O12" s="402"/>
      <c r="P12" s="402"/>
      <c r="Q12" s="402"/>
      <c r="R12" s="218"/>
      <c r="S12" s="313"/>
      <c r="T12" s="26"/>
    </row>
    <row r="13" spans="2:23" s="10" customFormat="1" ht="15.95" customHeight="1" x14ac:dyDescent="0.25">
      <c r="B13" s="69" t="s">
        <v>1539</v>
      </c>
      <c r="H13" s="10" t="s">
        <v>337</v>
      </c>
      <c r="I13" s="41">
        <f t="shared" ref="I13:I18" si="0">Q13</f>
        <v>222900</v>
      </c>
      <c r="J13" s="25"/>
      <c r="K13" s="25"/>
      <c r="M13" s="313"/>
      <c r="N13" s="313"/>
      <c r="O13" s="402"/>
      <c r="P13" s="405" t="s">
        <v>1611</v>
      </c>
      <c r="Q13" s="409">
        <v>222900</v>
      </c>
      <c r="R13" s="218"/>
      <c r="S13" s="313"/>
      <c r="T13" s="26"/>
    </row>
    <row r="14" spans="2:23" s="10" customFormat="1" ht="15.95" customHeight="1" x14ac:dyDescent="0.25">
      <c r="B14" s="69" t="s">
        <v>1540</v>
      </c>
      <c r="H14" s="10" t="s">
        <v>337</v>
      </c>
      <c r="I14" s="78">
        <f t="shared" si="0"/>
        <v>135000</v>
      </c>
      <c r="J14" s="25"/>
      <c r="K14" s="25"/>
      <c r="M14" s="313"/>
      <c r="N14" s="313"/>
      <c r="O14" s="402"/>
      <c r="P14" s="405" t="s">
        <v>961</v>
      </c>
      <c r="Q14" s="409">
        <v>135000</v>
      </c>
      <c r="R14" s="218"/>
      <c r="S14" s="313"/>
      <c r="T14" s="26"/>
    </row>
    <row r="15" spans="2:23" s="10" customFormat="1" ht="15.95" customHeight="1" x14ac:dyDescent="0.25">
      <c r="B15" s="69" t="s">
        <v>1541</v>
      </c>
      <c r="H15" s="10" t="s">
        <v>337</v>
      </c>
      <c r="I15" s="78">
        <f t="shared" si="0"/>
        <v>109300</v>
      </c>
      <c r="J15" s="25"/>
      <c r="K15" s="25"/>
      <c r="M15" s="313"/>
      <c r="N15" s="313"/>
      <c r="O15" s="402"/>
      <c r="P15" s="405" t="s">
        <v>1613</v>
      </c>
      <c r="Q15" s="409">
        <v>109300</v>
      </c>
      <c r="R15" s="218"/>
      <c r="S15" s="218"/>
      <c r="T15" s="26"/>
      <c r="U15" s="26"/>
      <c r="V15" s="209"/>
    </row>
    <row r="16" spans="2:23" s="10" customFormat="1" ht="15.95" customHeight="1" x14ac:dyDescent="0.25">
      <c r="B16" s="69" t="s">
        <v>1542</v>
      </c>
      <c r="H16" s="10" t="s">
        <v>337</v>
      </c>
      <c r="I16" s="78">
        <f t="shared" si="0"/>
        <v>65850</v>
      </c>
      <c r="J16" s="25"/>
      <c r="K16" s="25"/>
      <c r="M16" s="313"/>
      <c r="N16" s="313"/>
      <c r="O16" s="402"/>
      <c r="P16" s="405" t="s">
        <v>1612</v>
      </c>
      <c r="Q16" s="409">
        <v>65850</v>
      </c>
      <c r="R16" s="313"/>
      <c r="S16" s="313"/>
    </row>
    <row r="17" spans="2:19" s="10" customFormat="1" ht="15.95" customHeight="1" x14ac:dyDescent="0.25">
      <c r="B17" s="69" t="s">
        <v>1544</v>
      </c>
      <c r="H17" s="10" t="s">
        <v>337</v>
      </c>
      <c r="I17" s="78">
        <f t="shared" si="0"/>
        <v>31000</v>
      </c>
      <c r="J17" s="25"/>
      <c r="K17" s="25"/>
      <c r="M17" s="313"/>
      <c r="N17" s="313"/>
      <c r="O17" s="402"/>
      <c r="P17" s="405" t="s">
        <v>966</v>
      </c>
      <c r="Q17" s="409">
        <v>31000</v>
      </c>
      <c r="R17" s="313"/>
      <c r="S17" s="313"/>
    </row>
    <row r="18" spans="2:19" s="10" customFormat="1" ht="15.95" customHeight="1" x14ac:dyDescent="0.25">
      <c r="B18" s="69" t="s">
        <v>1543</v>
      </c>
      <c r="H18" s="10" t="s">
        <v>337</v>
      </c>
      <c r="I18" s="53">
        <f t="shared" si="0"/>
        <v>61400</v>
      </c>
      <c r="J18" s="25"/>
      <c r="K18" s="25"/>
      <c r="M18" s="313"/>
      <c r="N18" s="313"/>
      <c r="O18" s="402"/>
      <c r="P18" s="405" t="s">
        <v>1614</v>
      </c>
      <c r="Q18" s="409">
        <v>61400</v>
      </c>
      <c r="R18" s="313"/>
      <c r="S18" s="313"/>
    </row>
    <row r="19" spans="2:19" s="10" customFormat="1" ht="15.95" customHeight="1" x14ac:dyDescent="0.25">
      <c r="B19" s="158" t="s">
        <v>1545</v>
      </c>
      <c r="H19" s="10" t="s">
        <v>337</v>
      </c>
      <c r="I19" s="83" t="s">
        <v>337</v>
      </c>
      <c r="J19" s="25"/>
      <c r="K19" s="46">
        <f>SUM(I13:I18)</f>
        <v>625450</v>
      </c>
      <c r="M19" s="313"/>
      <c r="N19" s="313"/>
      <c r="O19" s="402"/>
      <c r="P19" s="402"/>
      <c r="Q19" s="402"/>
      <c r="R19" s="313"/>
      <c r="S19" s="313"/>
    </row>
    <row r="20" spans="2:19" s="10" customFormat="1" ht="15.95" customHeight="1" thickBot="1" x14ac:dyDescent="0.3">
      <c r="B20" s="10" t="s">
        <v>1615</v>
      </c>
      <c r="H20" s="10" t="s">
        <v>337</v>
      </c>
      <c r="I20" s="83" t="s">
        <v>337</v>
      </c>
      <c r="J20" s="25"/>
      <c r="K20" s="47">
        <f>K11-K19</f>
        <v>143425</v>
      </c>
      <c r="M20" s="313"/>
      <c r="N20" s="313"/>
      <c r="O20" s="402"/>
      <c r="P20" s="402"/>
      <c r="Q20" s="402"/>
      <c r="R20" s="313"/>
      <c r="S20" s="313"/>
    </row>
    <row r="21" spans="2:19" s="10" customFormat="1" ht="5.0999999999999996" customHeight="1" thickTop="1" x14ac:dyDescent="0.25">
      <c r="M21" s="313"/>
      <c r="N21" s="313"/>
      <c r="O21" s="402"/>
      <c r="P21" s="402"/>
      <c r="Q21" s="402"/>
      <c r="R21" s="313"/>
      <c r="S21" s="313"/>
    </row>
    <row r="22" spans="2:19" s="10" customFormat="1" ht="15.95" customHeight="1" x14ac:dyDescent="0.25">
      <c r="M22" s="313"/>
      <c r="N22" s="313"/>
      <c r="O22" s="402"/>
      <c r="P22" s="402"/>
      <c r="Q22" s="402"/>
      <c r="R22" s="313"/>
      <c r="S22" s="313"/>
    </row>
    <row r="23" spans="2:19" s="10" customFormat="1" ht="15.95" customHeight="1" x14ac:dyDescent="0.25">
      <c r="M23" s="313"/>
      <c r="N23" s="313"/>
      <c r="O23" s="402"/>
      <c r="P23" s="402"/>
      <c r="Q23" s="402"/>
      <c r="R23" s="313"/>
      <c r="S23" s="313"/>
    </row>
    <row r="24" spans="2:19" s="10" customFormat="1" ht="15.95" customHeight="1" x14ac:dyDescent="0.25">
      <c r="M24" s="313"/>
      <c r="N24" s="313"/>
      <c r="O24" s="402"/>
      <c r="P24" s="402"/>
      <c r="Q24" s="402"/>
      <c r="R24" s="313"/>
      <c r="S24" s="313"/>
    </row>
    <row r="25" spans="2:19" s="10" customFormat="1" ht="15.95" customHeight="1" x14ac:dyDescent="0.25">
      <c r="M25" s="313"/>
      <c r="N25" s="313"/>
      <c r="O25" s="402"/>
      <c r="P25" s="402"/>
      <c r="Q25" s="402"/>
      <c r="R25" s="313"/>
      <c r="S25" s="313"/>
    </row>
    <row r="26" spans="2:19" s="10" customFormat="1" ht="15.95" customHeight="1" x14ac:dyDescent="0.25">
      <c r="M26" s="313"/>
      <c r="N26" s="313"/>
      <c r="O26" s="402"/>
      <c r="P26" s="402"/>
      <c r="Q26" s="402"/>
      <c r="R26" s="313"/>
      <c r="S26" s="313"/>
    </row>
    <row r="27" spans="2:19" s="10" customFormat="1" ht="15" customHeight="1" x14ac:dyDescent="0.25">
      <c r="M27" s="313"/>
      <c r="N27" s="313"/>
      <c r="O27" s="402"/>
      <c r="P27" s="402"/>
      <c r="Q27" s="402"/>
      <c r="R27" s="313"/>
      <c r="S27" s="313"/>
    </row>
    <row r="28" spans="2:19" s="10" customFormat="1" ht="15" customHeight="1" x14ac:dyDescent="0.25">
      <c r="M28" s="313"/>
      <c r="N28" s="313"/>
      <c r="O28" s="402"/>
      <c r="P28" s="402"/>
      <c r="Q28" s="402"/>
      <c r="R28" s="313"/>
      <c r="S28" s="313"/>
    </row>
    <row r="29" spans="2:19" s="10" customFormat="1" ht="15" customHeight="1" x14ac:dyDescent="0.25">
      <c r="M29" s="313"/>
      <c r="N29" s="313"/>
      <c r="O29" s="402"/>
      <c r="P29" s="402"/>
      <c r="Q29" s="402"/>
      <c r="R29" s="313"/>
      <c r="S29" s="313"/>
    </row>
    <row r="30" spans="2:19" s="10" customFormat="1" ht="15" customHeight="1" x14ac:dyDescent="0.25">
      <c r="M30" s="313"/>
      <c r="N30" s="313"/>
      <c r="O30" s="402"/>
      <c r="P30" s="402"/>
      <c r="Q30" s="402"/>
      <c r="R30" s="313"/>
      <c r="S30" s="313"/>
    </row>
    <row r="31" spans="2:19" s="10" customFormat="1" ht="15" customHeight="1" x14ac:dyDescent="0.25">
      <c r="M31" s="313"/>
      <c r="N31" s="313"/>
      <c r="O31" s="402"/>
      <c r="P31" s="402"/>
      <c r="Q31" s="402"/>
      <c r="R31" s="313"/>
      <c r="S31" s="313"/>
    </row>
    <row r="32" spans="2:19" s="10" customFormat="1" ht="15" customHeight="1" x14ac:dyDescent="0.25">
      <c r="M32" s="313"/>
      <c r="N32" s="313"/>
      <c r="O32" s="402"/>
      <c r="P32" s="402"/>
      <c r="Q32" s="402"/>
      <c r="R32" s="313"/>
      <c r="S32" s="313"/>
    </row>
    <row r="33" spans="13:19" s="10" customFormat="1" ht="15" customHeight="1" x14ac:dyDescent="0.25">
      <c r="M33" s="313"/>
      <c r="N33" s="313"/>
      <c r="O33" s="402"/>
      <c r="P33" s="402"/>
      <c r="Q33" s="402"/>
      <c r="R33" s="313"/>
      <c r="S33" s="313"/>
    </row>
  </sheetData>
  <customSheetViews>
    <customSheetView guid="{B2DDA8C4-3089-41F7-BA6E-A0E09596A2CA}" scale="80" showPageBreaks="1" fitToPage="1" printArea="1">
      <selection activeCell="Q1" sqref="A1:Q65536"/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Q1" sqref="A1:Q65536"/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">
    <mergeCell ref="B4:K4"/>
    <mergeCell ref="B5:K5"/>
    <mergeCell ref="B6:K6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="70" zoomScaleNormal="70" workbookViewId="0"/>
  </sheetViews>
  <sheetFormatPr defaultRowHeight="12.75" x14ac:dyDescent="0.2"/>
  <cols>
    <col min="1" max="1" width="1.7109375" style="2" customWidth="1"/>
    <col min="2" max="4" width="4.7109375" style="2" customWidth="1"/>
    <col min="5" max="5" width="10.7109375" style="2" customWidth="1"/>
    <col min="6" max="6" width="11.7109375" style="2" customWidth="1"/>
    <col min="7" max="7" width="10.7109375" style="2" customWidth="1"/>
    <col min="8" max="8" width="9.85546875" style="2" customWidth="1"/>
    <col min="9" max="9" width="22.28515625" style="2" customWidth="1"/>
    <col min="10" max="10" width="6.85546875" style="2" customWidth="1"/>
    <col min="11" max="11" width="5.7109375" style="2" customWidth="1"/>
    <col min="12" max="12" width="6.7109375" style="2" customWidth="1"/>
    <col min="13" max="16384" width="9.140625" style="2"/>
  </cols>
  <sheetData>
    <row r="1" spans="1:10" ht="28.5" customHeight="1" x14ac:dyDescent="0.2">
      <c r="A1" s="6"/>
      <c r="B1" s="6"/>
      <c r="C1" s="6"/>
      <c r="D1" s="6"/>
      <c r="E1" s="6"/>
      <c r="F1" s="6"/>
      <c r="G1" s="6"/>
      <c r="H1" s="6"/>
      <c r="I1" s="6"/>
      <c r="J1" s="1"/>
    </row>
    <row r="2" spans="1:10" ht="18" customHeight="1" x14ac:dyDescent="0.25">
      <c r="A2" s="4"/>
      <c r="B2" s="3" t="s">
        <v>112</v>
      </c>
      <c r="C2" s="5" t="s">
        <v>113</v>
      </c>
      <c r="D2" s="4"/>
      <c r="E2" s="4"/>
      <c r="F2" s="4"/>
      <c r="G2" s="4"/>
      <c r="H2" s="4"/>
      <c r="I2" s="4"/>
    </row>
    <row r="3" spans="1:10" ht="14.1" customHeight="1" x14ac:dyDescent="0.2">
      <c r="A3" s="4"/>
      <c r="C3" s="5" t="s">
        <v>114</v>
      </c>
      <c r="D3" s="4"/>
      <c r="E3" s="4"/>
      <c r="F3" s="4"/>
      <c r="G3" s="4"/>
      <c r="H3" s="4"/>
      <c r="I3" s="4"/>
    </row>
    <row r="4" spans="1:10" ht="14.1" customHeight="1" x14ac:dyDescent="0.2">
      <c r="A4" s="4"/>
      <c r="C4" s="5" t="s">
        <v>115</v>
      </c>
      <c r="D4" s="4"/>
      <c r="E4" s="4"/>
      <c r="F4" s="4"/>
      <c r="G4" s="4"/>
      <c r="H4" s="4"/>
      <c r="I4" s="4"/>
    </row>
    <row r="5" spans="1:10" ht="14.1" customHeight="1" x14ac:dyDescent="0.2">
      <c r="A5" s="4"/>
      <c r="C5" s="5" t="s">
        <v>116</v>
      </c>
      <c r="D5" s="4"/>
      <c r="E5" s="4"/>
      <c r="F5" s="4"/>
      <c r="G5" s="4"/>
      <c r="H5" s="4"/>
      <c r="I5" s="4"/>
    </row>
    <row r="6" spans="1:10" ht="14.1" customHeight="1" x14ac:dyDescent="0.2">
      <c r="A6" s="4"/>
      <c r="C6" s="5" t="s">
        <v>117</v>
      </c>
      <c r="D6" s="4"/>
      <c r="E6" s="4"/>
      <c r="F6" s="4"/>
      <c r="G6" s="4"/>
      <c r="H6" s="4"/>
      <c r="I6" s="4"/>
    </row>
    <row r="7" spans="1:10" ht="14.1" customHeight="1" x14ac:dyDescent="0.2">
      <c r="A7" s="4"/>
      <c r="C7" s="5" t="s">
        <v>118</v>
      </c>
      <c r="D7" s="4"/>
      <c r="E7" s="4"/>
      <c r="F7" s="4"/>
      <c r="G7" s="4"/>
      <c r="H7" s="4"/>
      <c r="I7" s="4"/>
    </row>
    <row r="8" spans="1:10" ht="14.1" customHeight="1" x14ac:dyDescent="0.2">
      <c r="A8" s="4"/>
      <c r="C8" s="5" t="s">
        <v>1461</v>
      </c>
      <c r="D8" s="4"/>
      <c r="E8" s="4"/>
      <c r="F8" s="4"/>
      <c r="G8" s="4"/>
      <c r="H8" s="4"/>
      <c r="I8" s="4"/>
    </row>
    <row r="9" spans="1:10" ht="9.9499999999999993" customHeight="1" x14ac:dyDescent="0.2">
      <c r="A9" s="4"/>
      <c r="B9" s="4"/>
      <c r="C9" s="4"/>
      <c r="D9" s="4"/>
      <c r="E9" s="4"/>
      <c r="F9" s="4"/>
      <c r="G9" s="4"/>
      <c r="H9" s="4"/>
      <c r="I9" s="4"/>
    </row>
    <row r="10" spans="1:10" ht="14.1" customHeight="1" x14ac:dyDescent="0.25">
      <c r="A10" s="4"/>
      <c r="B10" s="3" t="s">
        <v>1462</v>
      </c>
      <c r="C10" s="5" t="s">
        <v>1058</v>
      </c>
      <c r="D10" s="4"/>
      <c r="E10" s="4"/>
      <c r="F10" s="4"/>
      <c r="G10" s="4"/>
      <c r="H10" s="4"/>
      <c r="I10" s="4"/>
    </row>
    <row r="11" spans="1:10" ht="14.1" customHeight="1" x14ac:dyDescent="0.2">
      <c r="A11" s="4"/>
      <c r="C11" s="5" t="s">
        <v>1463</v>
      </c>
      <c r="D11" s="4"/>
      <c r="E11" s="4"/>
      <c r="F11" s="4"/>
      <c r="G11" s="4"/>
      <c r="H11" s="4"/>
      <c r="I11" s="4"/>
    </row>
    <row r="12" spans="1:10" ht="14.1" customHeight="1" x14ac:dyDescent="0.2">
      <c r="A12" s="4"/>
      <c r="C12" s="5" t="s">
        <v>1059</v>
      </c>
      <c r="D12" s="4"/>
      <c r="E12" s="4"/>
      <c r="F12" s="4"/>
      <c r="G12" s="4"/>
      <c r="H12" s="4"/>
      <c r="I12" s="4"/>
    </row>
    <row r="13" spans="1:10" ht="14.1" customHeight="1" x14ac:dyDescent="0.2">
      <c r="A13" s="4"/>
      <c r="C13" s="5" t="s">
        <v>1464</v>
      </c>
      <c r="D13" s="4"/>
      <c r="E13" s="4"/>
      <c r="F13" s="4"/>
      <c r="G13" s="4"/>
      <c r="H13" s="4"/>
      <c r="I13" s="4"/>
    </row>
    <row r="14" spans="1:10" ht="14.1" customHeight="1" x14ac:dyDescent="0.2">
      <c r="A14" s="4"/>
      <c r="C14" s="5" t="s">
        <v>1465</v>
      </c>
      <c r="D14" s="4"/>
      <c r="E14" s="4"/>
      <c r="F14" s="4"/>
      <c r="G14" s="4"/>
      <c r="H14" s="4"/>
      <c r="I14" s="4"/>
    </row>
    <row r="15" spans="1:10" ht="14.1" customHeight="1" x14ac:dyDescent="0.2">
      <c r="A15" s="4"/>
      <c r="C15" s="5" t="s">
        <v>1466</v>
      </c>
      <c r="D15" s="4"/>
      <c r="E15" s="4"/>
      <c r="F15" s="4"/>
      <c r="G15" s="4"/>
      <c r="H15" s="4"/>
      <c r="I15" s="4"/>
    </row>
    <row r="16" spans="1:10" ht="14.1" customHeight="1" x14ac:dyDescent="0.2">
      <c r="A16" s="4"/>
      <c r="C16" s="5" t="s">
        <v>1467</v>
      </c>
      <c r="D16" s="4"/>
      <c r="E16" s="4"/>
      <c r="F16" s="4"/>
      <c r="G16" s="4"/>
      <c r="H16" s="4"/>
      <c r="I16" s="4"/>
    </row>
    <row r="17" spans="1:9" ht="9.9499999999999993" customHeight="1" x14ac:dyDescent="0.2">
      <c r="A17" s="4"/>
      <c r="C17" s="4"/>
      <c r="D17" s="4"/>
      <c r="E17" s="4"/>
      <c r="F17" s="4"/>
      <c r="G17" s="4"/>
      <c r="H17" s="4"/>
      <c r="I17" s="4"/>
    </row>
    <row r="18" spans="1:9" ht="14.1" customHeight="1" x14ac:dyDescent="0.25">
      <c r="A18" s="4"/>
      <c r="B18" s="3" t="s">
        <v>1468</v>
      </c>
      <c r="C18" s="5" t="s">
        <v>1469</v>
      </c>
      <c r="D18" s="4"/>
      <c r="E18" s="4"/>
      <c r="F18" s="4"/>
      <c r="G18" s="4"/>
      <c r="H18" s="4"/>
      <c r="I18" s="4"/>
    </row>
    <row r="19" spans="1:9" ht="14.1" customHeight="1" x14ac:dyDescent="0.2">
      <c r="A19" s="4"/>
      <c r="C19" s="5" t="s">
        <v>1470</v>
      </c>
      <c r="D19" s="4"/>
      <c r="E19" s="4"/>
      <c r="F19" s="4"/>
      <c r="G19" s="4"/>
      <c r="H19" s="4"/>
      <c r="I19" s="4"/>
    </row>
    <row r="20" spans="1:9" ht="14.1" customHeight="1" x14ac:dyDescent="0.2">
      <c r="A20" s="4"/>
      <c r="C20" s="5" t="s">
        <v>1471</v>
      </c>
      <c r="D20" s="4"/>
      <c r="E20" s="4"/>
      <c r="F20" s="4"/>
      <c r="G20" s="4"/>
      <c r="H20" s="4"/>
      <c r="I20" s="4"/>
    </row>
    <row r="21" spans="1:9" ht="14.1" customHeight="1" x14ac:dyDescent="0.2">
      <c r="A21" s="4"/>
      <c r="C21" s="5" t="s">
        <v>1472</v>
      </c>
      <c r="D21" s="4"/>
      <c r="E21" s="4"/>
      <c r="F21" s="4"/>
      <c r="G21" s="4"/>
      <c r="H21" s="4"/>
      <c r="I21" s="4"/>
    </row>
    <row r="22" spans="1:9" ht="14.1" customHeight="1" x14ac:dyDescent="0.2">
      <c r="A22" s="4"/>
      <c r="C22" s="5" t="s">
        <v>1227</v>
      </c>
      <c r="D22" s="4"/>
      <c r="E22" s="4"/>
      <c r="F22" s="4"/>
      <c r="G22" s="4"/>
      <c r="H22" s="4"/>
      <c r="I22" s="4"/>
    </row>
    <row r="23" spans="1:9" ht="14.1" customHeight="1" x14ac:dyDescent="0.2">
      <c r="A23" s="4"/>
      <c r="C23" s="5" t="s">
        <v>1473</v>
      </c>
      <c r="D23" s="4"/>
      <c r="E23" s="4"/>
      <c r="F23" s="4"/>
      <c r="G23" s="4"/>
      <c r="H23" s="4"/>
      <c r="I23" s="4"/>
    </row>
    <row r="24" spans="1:9" ht="14.1" customHeight="1" x14ac:dyDescent="0.2">
      <c r="C24" s="5" t="s">
        <v>1474</v>
      </c>
    </row>
    <row r="25" spans="1:9" ht="14.1" customHeight="1" x14ac:dyDescent="0.2">
      <c r="C25" s="5" t="s">
        <v>587</v>
      </c>
    </row>
    <row r="26" spans="1:9" ht="14.1" customHeight="1" x14ac:dyDescent="0.2">
      <c r="C26" s="5" t="s">
        <v>588</v>
      </c>
    </row>
    <row r="27" spans="1:9" ht="14.1" customHeight="1" x14ac:dyDescent="0.2">
      <c r="C27" s="5" t="s">
        <v>589</v>
      </c>
    </row>
    <row r="28" spans="1:9" ht="14.1" customHeight="1" x14ac:dyDescent="0.2">
      <c r="C28" s="5" t="s">
        <v>590</v>
      </c>
    </row>
    <row r="29" spans="1:9" ht="14.1" customHeight="1" x14ac:dyDescent="0.2">
      <c r="C29" s="4" t="s">
        <v>591</v>
      </c>
    </row>
    <row r="30" spans="1:9" ht="14.1" customHeight="1" x14ac:dyDescent="0.2">
      <c r="C30" s="4" t="s">
        <v>592</v>
      </c>
    </row>
    <row r="31" spans="1:9" ht="14.1" customHeight="1" x14ac:dyDescent="0.2">
      <c r="C31" s="4" t="s">
        <v>593</v>
      </c>
    </row>
    <row r="32" spans="1:9" ht="9.9499999999999993" customHeight="1" x14ac:dyDescent="0.2">
      <c r="B32" s="4"/>
    </row>
    <row r="33" spans="2:3" ht="14.1" customHeight="1" x14ac:dyDescent="0.25">
      <c r="B33" s="3" t="s">
        <v>1475</v>
      </c>
      <c r="C33" s="5" t="s">
        <v>1060</v>
      </c>
    </row>
    <row r="34" spans="2:3" ht="14.1" customHeight="1" x14ac:dyDescent="0.2">
      <c r="C34" s="5" t="s">
        <v>1228</v>
      </c>
    </row>
    <row r="35" spans="2:3" ht="14.1" customHeight="1" x14ac:dyDescent="0.2">
      <c r="C35" s="5" t="s">
        <v>1476</v>
      </c>
    </row>
    <row r="36" spans="2:3" ht="14.1" customHeight="1" x14ac:dyDescent="0.2">
      <c r="C36" s="5" t="s">
        <v>1477</v>
      </c>
    </row>
    <row r="37" spans="2:3" ht="14.1" customHeight="1" x14ac:dyDescent="0.2">
      <c r="C37" s="5" t="s">
        <v>1478</v>
      </c>
    </row>
    <row r="38" spans="2:3" ht="9.9499999999999993" customHeight="1" x14ac:dyDescent="0.2"/>
    <row r="39" spans="2:3" ht="14.1" customHeight="1" x14ac:dyDescent="0.25">
      <c r="B39" s="3" t="s">
        <v>1479</v>
      </c>
      <c r="C39" s="5" t="s">
        <v>594</v>
      </c>
    </row>
    <row r="40" spans="2:3" ht="14.1" customHeight="1" x14ac:dyDescent="0.2">
      <c r="C40" s="5" t="s">
        <v>595</v>
      </c>
    </row>
    <row r="41" spans="2:3" ht="14.1" customHeight="1" x14ac:dyDescent="0.2">
      <c r="C41" s="5" t="s">
        <v>596</v>
      </c>
    </row>
    <row r="42" spans="2:3" ht="14.1" customHeight="1" x14ac:dyDescent="0.2">
      <c r="C42" s="5" t="s">
        <v>597</v>
      </c>
    </row>
    <row r="43" spans="2:3" ht="14.1" customHeight="1" x14ac:dyDescent="0.2">
      <c r="C43" s="5" t="s">
        <v>598</v>
      </c>
    </row>
    <row r="44" spans="2:3" ht="14.1" customHeight="1" x14ac:dyDescent="0.2">
      <c r="C44" s="5" t="s">
        <v>599</v>
      </c>
    </row>
    <row r="45" spans="2:3" ht="14.1" customHeight="1" x14ac:dyDescent="0.2">
      <c r="C45" s="5" t="s">
        <v>600</v>
      </c>
    </row>
    <row r="46" spans="2:3" ht="14.1" customHeight="1" x14ac:dyDescent="0.2">
      <c r="C46" s="5" t="s">
        <v>601</v>
      </c>
    </row>
    <row r="47" spans="2:3" ht="14.1" customHeight="1" x14ac:dyDescent="0.2">
      <c r="C47" s="5" t="s">
        <v>602</v>
      </c>
    </row>
    <row r="48" spans="2:3" ht="14.1" customHeight="1" x14ac:dyDescent="0.2"/>
    <row r="49" spans="2:3" ht="15" x14ac:dyDescent="0.25">
      <c r="B49" s="3"/>
      <c r="C49" s="5"/>
    </row>
    <row r="50" spans="2:3" ht="14.25" x14ac:dyDescent="0.2">
      <c r="C50" s="5"/>
    </row>
    <row r="51" spans="2:3" ht="14.25" x14ac:dyDescent="0.2">
      <c r="C51" s="5"/>
    </row>
    <row r="52" spans="2:3" ht="14.25" x14ac:dyDescent="0.2">
      <c r="C52" s="5"/>
    </row>
    <row r="53" spans="2:3" ht="14.25" x14ac:dyDescent="0.2">
      <c r="C53" s="5"/>
    </row>
    <row r="54" spans="2:3" ht="14.25" x14ac:dyDescent="0.2">
      <c r="C54" s="5"/>
    </row>
    <row r="55" spans="2:3" ht="14.25" x14ac:dyDescent="0.2">
      <c r="C55" s="5"/>
    </row>
    <row r="56" spans="2:3" ht="14.25" x14ac:dyDescent="0.2">
      <c r="C56" s="5"/>
    </row>
  </sheetData>
  <customSheetViews>
    <customSheetView guid="{B2DDA8C4-3089-41F7-BA6E-A0E09596A2CA}" scale="55" showPageBreaks="1" fitToPage="1" printArea="1">
      <selection activeCell="C34" sqref="C34"/>
      <pageMargins left="0.75" right="1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60" showPageBreaks="1" fitToPage="1" printArea="1" topLeftCell="A5">
      <selection activeCell="C34" sqref="C34"/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 topLeftCell="A16">
      <selection activeCell="C34" sqref="C34"/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55" showPageBreaks="1" fitToPage="1" printArea="1">
      <selection activeCell="C34" sqref="C34"/>
      <pageMargins left="0.75" right="1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55" fitToPage="1" showRuler="0">
      <selection activeCell="C34" sqref="C34"/>
      <pageMargins left="0.75" right="1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0"/>
  <sheetViews>
    <sheetView zoomScale="70" zoomScaleNormal="70" workbookViewId="0">
      <selection activeCell="C2" sqref="C2"/>
    </sheetView>
  </sheetViews>
  <sheetFormatPr defaultRowHeight="12.75" x14ac:dyDescent="0.2"/>
  <cols>
    <col min="1" max="1" width="1.7109375" style="2" customWidth="1"/>
    <col min="2" max="2" width="9.140625" style="2"/>
    <col min="3" max="3" width="8.28515625" style="2" customWidth="1"/>
    <col min="4" max="4" width="8.7109375" style="2" customWidth="1"/>
    <col min="5" max="5" width="11" style="2" customWidth="1"/>
    <col min="6" max="6" width="3.7109375" style="2" customWidth="1"/>
    <col min="7" max="7" width="8.85546875" style="2" customWidth="1"/>
    <col min="8" max="8" width="5.7109375" style="2" customWidth="1"/>
    <col min="9" max="9" width="2.85546875" style="2" customWidth="1"/>
    <col min="10" max="10" width="11.28515625" style="2" customWidth="1"/>
    <col min="11" max="11" width="3.28515625" style="2" customWidth="1"/>
    <col min="12" max="12" width="12.140625" style="2" customWidth="1"/>
    <col min="13" max="13" width="2.7109375" style="2" customWidth="1"/>
    <col min="14" max="14" width="10.28515625" style="312" customWidth="1"/>
    <col min="15" max="15" width="8.7109375" style="407" hidden="1" customWidth="1"/>
    <col min="16" max="16" width="2.7109375" style="407" hidden="1" customWidth="1"/>
    <col min="17" max="17" width="8.7109375" style="407" hidden="1" customWidth="1"/>
    <col min="18" max="18" width="2.7109375" style="407" hidden="1" customWidth="1"/>
    <col min="19" max="19" width="8.7109375" style="407" hidden="1" customWidth="1"/>
    <col min="20" max="20" width="2.7109375" style="407" hidden="1" customWidth="1"/>
    <col min="21" max="21" width="2.85546875" style="407" hidden="1" customWidth="1"/>
    <col min="22" max="22" width="4.85546875" style="407" hidden="1" customWidth="1"/>
    <col min="23" max="23" width="0" style="407" hidden="1" customWidth="1"/>
    <col min="24" max="26" width="0" style="450" hidden="1" customWidth="1"/>
    <col min="27" max="27" width="12" style="450" hidden="1" customWidth="1"/>
    <col min="28" max="28" width="12" style="312" bestFit="1" customWidth="1"/>
    <col min="29" max="16384" width="9.140625" style="2"/>
  </cols>
  <sheetData>
    <row r="1" spans="2:28" ht="28.5" customHeight="1" x14ac:dyDescent="0.2"/>
    <row r="2" spans="2:28" ht="15.95" customHeight="1" x14ac:dyDescent="0.25">
      <c r="B2" s="10" t="s">
        <v>1197</v>
      </c>
      <c r="T2" s="414"/>
      <c r="U2" s="414"/>
      <c r="V2" s="414"/>
      <c r="W2" s="413" t="s">
        <v>1679</v>
      </c>
      <c r="X2" s="414"/>
      <c r="Y2" s="414"/>
      <c r="Z2" s="414"/>
      <c r="AA2" s="414"/>
      <c r="AB2" s="316"/>
    </row>
    <row r="3" spans="2:28" s="10" customFormat="1" ht="15.95" customHeight="1" x14ac:dyDescent="0.25">
      <c r="B3" s="10" t="s">
        <v>1616</v>
      </c>
      <c r="D3" s="10" t="s">
        <v>110</v>
      </c>
      <c r="F3" s="14" t="s">
        <v>111</v>
      </c>
      <c r="G3" s="10" t="s">
        <v>1498</v>
      </c>
      <c r="I3" s="14" t="s">
        <v>329</v>
      </c>
      <c r="J3" s="10" t="s">
        <v>687</v>
      </c>
      <c r="N3" s="313"/>
      <c r="O3" s="402"/>
      <c r="P3" s="412" t="s">
        <v>794</v>
      </c>
      <c r="Q3" s="402"/>
      <c r="R3" s="402"/>
      <c r="S3" s="402"/>
      <c r="T3" s="402"/>
      <c r="U3" s="402"/>
      <c r="V3" s="402"/>
      <c r="W3" s="402"/>
      <c r="X3" s="409" t="s">
        <v>43</v>
      </c>
      <c r="Y3" s="409" t="s">
        <v>44</v>
      </c>
      <c r="Z3" s="409" t="s">
        <v>45</v>
      </c>
      <c r="AA3" s="409" t="s">
        <v>46</v>
      </c>
      <c r="AB3" s="218"/>
    </row>
    <row r="4" spans="2:28" s="10" customFormat="1" ht="15.95" customHeight="1" thickBot="1" x14ac:dyDescent="0.3">
      <c r="D4" s="282" t="str">
        <f>CONCATENATE(TEXT(S4,"$#,##0")," (a)")</f>
        <v>$81 (a)</v>
      </c>
      <c r="E4" s="28"/>
      <c r="F4" s="84" t="s">
        <v>111</v>
      </c>
      <c r="G4" s="28">
        <f>O4</f>
        <v>925</v>
      </c>
      <c r="H4" s="21"/>
      <c r="I4" s="84" t="s">
        <v>329</v>
      </c>
      <c r="J4" s="28">
        <f>Q4</f>
        <v>844</v>
      </c>
      <c r="N4" s="313"/>
      <c r="O4" s="410">
        <f>X4</f>
        <v>925</v>
      </c>
      <c r="P4" s="410" t="s">
        <v>1589</v>
      </c>
      <c r="Q4" s="410">
        <f>X6</f>
        <v>844</v>
      </c>
      <c r="R4" s="410" t="s">
        <v>1587</v>
      </c>
      <c r="S4" s="410">
        <f>SUM(O4-Q4)</f>
        <v>81</v>
      </c>
      <c r="T4" s="451" t="s">
        <v>1507</v>
      </c>
      <c r="U4" s="402"/>
      <c r="V4" s="402"/>
      <c r="W4" s="405" t="s">
        <v>5</v>
      </c>
      <c r="X4" s="409">
        <v>925</v>
      </c>
      <c r="Y4" s="409">
        <v>533</v>
      </c>
      <c r="Z4" s="409" t="s">
        <v>981</v>
      </c>
      <c r="AA4" s="409">
        <v>1125</v>
      </c>
      <c r="AB4" s="218"/>
    </row>
    <row r="5" spans="2:28" s="10" customFormat="1" ht="5.0999999999999996" customHeight="1" thickTop="1" x14ac:dyDescent="0.25">
      <c r="D5" s="21"/>
      <c r="E5" s="21"/>
      <c r="F5" s="14"/>
      <c r="I5" s="14"/>
      <c r="J5" s="21"/>
      <c r="K5" s="16"/>
      <c r="N5" s="313"/>
      <c r="O5" s="402"/>
      <c r="P5" s="402"/>
      <c r="Q5" s="402"/>
      <c r="R5" s="402"/>
      <c r="S5" s="402"/>
      <c r="T5" s="402"/>
      <c r="U5" s="402"/>
      <c r="V5" s="402"/>
      <c r="W5" s="405"/>
      <c r="X5" s="402"/>
      <c r="Y5" s="402"/>
      <c r="Z5" s="402"/>
      <c r="AA5" s="402"/>
      <c r="AB5" s="218"/>
    </row>
    <row r="6" spans="2:28" s="10" customFormat="1" ht="15.95" customHeight="1" x14ac:dyDescent="0.25">
      <c r="D6" s="10" t="s">
        <v>1490</v>
      </c>
      <c r="F6" s="14" t="s">
        <v>111</v>
      </c>
      <c r="G6" s="10" t="s">
        <v>1491</v>
      </c>
      <c r="I6" s="14" t="s">
        <v>1504</v>
      </c>
      <c r="J6" s="10" t="s">
        <v>945</v>
      </c>
      <c r="N6" s="313"/>
      <c r="O6" s="402"/>
      <c r="P6" s="402"/>
      <c r="Q6" s="402"/>
      <c r="R6" s="402"/>
      <c r="S6" s="402"/>
      <c r="T6" s="402"/>
      <c r="U6" s="402"/>
      <c r="V6" s="402"/>
      <c r="W6" s="405" t="s">
        <v>6</v>
      </c>
      <c r="X6" s="409">
        <v>844</v>
      </c>
      <c r="Y6" s="409" t="s">
        <v>1510</v>
      </c>
      <c r="Z6" s="409">
        <v>377</v>
      </c>
      <c r="AA6" s="409" t="s">
        <v>975</v>
      </c>
      <c r="AB6" s="218"/>
    </row>
    <row r="7" spans="2:28" s="10" customFormat="1" ht="15.95" customHeight="1" thickBot="1" x14ac:dyDescent="0.3">
      <c r="D7" s="28">
        <f>O7</f>
        <v>709</v>
      </c>
      <c r="E7" s="21"/>
      <c r="F7" s="84" t="s">
        <v>111</v>
      </c>
      <c r="G7" s="28">
        <f>Q7</f>
        <v>332</v>
      </c>
      <c r="H7" s="21"/>
      <c r="I7" s="84" t="s">
        <v>1504</v>
      </c>
      <c r="J7" s="282" t="str">
        <f>CONCATENATE(TEXT(S7,"$#,##0")," (b)")</f>
        <v>$377 (b)</v>
      </c>
      <c r="K7" s="16"/>
      <c r="N7" s="313"/>
      <c r="O7" s="410">
        <f>X9</f>
        <v>709</v>
      </c>
      <c r="P7" s="410" t="s">
        <v>1589</v>
      </c>
      <c r="Q7" s="410">
        <f>X10</f>
        <v>332</v>
      </c>
      <c r="R7" s="410" t="s">
        <v>1587</v>
      </c>
      <c r="S7" s="410">
        <f>SUM(O7-Q7)</f>
        <v>377</v>
      </c>
      <c r="T7" s="451" t="s">
        <v>1509</v>
      </c>
      <c r="U7" s="402"/>
      <c r="V7" s="402"/>
      <c r="W7" s="405" t="s">
        <v>7</v>
      </c>
      <c r="X7" s="409" t="s">
        <v>1507</v>
      </c>
      <c r="Y7" s="409">
        <v>289</v>
      </c>
      <c r="Z7" s="409">
        <v>126</v>
      </c>
      <c r="AA7" s="409">
        <v>-340</v>
      </c>
      <c r="AB7" s="218"/>
    </row>
    <row r="8" spans="2:28" s="10" customFormat="1" ht="9.9499999999999993" customHeight="1" thickTop="1" x14ac:dyDescent="0.25">
      <c r="N8" s="313"/>
      <c r="O8" s="402"/>
      <c r="P8" s="402"/>
      <c r="Q8" s="402"/>
      <c r="R8" s="402"/>
      <c r="S8" s="402"/>
      <c r="T8" s="402"/>
      <c r="U8" s="402"/>
      <c r="V8" s="402"/>
      <c r="W8" s="405"/>
      <c r="X8" s="452"/>
      <c r="Y8" s="452"/>
      <c r="Z8" s="403"/>
      <c r="AA8" s="453"/>
      <c r="AB8" s="218"/>
    </row>
    <row r="9" spans="2:28" s="10" customFormat="1" ht="15.95" customHeight="1" x14ac:dyDescent="0.25">
      <c r="B9" s="10" t="s">
        <v>1617</v>
      </c>
      <c r="D9" s="10" t="s">
        <v>110</v>
      </c>
      <c r="F9" s="14" t="s">
        <v>111</v>
      </c>
      <c r="G9" s="10" t="s">
        <v>1498</v>
      </c>
      <c r="I9" s="14" t="s">
        <v>329</v>
      </c>
      <c r="J9" s="10" t="s">
        <v>687</v>
      </c>
      <c r="N9" s="313"/>
      <c r="O9" s="402"/>
      <c r="P9" s="402"/>
      <c r="Q9" s="402"/>
      <c r="R9" s="402"/>
      <c r="S9" s="402"/>
      <c r="T9" s="402"/>
      <c r="U9" s="402"/>
      <c r="V9" s="402"/>
      <c r="W9" s="405" t="s">
        <v>780</v>
      </c>
      <c r="X9" s="409">
        <v>709</v>
      </c>
      <c r="Y9" s="409">
        <v>1810</v>
      </c>
      <c r="Z9" s="409" t="s">
        <v>976</v>
      </c>
      <c r="AA9" s="409">
        <v>3150</v>
      </c>
      <c r="AB9" s="218"/>
    </row>
    <row r="10" spans="2:28" s="10" customFormat="1" ht="15.95" customHeight="1" thickBot="1" x14ac:dyDescent="0.3">
      <c r="D10" s="28">
        <f>Q10</f>
        <v>289</v>
      </c>
      <c r="E10" s="21"/>
      <c r="F10" s="84" t="s">
        <v>111</v>
      </c>
      <c r="G10" s="28">
        <f>O10</f>
        <v>533</v>
      </c>
      <c r="H10" s="21"/>
      <c r="I10" s="84" t="s">
        <v>329</v>
      </c>
      <c r="J10" s="282" t="str">
        <f>CONCATENATE(TEXT(S10,"$#,##0")," (c)")</f>
        <v>$244 (c)</v>
      </c>
      <c r="K10" s="21"/>
      <c r="N10" s="313"/>
      <c r="O10" s="410">
        <f>Y4</f>
        <v>533</v>
      </c>
      <c r="P10" s="410" t="s">
        <v>1589</v>
      </c>
      <c r="Q10" s="410">
        <f>Y7</f>
        <v>289</v>
      </c>
      <c r="R10" s="410" t="s">
        <v>1587</v>
      </c>
      <c r="S10" s="410">
        <f>SUM(O10-Q10)</f>
        <v>244</v>
      </c>
      <c r="T10" s="451" t="s">
        <v>1510</v>
      </c>
      <c r="U10" s="402"/>
      <c r="V10" s="402"/>
      <c r="W10" s="405" t="s">
        <v>778</v>
      </c>
      <c r="X10" s="409">
        <v>332</v>
      </c>
      <c r="Y10" s="409" t="s">
        <v>953</v>
      </c>
      <c r="Z10" s="409">
        <v>454</v>
      </c>
      <c r="AA10" s="409">
        <v>2267</v>
      </c>
      <c r="AB10" s="218"/>
    </row>
    <row r="11" spans="2:28" s="10" customFormat="1" ht="5.0999999999999996" customHeight="1" thickTop="1" x14ac:dyDescent="0.25">
      <c r="D11" s="21"/>
      <c r="E11" s="21"/>
      <c r="F11" s="14"/>
      <c r="G11" s="21"/>
      <c r="H11" s="21"/>
      <c r="I11" s="14"/>
      <c r="N11" s="313"/>
      <c r="O11" s="402"/>
      <c r="P11" s="402"/>
      <c r="Q11" s="402"/>
      <c r="R11" s="402"/>
      <c r="S11" s="402"/>
      <c r="T11" s="402"/>
      <c r="U11" s="402"/>
      <c r="V11" s="402"/>
      <c r="W11" s="405"/>
      <c r="X11" s="403"/>
      <c r="Y11" s="403"/>
      <c r="Z11" s="403"/>
      <c r="AA11" s="453"/>
      <c r="AB11" s="218"/>
    </row>
    <row r="12" spans="2:28" s="10" customFormat="1" ht="15.95" customHeight="1" x14ac:dyDescent="0.25">
      <c r="D12" s="10" t="s">
        <v>1490</v>
      </c>
      <c r="F12" s="14" t="s">
        <v>111</v>
      </c>
      <c r="G12" s="10" t="s">
        <v>1491</v>
      </c>
      <c r="I12" s="14" t="s">
        <v>1504</v>
      </c>
      <c r="J12" s="10" t="s">
        <v>945</v>
      </c>
      <c r="N12" s="313"/>
      <c r="O12" s="402"/>
      <c r="P12" s="402"/>
      <c r="Q12" s="402"/>
      <c r="R12" s="402"/>
      <c r="S12" s="402"/>
      <c r="T12" s="402"/>
      <c r="U12" s="402"/>
      <c r="V12" s="402"/>
      <c r="W12" s="405" t="s">
        <v>779</v>
      </c>
      <c r="X12" s="409" t="s">
        <v>1509</v>
      </c>
      <c r="Y12" s="409">
        <v>950</v>
      </c>
      <c r="Z12" s="409">
        <v>98</v>
      </c>
      <c r="AA12" s="409" t="s">
        <v>979</v>
      </c>
      <c r="AB12" s="218"/>
    </row>
    <row r="13" spans="2:28" s="10" customFormat="1" ht="15.95" customHeight="1" thickBot="1" x14ac:dyDescent="0.3">
      <c r="D13" s="28">
        <f>O13</f>
        <v>1810</v>
      </c>
      <c r="E13" s="21"/>
      <c r="F13" s="84" t="s">
        <v>111</v>
      </c>
      <c r="G13" s="282" t="str">
        <f>CONCATENATE(TEXT(S13,"$#,##0")," (d)")</f>
        <v>$860 (d)</v>
      </c>
      <c r="H13" s="21"/>
      <c r="I13" s="84" t="s">
        <v>1504</v>
      </c>
      <c r="J13" s="28">
        <f>Q13</f>
        <v>950</v>
      </c>
      <c r="N13" s="313"/>
      <c r="O13" s="410">
        <f>Y9</f>
        <v>1810</v>
      </c>
      <c r="P13" s="410" t="s">
        <v>1589</v>
      </c>
      <c r="Q13" s="410">
        <f>Y12</f>
        <v>950</v>
      </c>
      <c r="R13" s="410" t="s">
        <v>1587</v>
      </c>
      <c r="S13" s="410">
        <f>SUM(O13-Q13)</f>
        <v>860</v>
      </c>
      <c r="T13" s="451" t="s">
        <v>953</v>
      </c>
      <c r="U13" s="402"/>
      <c r="V13" s="402"/>
      <c r="W13" s="402"/>
      <c r="X13" s="403"/>
      <c r="Y13" s="453"/>
      <c r="Z13" s="403"/>
      <c r="AA13" s="453"/>
      <c r="AB13" s="218"/>
    </row>
    <row r="14" spans="2:28" s="10" customFormat="1" ht="9.9499999999999993" customHeight="1" thickTop="1" x14ac:dyDescent="0.25">
      <c r="N14" s="313"/>
      <c r="O14" s="402"/>
      <c r="P14" s="402"/>
      <c r="Q14" s="402"/>
      <c r="R14" s="402"/>
      <c r="S14" s="402"/>
      <c r="T14" s="402"/>
      <c r="U14" s="402"/>
      <c r="V14" s="402"/>
      <c r="W14" s="413"/>
      <c r="X14" s="403"/>
      <c r="Y14" s="403"/>
      <c r="Z14" s="403"/>
      <c r="AA14" s="403"/>
      <c r="AB14" s="218"/>
    </row>
    <row r="15" spans="2:28" s="10" customFormat="1" ht="15.95" customHeight="1" x14ac:dyDescent="0.25">
      <c r="B15" s="10" t="s">
        <v>1618</v>
      </c>
      <c r="D15" s="10" t="s">
        <v>110</v>
      </c>
      <c r="F15" s="14" t="s">
        <v>111</v>
      </c>
      <c r="G15" s="10" t="s">
        <v>1498</v>
      </c>
      <c r="I15" s="14" t="s">
        <v>329</v>
      </c>
      <c r="J15" s="10" t="s">
        <v>687</v>
      </c>
      <c r="N15" s="313"/>
      <c r="O15" s="402"/>
      <c r="P15" s="402"/>
      <c r="Q15" s="402"/>
      <c r="R15" s="402"/>
      <c r="S15" s="402"/>
      <c r="T15" s="402"/>
      <c r="U15" s="402"/>
      <c r="V15" s="402"/>
      <c r="W15" s="405"/>
      <c r="X15" s="403"/>
      <c r="Y15" s="403"/>
      <c r="Z15" s="403"/>
      <c r="AA15" s="403"/>
      <c r="AB15" s="218"/>
    </row>
    <row r="16" spans="2:28" s="10" customFormat="1" ht="15.95" customHeight="1" thickBot="1" x14ac:dyDescent="0.3">
      <c r="D16" s="28">
        <f>O16</f>
        <v>126</v>
      </c>
      <c r="E16" s="21"/>
      <c r="F16" s="84" t="s">
        <v>111</v>
      </c>
      <c r="G16" s="282" t="str">
        <f>CONCATENATE(TEXT(S16,"$#,##0")," (e)")</f>
        <v>$503 (e)</v>
      </c>
      <c r="H16" s="28"/>
      <c r="I16" s="84" t="s">
        <v>329</v>
      </c>
      <c r="J16" s="28">
        <f>Q16</f>
        <v>377</v>
      </c>
      <c r="N16" s="313"/>
      <c r="O16" s="410">
        <f>Z7</f>
        <v>126</v>
      </c>
      <c r="P16" s="410" t="s">
        <v>1588</v>
      </c>
      <c r="Q16" s="410">
        <f>Z6</f>
        <v>377</v>
      </c>
      <c r="R16" s="410" t="s">
        <v>1587</v>
      </c>
      <c r="S16" s="410">
        <f>SUM(O16+Q16)</f>
        <v>503</v>
      </c>
      <c r="T16" s="451" t="s">
        <v>981</v>
      </c>
      <c r="U16" s="402"/>
      <c r="V16" s="402"/>
      <c r="W16" s="402"/>
      <c r="X16" s="403"/>
      <c r="Y16" s="403"/>
      <c r="Z16" s="403"/>
      <c r="AA16" s="403"/>
      <c r="AB16" s="218"/>
    </row>
    <row r="17" spans="1:28" s="10" customFormat="1" ht="5.0999999999999996" customHeight="1" thickTop="1" x14ac:dyDescent="0.25">
      <c r="F17" s="14"/>
      <c r="I17" s="14"/>
      <c r="N17" s="313"/>
      <c r="O17" s="402"/>
      <c r="P17" s="402"/>
      <c r="Q17" s="402"/>
      <c r="R17" s="402"/>
      <c r="S17" s="402"/>
      <c r="T17" s="402"/>
      <c r="U17" s="402"/>
      <c r="V17" s="402"/>
      <c r="W17" s="405"/>
      <c r="X17" s="403"/>
      <c r="Y17" s="403"/>
      <c r="Z17" s="403"/>
      <c r="AA17" s="403"/>
      <c r="AB17" s="218"/>
    </row>
    <row r="18" spans="1:28" s="10" customFormat="1" ht="15.95" customHeight="1" x14ac:dyDescent="0.25">
      <c r="D18" s="10" t="s">
        <v>1490</v>
      </c>
      <c r="E18" s="16"/>
      <c r="F18" s="14" t="s">
        <v>111</v>
      </c>
      <c r="G18" s="10" t="s">
        <v>1491</v>
      </c>
      <c r="I18" s="14" t="s">
        <v>1504</v>
      </c>
      <c r="J18" s="10" t="s">
        <v>945</v>
      </c>
      <c r="N18" s="313"/>
      <c r="O18" s="402"/>
      <c r="P18" s="402"/>
      <c r="Q18" s="402"/>
      <c r="R18" s="402"/>
      <c r="S18" s="402"/>
      <c r="T18" s="402"/>
      <c r="U18" s="402"/>
      <c r="V18" s="402"/>
      <c r="W18" s="405"/>
      <c r="X18" s="403"/>
      <c r="Y18" s="403"/>
      <c r="Z18" s="403"/>
      <c r="AA18" s="403"/>
      <c r="AB18" s="218"/>
    </row>
    <row r="19" spans="1:28" s="10" customFormat="1" ht="15.95" customHeight="1" thickBot="1" x14ac:dyDescent="0.3">
      <c r="D19" s="282" t="str">
        <f>CONCATENATE(TEXT(S19,"$#,##0")," (f)")</f>
        <v>$552 (f)</v>
      </c>
      <c r="E19" s="28"/>
      <c r="F19" s="84" t="s">
        <v>111</v>
      </c>
      <c r="G19" s="28">
        <f>O19</f>
        <v>454</v>
      </c>
      <c r="H19" s="21"/>
      <c r="I19" s="84" t="s">
        <v>1504</v>
      </c>
      <c r="J19" s="28">
        <f>Q19</f>
        <v>98</v>
      </c>
      <c r="N19" s="313"/>
      <c r="O19" s="410">
        <f>Z10</f>
        <v>454</v>
      </c>
      <c r="P19" s="410" t="s">
        <v>1588</v>
      </c>
      <c r="Q19" s="410">
        <f>Z12</f>
        <v>98</v>
      </c>
      <c r="R19" s="410" t="s">
        <v>1587</v>
      </c>
      <c r="S19" s="410">
        <f>SUM(O19+Q19)</f>
        <v>552</v>
      </c>
      <c r="T19" s="451" t="s">
        <v>983</v>
      </c>
      <c r="U19" s="402"/>
      <c r="V19" s="402"/>
      <c r="W19" s="405"/>
      <c r="X19" s="403"/>
      <c r="Y19" s="403"/>
      <c r="Z19" s="403"/>
      <c r="AA19" s="403"/>
      <c r="AB19" s="218"/>
    </row>
    <row r="20" spans="1:28" s="10" customFormat="1" ht="9.9499999999999993" customHeight="1" thickTop="1" x14ac:dyDescent="0.25">
      <c r="N20" s="313"/>
      <c r="O20" s="402"/>
      <c r="P20" s="402"/>
      <c r="Q20" s="402"/>
      <c r="R20" s="402"/>
      <c r="S20" s="402"/>
      <c r="T20" s="402"/>
      <c r="U20" s="402"/>
      <c r="V20" s="402"/>
      <c r="W20" s="405"/>
      <c r="X20" s="403"/>
      <c r="Y20" s="403"/>
      <c r="Z20" s="403"/>
      <c r="AA20" s="403"/>
      <c r="AB20" s="218"/>
    </row>
    <row r="21" spans="1:28" s="10" customFormat="1" ht="15.95" customHeight="1" x14ac:dyDescent="0.25">
      <c r="B21" s="10" t="s">
        <v>1619</v>
      </c>
      <c r="D21" s="10" t="s">
        <v>1620</v>
      </c>
      <c r="F21" s="14" t="s">
        <v>111</v>
      </c>
      <c r="G21" s="10" t="s">
        <v>1498</v>
      </c>
      <c r="I21" s="14" t="s">
        <v>329</v>
      </c>
      <c r="J21" s="10" t="s">
        <v>687</v>
      </c>
      <c r="N21" s="313"/>
      <c r="O21" s="402"/>
      <c r="P21" s="402"/>
      <c r="Q21" s="402"/>
      <c r="R21" s="402"/>
      <c r="S21" s="402"/>
      <c r="T21" s="402"/>
      <c r="U21" s="402"/>
      <c r="V21" s="402"/>
      <c r="W21" s="405"/>
      <c r="X21" s="403"/>
      <c r="Y21" s="403"/>
      <c r="Z21" s="403"/>
      <c r="AA21" s="403"/>
      <c r="AB21" s="218"/>
    </row>
    <row r="22" spans="1:28" s="10" customFormat="1" ht="15.95" customHeight="1" thickBot="1" x14ac:dyDescent="0.3">
      <c r="D22" s="109">
        <f>Q22</f>
        <v>-340</v>
      </c>
      <c r="F22" s="84" t="s">
        <v>111</v>
      </c>
      <c r="G22" s="28">
        <f>O22</f>
        <v>1125</v>
      </c>
      <c r="H22" s="21"/>
      <c r="I22" s="84" t="s">
        <v>329</v>
      </c>
      <c r="J22" s="282" t="str">
        <f>CONCATENATE(TEXT(S22,"$#,##0")," (g)")</f>
        <v>$1,465 (g)</v>
      </c>
      <c r="N22" s="313"/>
      <c r="O22" s="410">
        <f>AA4</f>
        <v>1125</v>
      </c>
      <c r="P22" s="410" t="s">
        <v>1589</v>
      </c>
      <c r="Q22" s="410">
        <f>AA7</f>
        <v>-340</v>
      </c>
      <c r="R22" s="410" t="s">
        <v>1587</v>
      </c>
      <c r="S22" s="410">
        <f>SUM(O22-Q22)</f>
        <v>1465</v>
      </c>
      <c r="T22" s="451" t="s">
        <v>975</v>
      </c>
      <c r="U22" s="402"/>
      <c r="V22" s="402"/>
      <c r="W22" s="402"/>
      <c r="X22" s="403"/>
      <c r="Y22" s="403"/>
      <c r="Z22" s="403"/>
      <c r="AA22" s="403"/>
      <c r="AB22" s="218"/>
    </row>
    <row r="23" spans="1:28" s="10" customFormat="1" ht="5.0999999999999996" customHeight="1" thickTop="1" x14ac:dyDescent="0.25">
      <c r="D23" s="77"/>
      <c r="F23" s="14"/>
      <c r="G23" s="77"/>
      <c r="I23" s="14"/>
      <c r="J23" s="93"/>
      <c r="N23" s="313"/>
      <c r="O23" s="402"/>
      <c r="P23" s="402"/>
      <c r="Q23" s="402"/>
      <c r="R23" s="402"/>
      <c r="S23" s="402"/>
      <c r="T23" s="402"/>
      <c r="U23" s="402"/>
      <c r="V23" s="402"/>
      <c r="W23" s="402"/>
      <c r="X23" s="403"/>
      <c r="Y23" s="403"/>
      <c r="Z23" s="403"/>
      <c r="AA23" s="403"/>
      <c r="AB23" s="218"/>
    </row>
    <row r="24" spans="1:28" s="10" customFormat="1" ht="15.95" customHeight="1" x14ac:dyDescent="0.25">
      <c r="D24" s="10" t="s">
        <v>909</v>
      </c>
      <c r="F24" s="14" t="s">
        <v>111</v>
      </c>
      <c r="G24" s="10" t="s">
        <v>1491</v>
      </c>
      <c r="I24" s="14" t="s">
        <v>1504</v>
      </c>
      <c r="J24" s="10" t="s">
        <v>945</v>
      </c>
      <c r="N24" s="313"/>
      <c r="O24" s="402"/>
      <c r="P24" s="402"/>
      <c r="Q24" s="402"/>
      <c r="R24" s="402"/>
      <c r="S24" s="402"/>
      <c r="T24" s="402"/>
      <c r="U24" s="402"/>
      <c r="V24" s="402"/>
      <c r="W24" s="402"/>
      <c r="X24" s="403"/>
      <c r="Y24" s="403"/>
      <c r="Z24" s="403"/>
      <c r="AA24" s="403"/>
      <c r="AB24" s="218"/>
    </row>
    <row r="25" spans="1:28" s="10" customFormat="1" ht="15.95" customHeight="1" thickBot="1" x14ac:dyDescent="0.3">
      <c r="D25" s="28">
        <f>O25</f>
        <v>3150</v>
      </c>
      <c r="E25" s="21"/>
      <c r="F25" s="84" t="s">
        <v>111</v>
      </c>
      <c r="G25" s="28">
        <f>Q25</f>
        <v>2267</v>
      </c>
      <c r="H25" s="21"/>
      <c r="I25" s="84" t="s">
        <v>1504</v>
      </c>
      <c r="J25" s="282" t="str">
        <f>CONCATENATE(TEXT(S25,"$#,##0")," (h)")</f>
        <v>$883 (h)</v>
      </c>
      <c r="K25" s="16"/>
      <c r="N25" s="313"/>
      <c r="O25" s="410">
        <f>AA9</f>
        <v>3150</v>
      </c>
      <c r="P25" s="410" t="s">
        <v>1589</v>
      </c>
      <c r="Q25" s="410">
        <f>AA10</f>
        <v>2267</v>
      </c>
      <c r="R25" s="410" t="s">
        <v>1587</v>
      </c>
      <c r="S25" s="410">
        <f>SUM(O25-Q25)</f>
        <v>883</v>
      </c>
      <c r="T25" s="451" t="s">
        <v>979</v>
      </c>
      <c r="U25" s="402"/>
      <c r="V25" s="402"/>
      <c r="W25" s="402"/>
      <c r="X25" s="403"/>
      <c r="Y25" s="403"/>
      <c r="Z25" s="403"/>
      <c r="AA25" s="403"/>
      <c r="AB25" s="218"/>
    </row>
    <row r="26" spans="1:28" s="10" customFormat="1" ht="15.95" customHeight="1" thickTop="1" x14ac:dyDescent="0.25">
      <c r="N26" s="313"/>
      <c r="O26" s="402"/>
      <c r="P26" s="402"/>
      <c r="Q26" s="402"/>
      <c r="R26" s="402"/>
      <c r="S26" s="402"/>
      <c r="T26" s="402"/>
      <c r="U26" s="402"/>
      <c r="V26" s="402"/>
      <c r="W26" s="402"/>
      <c r="X26" s="403"/>
      <c r="Y26" s="403"/>
      <c r="Z26" s="403"/>
      <c r="AA26" s="403"/>
      <c r="AB26" s="218"/>
    </row>
    <row r="27" spans="1:28" s="10" customFormat="1" ht="15.95" customHeight="1" x14ac:dyDescent="0.25">
      <c r="B27" s="26" t="s">
        <v>1198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18"/>
      <c r="O27" s="402"/>
      <c r="P27" s="402"/>
      <c r="Q27" s="402"/>
      <c r="R27" s="402"/>
      <c r="S27" s="402"/>
      <c r="T27" s="402"/>
      <c r="U27" s="402"/>
      <c r="V27" s="402"/>
      <c r="W27" s="402"/>
      <c r="X27" s="403"/>
      <c r="Y27" s="403"/>
      <c r="Z27" s="403"/>
      <c r="AA27" s="403"/>
      <c r="AB27" s="218"/>
    </row>
    <row r="28" spans="1:28" s="10" customFormat="1" ht="5.0999999999999996" customHeight="1" x14ac:dyDescent="0.2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26"/>
      <c r="N28" s="218"/>
      <c r="O28" s="402"/>
      <c r="P28" s="402"/>
      <c r="Q28" s="402"/>
      <c r="R28" s="402"/>
      <c r="S28" s="402"/>
      <c r="T28" s="402"/>
      <c r="U28" s="402"/>
      <c r="V28" s="402"/>
      <c r="W28" s="402"/>
      <c r="X28" s="403"/>
      <c r="Y28" s="403"/>
      <c r="Z28" s="403"/>
      <c r="AA28" s="403"/>
      <c r="AB28" s="218"/>
    </row>
    <row r="29" spans="1:28" s="10" customFormat="1" ht="15.95" customHeight="1" x14ac:dyDescent="0.25">
      <c r="A29" s="16"/>
      <c r="B29" s="397" t="s">
        <v>1621</v>
      </c>
      <c r="C29" s="397"/>
      <c r="D29" s="397"/>
      <c r="E29" s="397"/>
      <c r="F29" s="397"/>
      <c r="G29" s="397"/>
      <c r="H29" s="397"/>
      <c r="I29" s="397"/>
      <c r="J29" s="397"/>
      <c r="K29" s="397"/>
      <c r="L29" s="397"/>
      <c r="M29" s="79"/>
      <c r="N29" s="331"/>
      <c r="O29" s="403"/>
      <c r="P29" s="403"/>
      <c r="Q29" s="403"/>
      <c r="R29" s="403"/>
      <c r="S29" s="402"/>
      <c r="T29" s="402"/>
      <c r="U29" s="455"/>
      <c r="V29" s="455"/>
      <c r="W29" s="455"/>
      <c r="X29" s="455"/>
      <c r="Y29" s="455"/>
      <c r="Z29" s="455"/>
      <c r="AA29" s="455"/>
      <c r="AB29" s="333"/>
    </row>
    <row r="30" spans="1:28" s="10" customFormat="1" ht="15.95" customHeight="1" x14ac:dyDescent="0.25">
      <c r="A30" s="16"/>
      <c r="B30" s="397" t="s">
        <v>467</v>
      </c>
      <c r="C30" s="397"/>
      <c r="D30" s="397"/>
      <c r="E30" s="397"/>
      <c r="F30" s="397"/>
      <c r="G30" s="397"/>
      <c r="H30" s="397"/>
      <c r="I30" s="397"/>
      <c r="J30" s="397"/>
      <c r="K30" s="397"/>
      <c r="L30" s="397"/>
      <c r="M30" s="79"/>
      <c r="N30" s="331"/>
      <c r="O30" s="403"/>
      <c r="P30" s="403"/>
      <c r="Q30" s="403"/>
      <c r="R30" s="403"/>
      <c r="S30" s="402"/>
      <c r="T30" s="402"/>
      <c r="U30" s="402"/>
      <c r="V30" s="402"/>
      <c r="W30" s="402"/>
      <c r="X30" s="403"/>
      <c r="Y30" s="403"/>
      <c r="Z30" s="403"/>
      <c r="AA30" s="455"/>
      <c r="AB30" s="218"/>
    </row>
    <row r="31" spans="1:28" s="10" customFormat="1" ht="15.95" customHeight="1" x14ac:dyDescent="0.25">
      <c r="A31" s="16"/>
      <c r="B31" s="398" t="s">
        <v>1118</v>
      </c>
      <c r="C31" s="398"/>
      <c r="D31" s="398"/>
      <c r="E31" s="398"/>
      <c r="F31" s="398"/>
      <c r="G31" s="398"/>
      <c r="H31" s="398"/>
      <c r="I31" s="398"/>
      <c r="J31" s="398"/>
      <c r="K31" s="398"/>
      <c r="L31" s="398"/>
      <c r="M31" s="79"/>
      <c r="N31" s="331"/>
      <c r="O31" s="403"/>
      <c r="P31" s="403"/>
      <c r="Q31" s="403"/>
      <c r="R31" s="403"/>
      <c r="S31" s="402"/>
      <c r="T31" s="402"/>
      <c r="U31" s="402"/>
      <c r="V31" s="402"/>
      <c r="W31" s="402"/>
      <c r="X31" s="403"/>
      <c r="Y31" s="403"/>
      <c r="Z31" s="403"/>
      <c r="AA31" s="402"/>
      <c r="AB31" s="218"/>
    </row>
    <row r="32" spans="1:28" s="10" customFormat="1" ht="5.0999999999999996" customHeight="1" x14ac:dyDescent="0.25">
      <c r="A32" s="16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331"/>
      <c r="O32" s="403"/>
      <c r="P32" s="403"/>
      <c r="Q32" s="403"/>
      <c r="R32" s="403"/>
      <c r="S32" s="402"/>
      <c r="T32" s="402"/>
      <c r="U32" s="402"/>
      <c r="V32" s="402"/>
      <c r="W32" s="402"/>
      <c r="X32" s="403"/>
      <c r="Y32" s="403"/>
      <c r="Z32" s="403"/>
      <c r="AA32" s="402"/>
      <c r="AB32" s="218"/>
    </row>
    <row r="33" spans="2:28" s="10" customFormat="1" ht="15.95" customHeight="1" x14ac:dyDescent="0.25">
      <c r="B33" s="101" t="s">
        <v>469</v>
      </c>
      <c r="N33" s="313"/>
      <c r="O33" s="402"/>
      <c r="P33" s="402"/>
      <c r="Q33" s="402"/>
      <c r="R33" s="402"/>
      <c r="S33" s="418" t="s">
        <v>1682</v>
      </c>
      <c r="T33" s="402"/>
      <c r="U33" s="402"/>
      <c r="V33" s="402"/>
      <c r="W33" s="402"/>
      <c r="X33" s="403"/>
      <c r="Y33" s="403"/>
      <c r="Z33" s="403"/>
      <c r="AA33" s="402"/>
      <c r="AB33" s="218"/>
    </row>
    <row r="34" spans="2:28" s="10" customFormat="1" ht="15.95" customHeight="1" x14ac:dyDescent="0.25">
      <c r="B34" s="69" t="s">
        <v>1546</v>
      </c>
      <c r="I34" s="21" t="s">
        <v>337</v>
      </c>
      <c r="J34" s="110">
        <f>S34</f>
        <v>232600</v>
      </c>
      <c r="K34" s="27"/>
      <c r="L34" s="27"/>
      <c r="M34" s="27"/>
      <c r="N34" s="335"/>
      <c r="O34" s="460"/>
      <c r="P34" s="402"/>
      <c r="Q34" s="402"/>
      <c r="R34" s="405" t="s">
        <v>1626</v>
      </c>
      <c r="S34" s="409">
        <v>232600</v>
      </c>
      <c r="T34" s="402"/>
      <c r="U34" s="402"/>
      <c r="V34" s="402"/>
      <c r="W34" s="402"/>
      <c r="X34" s="403"/>
      <c r="Y34" s="403"/>
      <c r="Z34" s="403"/>
      <c r="AA34" s="402"/>
      <c r="AB34" s="218"/>
    </row>
    <row r="35" spans="2:28" s="10" customFormat="1" ht="15.95" customHeight="1" x14ac:dyDescent="0.25">
      <c r="B35" s="69" t="s">
        <v>1547</v>
      </c>
      <c r="I35" s="21" t="s">
        <v>337</v>
      </c>
      <c r="J35" s="111">
        <f>S35</f>
        <v>198500</v>
      </c>
      <c r="K35" s="27"/>
      <c r="L35" s="21"/>
      <c r="M35" s="21"/>
      <c r="N35" s="330"/>
      <c r="O35" s="447"/>
      <c r="P35" s="447"/>
      <c r="Q35" s="447"/>
      <c r="R35" s="405" t="s">
        <v>1627</v>
      </c>
      <c r="S35" s="409">
        <v>198500</v>
      </c>
      <c r="T35" s="402"/>
      <c r="U35" s="402"/>
      <c r="V35" s="402"/>
      <c r="W35" s="402"/>
      <c r="X35" s="403"/>
      <c r="Y35" s="403"/>
      <c r="Z35" s="403"/>
      <c r="AA35" s="402"/>
      <c r="AB35" s="218"/>
    </row>
    <row r="36" spans="2:28" s="10" customFormat="1" ht="15.95" customHeight="1" x14ac:dyDescent="0.25">
      <c r="B36" s="69" t="s">
        <v>1548</v>
      </c>
      <c r="I36" s="21" t="s">
        <v>337</v>
      </c>
      <c r="J36" s="53">
        <f>S36</f>
        <v>4100</v>
      </c>
      <c r="K36" s="17"/>
      <c r="L36" s="21"/>
      <c r="M36" s="21"/>
      <c r="N36" s="330"/>
      <c r="O36" s="447"/>
      <c r="P36" s="447"/>
      <c r="Q36" s="447"/>
      <c r="R36" s="405" t="s">
        <v>1624</v>
      </c>
      <c r="S36" s="409">
        <v>4100</v>
      </c>
      <c r="T36" s="402"/>
      <c r="U36" s="402"/>
      <c r="V36" s="402"/>
      <c r="W36" s="402"/>
      <c r="X36" s="403"/>
      <c r="Y36" s="403"/>
      <c r="Z36" s="403"/>
      <c r="AA36" s="402"/>
      <c r="AB36" s="218"/>
    </row>
    <row r="37" spans="2:28" s="10" customFormat="1" ht="15.95" customHeight="1" x14ac:dyDescent="0.25">
      <c r="B37" s="158" t="s">
        <v>198</v>
      </c>
      <c r="I37" s="17" t="s">
        <v>337</v>
      </c>
      <c r="J37" s="37" t="s">
        <v>337</v>
      </c>
      <c r="K37" s="21"/>
      <c r="L37" s="21">
        <f>SUM(I34:J36)</f>
        <v>435200</v>
      </c>
      <c r="M37" s="21"/>
      <c r="N37" s="330"/>
      <c r="O37" s="447"/>
      <c r="P37" s="447"/>
      <c r="Q37" s="447"/>
      <c r="R37" s="447"/>
      <c r="S37" s="402"/>
      <c r="T37" s="402"/>
      <c r="U37" s="402"/>
      <c r="V37" s="402"/>
      <c r="W37" s="402"/>
      <c r="X37" s="403"/>
      <c r="Y37" s="403"/>
      <c r="Z37" s="403"/>
      <c r="AA37" s="402"/>
      <c r="AB37" s="218"/>
    </row>
    <row r="38" spans="2:28" s="10" customFormat="1" ht="15.95" customHeight="1" x14ac:dyDescent="0.25">
      <c r="B38" s="10" t="s">
        <v>470</v>
      </c>
      <c r="I38" s="389"/>
      <c r="J38" s="400"/>
      <c r="K38" s="21"/>
      <c r="L38" s="21"/>
      <c r="M38" s="21"/>
      <c r="N38" s="330"/>
      <c r="O38" s="447"/>
      <c r="P38" s="447"/>
      <c r="Q38" s="447"/>
      <c r="R38" s="447"/>
      <c r="S38" s="402"/>
      <c r="T38" s="402"/>
      <c r="U38" s="402"/>
      <c r="V38" s="402"/>
      <c r="W38" s="402"/>
      <c r="X38" s="403"/>
      <c r="Y38" s="403"/>
      <c r="Z38" s="403"/>
      <c r="AA38" s="402"/>
      <c r="AB38" s="218"/>
    </row>
    <row r="39" spans="2:28" s="10" customFormat="1" ht="15.95" customHeight="1" x14ac:dyDescent="0.25">
      <c r="B39" s="128" t="s">
        <v>199</v>
      </c>
      <c r="I39" s="10" t="s">
        <v>337</v>
      </c>
      <c r="J39" s="110">
        <f t="shared" ref="J39:J44" si="0">S39</f>
        <v>246100</v>
      </c>
      <c r="K39" s="21"/>
      <c r="L39" s="21"/>
      <c r="M39" s="21"/>
      <c r="N39" s="330"/>
      <c r="O39" s="447"/>
      <c r="P39" s="447"/>
      <c r="Q39" s="447"/>
      <c r="R39" s="405" t="s">
        <v>308</v>
      </c>
      <c r="S39" s="409">
        <v>246100</v>
      </c>
      <c r="T39" s="402"/>
      <c r="U39" s="402"/>
      <c r="V39" s="402"/>
      <c r="W39" s="402"/>
      <c r="X39" s="403"/>
      <c r="Y39" s="403"/>
      <c r="Z39" s="403"/>
      <c r="AA39" s="402"/>
      <c r="AB39" s="218"/>
    </row>
    <row r="40" spans="2:28" s="10" customFormat="1" ht="15.95" customHeight="1" x14ac:dyDescent="0.25">
      <c r="B40" s="69" t="s">
        <v>200</v>
      </c>
      <c r="I40" s="10" t="s">
        <v>337</v>
      </c>
      <c r="J40" s="111">
        <f t="shared" si="0"/>
        <v>103500</v>
      </c>
      <c r="K40" s="389"/>
      <c r="L40" s="389"/>
      <c r="M40" s="17"/>
      <c r="N40" s="336"/>
      <c r="O40" s="461"/>
      <c r="P40" s="461"/>
      <c r="Q40" s="461"/>
      <c r="R40" s="405" t="s">
        <v>721</v>
      </c>
      <c r="S40" s="409">
        <v>103500</v>
      </c>
      <c r="T40" s="402"/>
      <c r="U40" s="402"/>
      <c r="V40" s="402"/>
      <c r="W40" s="402"/>
      <c r="X40" s="403"/>
      <c r="Y40" s="403"/>
      <c r="Z40" s="403"/>
      <c r="AA40" s="402"/>
      <c r="AB40" s="218"/>
    </row>
    <row r="41" spans="2:28" s="10" customFormat="1" ht="15.95" customHeight="1" x14ac:dyDescent="0.25">
      <c r="B41" s="69" t="s">
        <v>201</v>
      </c>
      <c r="I41" s="42" t="s">
        <v>337</v>
      </c>
      <c r="J41" s="42">
        <f t="shared" si="0"/>
        <v>36900</v>
      </c>
      <c r="K41" s="399"/>
      <c r="L41" s="399"/>
      <c r="M41" s="19"/>
      <c r="N41" s="315"/>
      <c r="O41" s="452"/>
      <c r="P41" s="452"/>
      <c r="Q41" s="452"/>
      <c r="R41" s="405" t="s">
        <v>1628</v>
      </c>
      <c r="S41" s="409">
        <v>36900</v>
      </c>
      <c r="T41" s="402"/>
      <c r="U41" s="402"/>
      <c r="V41" s="402"/>
      <c r="W41" s="402"/>
      <c r="X41" s="403"/>
      <c r="Y41" s="403"/>
      <c r="Z41" s="403"/>
      <c r="AA41" s="402"/>
      <c r="AB41" s="218"/>
    </row>
    <row r="42" spans="2:28" s="10" customFormat="1" ht="15.95" customHeight="1" x14ac:dyDescent="0.25">
      <c r="B42" s="69" t="s">
        <v>202</v>
      </c>
      <c r="I42" s="42" t="s">
        <v>337</v>
      </c>
      <c r="J42" s="42">
        <f t="shared" si="0"/>
        <v>21300</v>
      </c>
      <c r="K42" s="21"/>
      <c r="L42" s="21"/>
      <c r="M42" s="21"/>
      <c r="N42" s="330"/>
      <c r="O42" s="447"/>
      <c r="P42" s="447"/>
      <c r="Q42" s="447"/>
      <c r="R42" s="405" t="s">
        <v>474</v>
      </c>
      <c r="S42" s="409">
        <v>21300</v>
      </c>
      <c r="T42" s="402"/>
      <c r="U42" s="402"/>
      <c r="V42" s="402"/>
      <c r="W42" s="402"/>
      <c r="X42" s="403"/>
      <c r="Y42" s="403"/>
      <c r="Z42" s="403"/>
      <c r="AA42" s="402"/>
      <c r="AB42" s="218"/>
    </row>
    <row r="43" spans="2:28" s="10" customFormat="1" ht="15.95" customHeight="1" x14ac:dyDescent="0.25">
      <c r="B43" s="69" t="s">
        <v>203</v>
      </c>
      <c r="I43" s="42" t="s">
        <v>337</v>
      </c>
      <c r="J43" s="42">
        <f t="shared" si="0"/>
        <v>12450</v>
      </c>
      <c r="K43" s="389"/>
      <c r="L43" s="389"/>
      <c r="M43" s="17"/>
      <c r="N43" s="336"/>
      <c r="O43" s="461"/>
      <c r="P43" s="461"/>
      <c r="Q43" s="461"/>
      <c r="R43" s="405" t="s">
        <v>1623</v>
      </c>
      <c r="S43" s="409">
        <v>12450</v>
      </c>
      <c r="T43" s="402"/>
      <c r="U43" s="402"/>
      <c r="V43" s="402"/>
      <c r="W43" s="402"/>
      <c r="X43" s="403"/>
      <c r="Y43" s="403"/>
      <c r="Z43" s="403"/>
      <c r="AA43" s="402"/>
      <c r="AB43" s="218"/>
    </row>
    <row r="44" spans="2:28" s="10" customFormat="1" ht="15.95" customHeight="1" x14ac:dyDescent="0.25">
      <c r="B44" s="69" t="s">
        <v>204</v>
      </c>
      <c r="I44" s="42" t="s">
        <v>337</v>
      </c>
      <c r="J44" s="43">
        <f t="shared" si="0"/>
        <v>2700</v>
      </c>
      <c r="K44" s="21"/>
      <c r="M44" s="50"/>
      <c r="N44" s="337"/>
      <c r="O44" s="462"/>
      <c r="P44" s="462"/>
      <c r="Q44" s="462"/>
      <c r="R44" s="405" t="s">
        <v>475</v>
      </c>
      <c r="S44" s="409">
        <v>2700</v>
      </c>
      <c r="T44" s="402"/>
      <c r="U44" s="402"/>
      <c r="V44" s="402"/>
      <c r="W44" s="402"/>
      <c r="X44" s="403"/>
      <c r="Y44" s="403"/>
      <c r="Z44" s="403"/>
      <c r="AA44" s="402"/>
      <c r="AB44" s="218"/>
    </row>
    <row r="45" spans="2:28" s="10" customFormat="1" ht="15.95" customHeight="1" x14ac:dyDescent="0.25">
      <c r="B45" s="158" t="s">
        <v>205</v>
      </c>
      <c r="I45" s="42" t="s">
        <v>337</v>
      </c>
      <c r="J45" s="42" t="s">
        <v>337</v>
      </c>
      <c r="K45" s="21"/>
      <c r="L45" s="50">
        <f>SUM(I39:J44)</f>
        <v>422950</v>
      </c>
      <c r="M45" s="50"/>
      <c r="N45" s="337"/>
      <c r="O45" s="462"/>
      <c r="P45" s="462"/>
      <c r="Q45" s="462"/>
      <c r="R45" s="462"/>
      <c r="S45" s="402"/>
      <c r="T45" s="402"/>
      <c r="U45" s="402"/>
      <c r="V45" s="402"/>
      <c r="W45" s="402"/>
      <c r="X45" s="403"/>
      <c r="Y45" s="403"/>
      <c r="Z45" s="403"/>
      <c r="AA45" s="402"/>
      <c r="AB45" s="218"/>
    </row>
    <row r="46" spans="2:28" s="10" customFormat="1" ht="15.95" customHeight="1" thickBot="1" x14ac:dyDescent="0.3">
      <c r="B46" s="10" t="s">
        <v>1625</v>
      </c>
      <c r="I46" s="45" t="s">
        <v>337</v>
      </c>
      <c r="J46" s="45" t="s">
        <v>337</v>
      </c>
      <c r="K46" s="21"/>
      <c r="L46" s="264">
        <f>L37-L45</f>
        <v>12250</v>
      </c>
      <c r="M46" s="45"/>
      <c r="N46" s="323"/>
      <c r="O46" s="447"/>
      <c r="P46" s="447"/>
      <c r="Q46" s="447"/>
      <c r="R46" s="447"/>
      <c r="S46" s="402"/>
      <c r="T46" s="402"/>
      <c r="U46" s="402"/>
      <c r="V46" s="402"/>
      <c r="W46" s="402"/>
      <c r="X46" s="403"/>
      <c r="Y46" s="403"/>
      <c r="Z46" s="403"/>
      <c r="AA46" s="402"/>
      <c r="AB46" s="218"/>
    </row>
    <row r="47" spans="2:28" s="10" customFormat="1" ht="5.0999999999999996" customHeight="1" thickTop="1" x14ac:dyDescent="0.25"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18"/>
      <c r="O47" s="402"/>
      <c r="P47" s="402"/>
      <c r="Q47" s="402"/>
      <c r="R47" s="402"/>
      <c r="S47" s="402"/>
      <c r="T47" s="402"/>
      <c r="U47" s="402"/>
      <c r="V47" s="402"/>
      <c r="W47" s="402"/>
      <c r="X47" s="403"/>
      <c r="Y47" s="403"/>
      <c r="Z47" s="403"/>
      <c r="AA47" s="402"/>
      <c r="AB47" s="218"/>
    </row>
    <row r="48" spans="2:28" s="10" customFormat="1" ht="15.95" customHeight="1" x14ac:dyDescent="0.25">
      <c r="N48" s="313"/>
      <c r="O48" s="402"/>
      <c r="P48" s="402"/>
      <c r="Q48" s="402"/>
      <c r="R48" s="402"/>
      <c r="S48" s="402"/>
      <c r="T48" s="402"/>
      <c r="U48" s="402"/>
      <c r="V48" s="402"/>
      <c r="W48" s="402"/>
      <c r="X48" s="403"/>
      <c r="Y48" s="403"/>
      <c r="Z48" s="403"/>
      <c r="AA48" s="402"/>
      <c r="AB48" s="218"/>
    </row>
    <row r="49" spans="1:28" s="10" customFormat="1" ht="15.95" customHeight="1" x14ac:dyDescent="0.25">
      <c r="N49" s="313"/>
      <c r="O49" s="402"/>
      <c r="P49" s="402"/>
      <c r="Q49" s="402"/>
      <c r="R49" s="402"/>
      <c r="S49" s="402"/>
      <c r="T49" s="402"/>
      <c r="U49" s="402"/>
      <c r="V49" s="402"/>
      <c r="W49" s="402"/>
      <c r="X49" s="403"/>
      <c r="Y49" s="403"/>
      <c r="Z49" s="403"/>
      <c r="AA49" s="402"/>
      <c r="AB49" s="218"/>
    </row>
    <row r="50" spans="1:28" s="10" customFormat="1" ht="15.95" customHeight="1" x14ac:dyDescent="0.25">
      <c r="N50" s="313"/>
      <c r="O50" s="402"/>
      <c r="P50" s="402"/>
      <c r="Q50" s="402"/>
      <c r="R50" s="402"/>
      <c r="S50" s="402"/>
      <c r="T50" s="402"/>
      <c r="U50" s="402"/>
      <c r="V50" s="402"/>
      <c r="W50" s="402"/>
      <c r="X50" s="403"/>
      <c r="Y50" s="403"/>
      <c r="Z50" s="403"/>
      <c r="AA50" s="402"/>
      <c r="AB50" s="218"/>
    </row>
    <row r="51" spans="1:28" s="10" customFormat="1" ht="15.95" customHeight="1" x14ac:dyDescent="0.25">
      <c r="N51" s="313"/>
      <c r="O51" s="402"/>
      <c r="P51" s="402"/>
      <c r="Q51" s="402"/>
      <c r="R51" s="402"/>
      <c r="S51" s="402"/>
      <c r="T51" s="402"/>
      <c r="U51" s="402"/>
      <c r="V51" s="402"/>
      <c r="W51" s="402"/>
      <c r="X51" s="403"/>
      <c r="Y51" s="403"/>
      <c r="Z51" s="403"/>
      <c r="AA51" s="402"/>
      <c r="AB51" s="218"/>
    </row>
    <row r="52" spans="1:28" s="10" customFormat="1" ht="15.95" customHeight="1" x14ac:dyDescent="0.25">
      <c r="N52" s="313"/>
      <c r="O52" s="402"/>
      <c r="P52" s="402"/>
      <c r="Q52" s="402"/>
      <c r="R52" s="402"/>
      <c r="S52" s="402"/>
      <c r="T52" s="402"/>
      <c r="U52" s="402"/>
      <c r="V52" s="402"/>
      <c r="W52" s="402"/>
      <c r="X52" s="403"/>
      <c r="Y52" s="403"/>
      <c r="Z52" s="403"/>
      <c r="AA52" s="402"/>
      <c r="AB52" s="218"/>
    </row>
    <row r="53" spans="1:28" s="10" customFormat="1" ht="15.95" customHeight="1" x14ac:dyDescent="0.25">
      <c r="N53" s="313"/>
      <c r="O53" s="402"/>
      <c r="P53" s="402"/>
      <c r="Q53" s="402"/>
      <c r="R53" s="402"/>
      <c r="S53" s="402"/>
      <c r="T53" s="402"/>
      <c r="U53" s="402"/>
      <c r="V53" s="402"/>
      <c r="W53" s="402"/>
      <c r="X53" s="403"/>
      <c r="Y53" s="403"/>
      <c r="Z53" s="403"/>
      <c r="AA53" s="402"/>
      <c r="AB53" s="218"/>
    </row>
    <row r="54" spans="1:28" s="10" customFormat="1" ht="15" customHeight="1" x14ac:dyDescent="0.25">
      <c r="N54" s="313"/>
      <c r="O54" s="402"/>
      <c r="P54" s="402"/>
      <c r="Q54" s="402"/>
      <c r="R54" s="402"/>
      <c r="S54" s="402"/>
      <c r="T54" s="402"/>
      <c r="U54" s="402"/>
      <c r="V54" s="402"/>
      <c r="W54" s="402"/>
      <c r="X54" s="403"/>
      <c r="Y54" s="403"/>
      <c r="Z54" s="403"/>
      <c r="AA54" s="402"/>
      <c r="AB54" s="218"/>
    </row>
    <row r="55" spans="1:28" s="10" customFormat="1" ht="15" customHeight="1" x14ac:dyDescent="0.25">
      <c r="N55" s="313"/>
      <c r="O55" s="402"/>
      <c r="P55" s="402"/>
      <c r="Q55" s="402"/>
      <c r="R55" s="402"/>
      <c r="S55" s="402"/>
      <c r="T55" s="402"/>
      <c r="U55" s="402"/>
      <c r="V55" s="402"/>
      <c r="W55" s="402"/>
      <c r="X55" s="403"/>
      <c r="Y55" s="403"/>
      <c r="Z55" s="403"/>
      <c r="AA55" s="402"/>
      <c r="AB55" s="218"/>
    </row>
    <row r="56" spans="1:28" s="10" customFormat="1" ht="15" customHeight="1" x14ac:dyDescent="0.25">
      <c r="N56" s="313"/>
      <c r="O56" s="402"/>
      <c r="P56" s="402"/>
      <c r="Q56" s="402"/>
      <c r="R56" s="402"/>
      <c r="S56" s="402"/>
      <c r="T56" s="402"/>
      <c r="U56" s="402"/>
      <c r="V56" s="402"/>
      <c r="W56" s="402"/>
      <c r="X56" s="403"/>
      <c r="Y56" s="403"/>
      <c r="Z56" s="403"/>
      <c r="AA56" s="402"/>
      <c r="AB56" s="218"/>
    </row>
    <row r="57" spans="1:28" ht="15.75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313"/>
      <c r="O57" s="402"/>
      <c r="R57" s="402"/>
      <c r="T57" s="402"/>
      <c r="U57" s="402"/>
      <c r="V57" s="402"/>
      <c r="W57" s="402"/>
      <c r="X57" s="403"/>
      <c r="Y57" s="403"/>
      <c r="Z57" s="403"/>
      <c r="AA57" s="403"/>
      <c r="AB57" s="316"/>
    </row>
    <row r="58" spans="1:28" x14ac:dyDescent="0.2">
      <c r="T58" s="402"/>
      <c r="U58" s="402"/>
      <c r="V58" s="402"/>
      <c r="W58" s="402"/>
      <c r="X58" s="403"/>
      <c r="Y58" s="403"/>
      <c r="Z58" s="403"/>
      <c r="AA58" s="403"/>
      <c r="AB58" s="316"/>
    </row>
    <row r="59" spans="1:28" x14ac:dyDescent="0.2">
      <c r="T59" s="402"/>
      <c r="U59" s="402"/>
      <c r="V59" s="402"/>
      <c r="W59" s="402"/>
      <c r="X59" s="403"/>
      <c r="Y59" s="403"/>
      <c r="Z59" s="403"/>
      <c r="AA59" s="403"/>
    </row>
    <row r="60" spans="1:28" x14ac:dyDescent="0.2">
      <c r="T60" s="402"/>
      <c r="U60" s="402"/>
      <c r="V60" s="402"/>
      <c r="W60" s="402"/>
      <c r="X60" s="403"/>
      <c r="Y60" s="403"/>
      <c r="Z60" s="403"/>
      <c r="AA60" s="403"/>
    </row>
  </sheetData>
  <customSheetViews>
    <customSheetView guid="{B2DDA8C4-3089-41F7-BA6E-A0E09596A2CA}" scale="80" showPageBreaks="1" fitToPage="1" printArea="1">
      <selection activeCell="B27" sqref="B27"/>
      <pageMargins left="0.75" right="1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B27" sqref="B27"/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27" sqref="B27"/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27" sqref="B27"/>
      <pageMargins left="0.75" right="1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27" sqref="B27"/>
      <pageMargins left="0.75" right="1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7">
    <mergeCell ref="B29:L29"/>
    <mergeCell ref="B30:L30"/>
    <mergeCell ref="B31:L31"/>
    <mergeCell ref="K43:L43"/>
    <mergeCell ref="K40:L40"/>
    <mergeCell ref="K41:L41"/>
    <mergeCell ref="I38:J38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50"/>
  <sheetViews>
    <sheetView zoomScale="70" zoomScaleNormal="70" workbookViewId="0">
      <selection activeCell="C1" sqref="C1"/>
    </sheetView>
  </sheetViews>
  <sheetFormatPr defaultRowHeight="12.75" x14ac:dyDescent="0.2"/>
  <cols>
    <col min="1" max="1" width="1.7109375" style="2" customWidth="1"/>
    <col min="2" max="2" width="2.7109375" style="2" customWidth="1"/>
    <col min="3" max="3" width="9.140625" style="2"/>
    <col min="4" max="5" width="10.7109375" style="2" customWidth="1"/>
    <col min="6" max="6" width="11.140625" style="2" customWidth="1"/>
    <col min="7" max="7" width="15.85546875" style="2" customWidth="1"/>
    <col min="8" max="8" width="1.85546875" style="2" customWidth="1"/>
    <col min="9" max="9" width="11.5703125" style="2" customWidth="1"/>
    <col min="10" max="10" width="2.7109375" style="2" customWidth="1"/>
    <col min="11" max="11" width="12" style="2" customWidth="1"/>
    <col min="12" max="12" width="2.7109375" style="2" customWidth="1"/>
    <col min="13" max="13" width="13.7109375" style="312" customWidth="1"/>
    <col min="14" max="14" width="2.7109375" style="312" customWidth="1"/>
    <col min="15" max="15" width="0" style="407" hidden="1" customWidth="1"/>
    <col min="16" max="16" width="2.7109375" style="407" hidden="1" customWidth="1"/>
    <col min="17" max="17" width="0" style="407" hidden="1" customWidth="1"/>
    <col min="18" max="18" width="2.7109375" style="312" customWidth="1"/>
    <col min="19" max="19" width="9.140625" style="312"/>
    <col min="20" max="20" width="2.7109375" style="312" customWidth="1"/>
    <col min="21" max="21" width="9.140625" style="2"/>
    <col min="22" max="22" width="2.7109375" style="2" customWidth="1"/>
    <col min="23" max="16384" width="9.140625" style="2"/>
  </cols>
  <sheetData>
    <row r="1" spans="2:23" ht="28.5" customHeight="1" x14ac:dyDescent="0.2"/>
    <row r="2" spans="2:23" ht="15.95" customHeight="1" x14ac:dyDescent="0.25">
      <c r="B2" s="26" t="s">
        <v>627</v>
      </c>
      <c r="C2" s="48"/>
      <c r="D2" s="48"/>
      <c r="E2" s="48"/>
      <c r="F2" s="48"/>
      <c r="G2" s="48"/>
      <c r="H2" s="48"/>
      <c r="I2" s="48"/>
      <c r="J2" s="48"/>
      <c r="K2" s="48"/>
    </row>
    <row r="3" spans="2:23" ht="5.0999999999999996" customHeight="1" x14ac:dyDescent="0.25">
      <c r="B3" s="39"/>
      <c r="C3" s="40"/>
      <c r="D3" s="40"/>
      <c r="E3" s="40"/>
      <c r="F3" s="40"/>
      <c r="G3" s="40"/>
      <c r="H3" s="40"/>
      <c r="I3" s="40"/>
      <c r="J3" s="40"/>
      <c r="K3" s="40"/>
    </row>
    <row r="4" spans="2:23" s="10" customFormat="1" ht="15.95" customHeight="1" x14ac:dyDescent="0.25">
      <c r="B4" s="363" t="s">
        <v>1621</v>
      </c>
      <c r="C4" s="363"/>
      <c r="D4" s="363"/>
      <c r="E4" s="363"/>
      <c r="F4" s="363"/>
      <c r="G4" s="363"/>
      <c r="H4" s="363"/>
      <c r="I4" s="363"/>
      <c r="J4" s="363"/>
      <c r="K4" s="363"/>
      <c r="M4" s="313"/>
      <c r="N4" s="313"/>
      <c r="O4" s="402"/>
      <c r="P4" s="402"/>
      <c r="Q4" s="402"/>
      <c r="R4" s="313"/>
      <c r="S4" s="313"/>
      <c r="T4" s="313"/>
    </row>
    <row r="5" spans="2:23" s="10" customFormat="1" ht="15.95" customHeight="1" x14ac:dyDescent="0.25">
      <c r="B5" s="363" t="s">
        <v>763</v>
      </c>
      <c r="C5" s="363"/>
      <c r="D5" s="363"/>
      <c r="E5" s="363"/>
      <c r="F5" s="363"/>
      <c r="G5" s="363"/>
      <c r="H5" s="363"/>
      <c r="I5" s="363"/>
      <c r="J5" s="363"/>
      <c r="K5" s="363"/>
      <c r="M5" s="313"/>
      <c r="N5" s="313"/>
      <c r="O5" s="402"/>
      <c r="P5" s="402"/>
      <c r="Q5" s="402"/>
      <c r="R5" s="313"/>
      <c r="S5" s="313"/>
      <c r="T5" s="313"/>
    </row>
    <row r="6" spans="2:23" s="10" customFormat="1" ht="15.95" customHeight="1" x14ac:dyDescent="0.25">
      <c r="B6" s="366" t="s">
        <v>1119</v>
      </c>
      <c r="C6" s="395"/>
      <c r="D6" s="395"/>
      <c r="E6" s="395"/>
      <c r="F6" s="395"/>
      <c r="G6" s="395"/>
      <c r="H6" s="395"/>
      <c r="I6" s="395"/>
      <c r="J6" s="395"/>
      <c r="K6" s="395"/>
      <c r="M6" s="313"/>
      <c r="N6" s="313"/>
      <c r="O6" s="402"/>
      <c r="P6" s="402"/>
      <c r="Q6" s="402"/>
      <c r="R6" s="313"/>
      <c r="S6" s="313"/>
      <c r="T6" s="313"/>
    </row>
    <row r="7" spans="2:23" s="10" customFormat="1" ht="5.0999999999999996" customHeight="1" x14ac:dyDescent="0.25">
      <c r="M7" s="313"/>
      <c r="N7" s="313"/>
      <c r="O7" s="402"/>
      <c r="P7" s="402"/>
      <c r="Q7" s="402"/>
      <c r="R7" s="313"/>
      <c r="S7" s="313"/>
      <c r="T7" s="313"/>
    </row>
    <row r="8" spans="2:23" s="10" customFormat="1" ht="15.95" customHeight="1" x14ac:dyDescent="0.25">
      <c r="B8" s="357" t="s">
        <v>1490</v>
      </c>
      <c r="C8" s="357"/>
      <c r="D8" s="357"/>
      <c r="E8" s="357"/>
      <c r="F8" s="357"/>
      <c r="G8" s="357"/>
      <c r="H8" s="357"/>
      <c r="I8" s="357"/>
      <c r="J8" s="357"/>
      <c r="K8" s="357"/>
      <c r="M8" s="313"/>
      <c r="N8" s="313"/>
      <c r="O8" s="402"/>
      <c r="P8" s="402"/>
      <c r="Q8" s="402"/>
      <c r="R8" s="313"/>
      <c r="S8" s="313"/>
      <c r="T8" s="313"/>
    </row>
    <row r="9" spans="2:23" s="10" customFormat="1" ht="15.95" customHeight="1" x14ac:dyDescent="0.25">
      <c r="B9" s="10" t="s">
        <v>872</v>
      </c>
      <c r="I9" s="26"/>
      <c r="M9" s="313"/>
      <c r="N9" s="313"/>
      <c r="O9" s="402"/>
      <c r="P9" s="402"/>
      <c r="Q9" s="418" t="s">
        <v>1682</v>
      </c>
      <c r="R9" s="313"/>
      <c r="S9" s="313"/>
      <c r="T9" s="313"/>
    </row>
    <row r="10" spans="2:23" s="10" customFormat="1" ht="15.95" customHeight="1" x14ac:dyDescent="0.25">
      <c r="B10" s="69" t="s">
        <v>1629</v>
      </c>
      <c r="F10" s="77"/>
      <c r="H10" s="10" t="s">
        <v>337</v>
      </c>
      <c r="I10" s="112">
        <f>Q10</f>
        <v>7700</v>
      </c>
      <c r="J10" s="17"/>
      <c r="K10" s="17"/>
      <c r="M10" s="313"/>
      <c r="N10" s="313"/>
      <c r="O10" s="402"/>
      <c r="P10" s="405" t="s">
        <v>363</v>
      </c>
      <c r="Q10" s="409">
        <v>7700</v>
      </c>
      <c r="R10" s="313"/>
      <c r="S10" s="313"/>
      <c r="T10" s="313"/>
      <c r="V10" s="26"/>
      <c r="W10" s="110"/>
    </row>
    <row r="11" spans="2:23" s="10" customFormat="1" ht="15.95" customHeight="1" x14ac:dyDescent="0.25">
      <c r="B11" s="69" t="s">
        <v>1630</v>
      </c>
      <c r="E11" s="77"/>
      <c r="H11" s="10" t="s">
        <v>337</v>
      </c>
      <c r="I11" s="78">
        <f>Q11</f>
        <v>39200</v>
      </c>
      <c r="J11" s="17"/>
      <c r="K11" s="17"/>
      <c r="M11" s="313"/>
      <c r="N11" s="313"/>
      <c r="O11" s="402"/>
      <c r="P11" s="405" t="s">
        <v>792</v>
      </c>
      <c r="Q11" s="409">
        <v>39200</v>
      </c>
      <c r="R11" s="313"/>
      <c r="S11" s="313"/>
      <c r="T11" s="313"/>
    </row>
    <row r="12" spans="2:23" s="10" customFormat="1" ht="15.95" customHeight="1" x14ac:dyDescent="0.25">
      <c r="B12" s="69" t="s">
        <v>1631</v>
      </c>
      <c r="E12" s="77"/>
      <c r="H12" s="10" t="s">
        <v>337</v>
      </c>
      <c r="I12" s="78">
        <f>Q12</f>
        <v>6100</v>
      </c>
      <c r="J12" s="17"/>
      <c r="K12" s="17"/>
      <c r="M12" s="313"/>
      <c r="N12" s="313"/>
      <c r="O12" s="402"/>
      <c r="P12" s="405" t="s">
        <v>48</v>
      </c>
      <c r="Q12" s="409">
        <v>6100</v>
      </c>
      <c r="R12" s="313"/>
      <c r="S12" s="313"/>
      <c r="T12" s="313"/>
    </row>
    <row r="13" spans="2:23" s="10" customFormat="1" ht="15.95" customHeight="1" x14ac:dyDescent="0.25">
      <c r="B13" s="69" t="s">
        <v>1632</v>
      </c>
      <c r="F13" s="77"/>
      <c r="H13" s="10" t="s">
        <v>337</v>
      </c>
      <c r="I13" s="53">
        <f>Q13</f>
        <v>27300</v>
      </c>
      <c r="J13" s="17"/>
      <c r="K13" s="17"/>
      <c r="M13" s="313"/>
      <c r="N13" s="313"/>
      <c r="O13" s="402"/>
      <c r="P13" s="405" t="s">
        <v>49</v>
      </c>
      <c r="Q13" s="409">
        <v>27300</v>
      </c>
      <c r="R13" s="313"/>
      <c r="S13" s="313"/>
      <c r="T13" s="313"/>
    </row>
    <row r="14" spans="2:23" s="10" customFormat="1" ht="15.95" customHeight="1" x14ac:dyDescent="0.25">
      <c r="B14" s="158" t="s">
        <v>1560</v>
      </c>
      <c r="G14" s="77"/>
      <c r="H14" s="77" t="s">
        <v>337</v>
      </c>
      <c r="I14" s="41" t="s">
        <v>337</v>
      </c>
      <c r="J14" s="17"/>
      <c r="K14" s="64">
        <f>SUM(I10:I13)</f>
        <v>80300</v>
      </c>
      <c r="M14" s="313"/>
      <c r="N14" s="313"/>
      <c r="O14" s="402"/>
      <c r="P14" s="402"/>
      <c r="Q14" s="402"/>
      <c r="R14" s="313"/>
      <c r="S14" s="313"/>
      <c r="T14" s="313"/>
    </row>
    <row r="15" spans="2:23" s="10" customFormat="1" ht="15.95" customHeight="1" x14ac:dyDescent="0.25">
      <c r="B15" s="10" t="s">
        <v>401</v>
      </c>
      <c r="I15" s="41"/>
      <c r="J15" s="17"/>
      <c r="K15" s="17"/>
      <c r="M15" s="313"/>
      <c r="N15" s="313"/>
      <c r="O15" s="402"/>
      <c r="P15" s="402"/>
      <c r="Q15" s="402"/>
      <c r="R15" s="313"/>
      <c r="S15" s="313"/>
      <c r="T15" s="313"/>
    </row>
    <row r="16" spans="2:23" s="10" customFormat="1" ht="15.95" customHeight="1" x14ac:dyDescent="0.25">
      <c r="B16" s="69" t="s">
        <v>1633</v>
      </c>
      <c r="F16" s="77"/>
      <c r="H16" s="10" t="s">
        <v>337</v>
      </c>
      <c r="I16" s="41" t="s">
        <v>337</v>
      </c>
      <c r="J16" s="17"/>
      <c r="K16" s="46">
        <f>Q16</f>
        <v>35000</v>
      </c>
      <c r="M16" s="313"/>
      <c r="N16" s="313"/>
      <c r="O16" s="402"/>
      <c r="P16" s="405" t="s">
        <v>50</v>
      </c>
      <c r="Q16" s="409">
        <v>35000</v>
      </c>
      <c r="R16" s="313"/>
      <c r="S16" s="313"/>
      <c r="T16" s="313"/>
      <c r="V16" s="209"/>
      <c r="W16" s="210"/>
    </row>
    <row r="17" spans="2:23" s="10" customFormat="1" ht="15.95" customHeight="1" x14ac:dyDescent="0.25">
      <c r="B17" s="10" t="s">
        <v>403</v>
      </c>
      <c r="I17" s="41"/>
      <c r="J17" s="17"/>
      <c r="K17" s="46"/>
      <c r="M17" s="313"/>
      <c r="N17" s="313"/>
      <c r="O17" s="402"/>
      <c r="P17" s="402"/>
      <c r="Q17" s="402"/>
      <c r="R17" s="313"/>
      <c r="S17" s="313"/>
      <c r="T17" s="313"/>
    </row>
    <row r="18" spans="2:23" s="10" customFormat="1" ht="15.95" customHeight="1" x14ac:dyDescent="0.25">
      <c r="B18" s="69" t="s">
        <v>1634</v>
      </c>
      <c r="F18" s="77"/>
      <c r="H18" s="10" t="s">
        <v>337</v>
      </c>
      <c r="I18" s="41">
        <f>Q18</f>
        <v>270800</v>
      </c>
      <c r="J18" s="17"/>
      <c r="K18" s="46"/>
      <c r="M18" s="313"/>
      <c r="N18" s="313"/>
      <c r="O18" s="402"/>
      <c r="P18" s="405" t="s">
        <v>51</v>
      </c>
      <c r="Q18" s="409">
        <v>270800</v>
      </c>
      <c r="R18" s="313"/>
      <c r="S18" s="313"/>
      <c r="T18" s="313"/>
      <c r="V18" s="2"/>
      <c r="W18" s="2"/>
    </row>
    <row r="19" spans="2:23" s="10" customFormat="1" ht="15.95" customHeight="1" x14ac:dyDescent="0.25">
      <c r="B19" s="69" t="s">
        <v>1635</v>
      </c>
      <c r="F19" s="77"/>
      <c r="H19" s="10" t="s">
        <v>337</v>
      </c>
      <c r="I19" s="302">
        <f>-Q19</f>
        <v>-42300</v>
      </c>
      <c r="J19" s="17"/>
      <c r="K19" s="46">
        <f>I18+I19</f>
        <v>228500</v>
      </c>
      <c r="M19" s="313"/>
      <c r="N19" s="313"/>
      <c r="O19" s="402"/>
      <c r="P19" s="405" t="s">
        <v>47</v>
      </c>
      <c r="Q19" s="409">
        <v>42300</v>
      </c>
      <c r="R19" s="313"/>
      <c r="S19" s="313"/>
      <c r="T19" s="313"/>
    </row>
    <row r="20" spans="2:23" s="10" customFormat="1" ht="15.95" customHeight="1" thickBot="1" x14ac:dyDescent="0.3">
      <c r="B20" s="10" t="s">
        <v>1636</v>
      </c>
      <c r="F20" s="77"/>
      <c r="H20" s="10" t="s">
        <v>337</v>
      </c>
      <c r="I20" s="41" t="s">
        <v>337</v>
      </c>
      <c r="J20" s="17"/>
      <c r="K20" s="47">
        <f>SUM(K14:K19)</f>
        <v>343800</v>
      </c>
      <c r="M20" s="313"/>
      <c r="N20" s="313"/>
      <c r="O20" s="402"/>
      <c r="P20" s="402"/>
      <c r="Q20" s="402"/>
      <c r="R20" s="313"/>
      <c r="S20" s="313"/>
      <c r="T20" s="313"/>
      <c r="V20" s="2"/>
      <c r="W20" s="2"/>
    </row>
    <row r="21" spans="2:23" s="10" customFormat="1" ht="5.0999999999999996" customHeight="1" thickTop="1" x14ac:dyDescent="0.25">
      <c r="F21" s="77"/>
      <c r="I21" s="17"/>
      <c r="J21" s="17"/>
      <c r="K21" s="41"/>
      <c r="M21" s="313"/>
      <c r="N21" s="313"/>
      <c r="O21" s="402"/>
      <c r="P21" s="402"/>
      <c r="Q21" s="402"/>
      <c r="R21" s="313"/>
      <c r="S21" s="313"/>
      <c r="T21" s="313"/>
    </row>
    <row r="22" spans="2:23" s="10" customFormat="1" ht="15.95" customHeight="1" x14ac:dyDescent="0.25">
      <c r="B22" s="357" t="s">
        <v>771</v>
      </c>
      <c r="C22" s="357"/>
      <c r="D22" s="357"/>
      <c r="E22" s="357"/>
      <c r="F22" s="357"/>
      <c r="G22" s="357"/>
      <c r="H22" s="357"/>
      <c r="I22" s="357"/>
      <c r="J22" s="357"/>
      <c r="K22" s="357"/>
      <c r="M22" s="313"/>
      <c r="N22" s="313"/>
      <c r="O22" s="402"/>
      <c r="P22" s="402"/>
      <c r="Q22" s="402"/>
      <c r="R22" s="313"/>
      <c r="S22" s="313"/>
      <c r="T22" s="313"/>
    </row>
    <row r="23" spans="2:23" s="10" customFormat="1" ht="15.95" customHeight="1" x14ac:dyDescent="0.25">
      <c r="B23" s="10" t="s">
        <v>881</v>
      </c>
      <c r="I23" s="41"/>
      <c r="J23" s="17"/>
      <c r="K23" s="17"/>
      <c r="M23" s="313"/>
      <c r="N23" s="313"/>
      <c r="O23" s="402"/>
      <c r="P23" s="402"/>
      <c r="Q23" s="402"/>
      <c r="R23" s="313"/>
      <c r="S23" s="313"/>
      <c r="T23" s="313"/>
      <c r="V23" s="26"/>
      <c r="W23" s="208"/>
    </row>
    <row r="24" spans="2:23" s="10" customFormat="1" ht="15.95" customHeight="1" x14ac:dyDescent="0.25">
      <c r="B24" s="69" t="s">
        <v>1637</v>
      </c>
      <c r="F24" s="77"/>
      <c r="H24" s="10" t="s">
        <v>337</v>
      </c>
      <c r="I24" s="64">
        <f>Q24</f>
        <v>17200</v>
      </c>
      <c r="J24" s="17"/>
      <c r="K24" s="17"/>
      <c r="M24" s="313"/>
      <c r="N24" s="313"/>
      <c r="O24" s="402"/>
      <c r="P24" s="405" t="s">
        <v>787</v>
      </c>
      <c r="Q24" s="409">
        <v>17200</v>
      </c>
      <c r="R24" s="313"/>
      <c r="S24" s="313"/>
      <c r="T24" s="313"/>
    </row>
    <row r="25" spans="2:23" s="10" customFormat="1" ht="15.95" customHeight="1" x14ac:dyDescent="0.25">
      <c r="B25" s="69" t="s">
        <v>1638</v>
      </c>
      <c r="E25" s="77"/>
      <c r="H25" s="10" t="s">
        <v>337</v>
      </c>
      <c r="I25" s="78">
        <f>Q25</f>
        <v>12500</v>
      </c>
      <c r="J25" s="17"/>
      <c r="K25" s="17"/>
      <c r="M25" s="313"/>
      <c r="N25" s="313"/>
      <c r="O25" s="402"/>
      <c r="P25" s="405" t="s">
        <v>52</v>
      </c>
      <c r="Q25" s="409">
        <v>12500</v>
      </c>
      <c r="R25" s="313"/>
      <c r="S25" s="313"/>
      <c r="T25" s="313"/>
    </row>
    <row r="26" spans="2:23" s="10" customFormat="1" ht="15.95" customHeight="1" x14ac:dyDescent="0.25">
      <c r="B26" s="69" t="s">
        <v>1639</v>
      </c>
      <c r="E26" s="77"/>
      <c r="H26" s="10" t="s">
        <v>337</v>
      </c>
      <c r="I26" s="78">
        <f>Q26</f>
        <v>1100</v>
      </c>
      <c r="J26" s="17"/>
      <c r="K26" s="17"/>
      <c r="M26" s="313"/>
      <c r="N26" s="313"/>
      <c r="O26" s="402"/>
      <c r="P26" s="405" t="s">
        <v>11</v>
      </c>
      <c r="Q26" s="409">
        <v>1100</v>
      </c>
      <c r="R26" s="313"/>
      <c r="S26" s="313"/>
      <c r="T26" s="313"/>
    </row>
    <row r="27" spans="2:23" s="10" customFormat="1" ht="15.95" customHeight="1" x14ac:dyDescent="0.25">
      <c r="B27" s="69" t="s">
        <v>1640</v>
      </c>
      <c r="D27" s="16"/>
      <c r="E27" s="16"/>
      <c r="F27" s="66"/>
      <c r="G27" s="16"/>
      <c r="H27" s="16" t="s">
        <v>337</v>
      </c>
      <c r="I27" s="53">
        <f>Q27</f>
        <v>4800</v>
      </c>
      <c r="J27" s="17"/>
      <c r="K27" s="17"/>
      <c r="M27" s="313"/>
      <c r="N27" s="313"/>
      <c r="O27" s="402"/>
      <c r="P27" s="405" t="s">
        <v>53</v>
      </c>
      <c r="Q27" s="409">
        <v>4800</v>
      </c>
      <c r="R27" s="313"/>
      <c r="S27" s="313"/>
      <c r="T27" s="313"/>
    </row>
    <row r="28" spans="2:23" s="10" customFormat="1" ht="15.95" customHeight="1" x14ac:dyDescent="0.25">
      <c r="B28" s="158" t="s">
        <v>996</v>
      </c>
      <c r="G28" s="77"/>
      <c r="H28" s="77" t="s">
        <v>337</v>
      </c>
      <c r="I28" s="41" t="s">
        <v>337</v>
      </c>
      <c r="J28" s="17"/>
      <c r="K28" s="64">
        <f>SUM(I24:I27)</f>
        <v>35600</v>
      </c>
      <c r="M28" s="313"/>
      <c r="N28" s="313"/>
      <c r="O28" s="402"/>
      <c r="P28" s="402"/>
      <c r="Q28" s="402"/>
      <c r="R28" s="313"/>
      <c r="S28" s="313"/>
      <c r="T28" s="313"/>
      <c r="V28" s="2"/>
      <c r="W28" s="2"/>
    </row>
    <row r="29" spans="2:23" s="10" customFormat="1" ht="15.95" customHeight="1" x14ac:dyDescent="0.25">
      <c r="B29" s="10" t="s">
        <v>886</v>
      </c>
      <c r="I29" s="41"/>
      <c r="J29" s="17"/>
      <c r="K29" s="17"/>
      <c r="M29" s="313"/>
      <c r="N29" s="313"/>
      <c r="O29" s="402"/>
      <c r="P29" s="402"/>
      <c r="Q29" s="402"/>
      <c r="R29" s="313"/>
      <c r="S29" s="313"/>
      <c r="T29" s="313"/>
    </row>
    <row r="30" spans="2:23" s="10" customFormat="1" ht="15.95" customHeight="1" x14ac:dyDescent="0.25">
      <c r="B30" s="69" t="s">
        <v>1641</v>
      </c>
      <c r="G30" s="77"/>
      <c r="H30" s="77" t="s">
        <v>337</v>
      </c>
      <c r="I30" s="41" t="s">
        <v>337</v>
      </c>
      <c r="J30" s="17"/>
      <c r="K30" s="53">
        <f>Q30</f>
        <v>160000</v>
      </c>
      <c r="M30" s="313"/>
      <c r="N30" s="313"/>
      <c r="O30" s="402"/>
      <c r="P30" s="405" t="s">
        <v>376</v>
      </c>
      <c r="Q30" s="409">
        <v>160000</v>
      </c>
      <c r="R30" s="313"/>
      <c r="S30" s="313"/>
      <c r="T30" s="313"/>
    </row>
    <row r="31" spans="2:23" s="10" customFormat="1" ht="15.95" customHeight="1" x14ac:dyDescent="0.25">
      <c r="B31" s="158" t="s">
        <v>1561</v>
      </c>
      <c r="G31" s="77"/>
      <c r="H31" s="77" t="s">
        <v>337</v>
      </c>
      <c r="I31" s="41" t="s">
        <v>337</v>
      </c>
      <c r="J31" s="17"/>
      <c r="K31" s="17">
        <f>SUM(K28:K30)</f>
        <v>195600</v>
      </c>
      <c r="M31" s="313"/>
      <c r="N31" s="313"/>
      <c r="O31" s="402"/>
      <c r="P31" s="402"/>
      <c r="Q31" s="402"/>
      <c r="R31" s="313"/>
      <c r="S31" s="313"/>
      <c r="T31" s="313"/>
    </row>
    <row r="32" spans="2:23" s="10" customFormat="1" ht="15.95" customHeight="1" x14ac:dyDescent="0.25">
      <c r="B32" s="10" t="s">
        <v>1000</v>
      </c>
      <c r="I32" s="41"/>
      <c r="J32" s="17"/>
      <c r="K32" s="17"/>
      <c r="M32" s="313"/>
      <c r="N32" s="313"/>
      <c r="O32" s="402"/>
      <c r="P32" s="402"/>
      <c r="Q32" s="402"/>
      <c r="R32" s="313"/>
      <c r="S32" s="313"/>
      <c r="T32" s="313"/>
    </row>
    <row r="33" spans="2:20" s="10" customFormat="1" ht="15.95" customHeight="1" x14ac:dyDescent="0.25">
      <c r="B33" s="69" t="s">
        <v>1642</v>
      </c>
      <c r="F33" s="77"/>
      <c r="H33" s="10" t="s">
        <v>337</v>
      </c>
      <c r="I33" s="41">
        <f>Q33</f>
        <v>100000</v>
      </c>
      <c r="J33" s="17"/>
      <c r="K33" s="17"/>
      <c r="M33" s="313"/>
      <c r="N33" s="313"/>
      <c r="O33" s="402"/>
      <c r="P33" s="405" t="s">
        <v>934</v>
      </c>
      <c r="Q33" s="409">
        <v>100000</v>
      </c>
      <c r="R33" s="313"/>
      <c r="S33" s="313"/>
      <c r="T33" s="313"/>
    </row>
    <row r="34" spans="2:20" s="10" customFormat="1" ht="15.95" customHeight="1" x14ac:dyDescent="0.25">
      <c r="B34" s="69" t="s">
        <v>416</v>
      </c>
      <c r="F34" s="77"/>
      <c r="H34" s="10" t="s">
        <v>337</v>
      </c>
      <c r="I34" s="53">
        <f>Q34</f>
        <v>48200</v>
      </c>
      <c r="J34" s="17"/>
      <c r="K34" s="17"/>
      <c r="M34" s="313"/>
      <c r="N34" s="313"/>
      <c r="O34" s="402"/>
      <c r="P34" s="405" t="s">
        <v>1026</v>
      </c>
      <c r="Q34" s="409">
        <v>48200</v>
      </c>
      <c r="R34" s="313"/>
      <c r="S34" s="313"/>
      <c r="T34" s="313"/>
    </row>
    <row r="35" spans="2:20" s="10" customFormat="1" ht="15.95" customHeight="1" x14ac:dyDescent="0.25">
      <c r="B35" s="158" t="s">
        <v>1554</v>
      </c>
      <c r="G35" s="77"/>
      <c r="H35" s="77" t="s">
        <v>337</v>
      </c>
      <c r="I35" s="41" t="s">
        <v>337</v>
      </c>
      <c r="J35" s="17"/>
      <c r="K35" s="46">
        <f>SUM(I33:I34)</f>
        <v>148200</v>
      </c>
      <c r="M35" s="313"/>
      <c r="N35" s="313"/>
      <c r="O35" s="402"/>
      <c r="P35" s="402"/>
      <c r="Q35" s="402"/>
      <c r="R35" s="313"/>
      <c r="S35" s="313"/>
      <c r="T35" s="313"/>
    </row>
    <row r="36" spans="2:20" s="10" customFormat="1" ht="15.95" customHeight="1" thickBot="1" x14ac:dyDescent="0.3">
      <c r="B36" s="10" t="s">
        <v>1004</v>
      </c>
      <c r="F36" s="77"/>
      <c r="H36" s="10" t="s">
        <v>337</v>
      </c>
      <c r="I36" s="41" t="s">
        <v>337</v>
      </c>
      <c r="J36" s="17"/>
      <c r="K36" s="47">
        <f>SUM(K31:K35)</f>
        <v>343800</v>
      </c>
      <c r="M36" s="313"/>
      <c r="N36" s="313"/>
      <c r="O36" s="402"/>
      <c r="P36" s="402"/>
      <c r="Q36" s="402"/>
      <c r="R36" s="313"/>
      <c r="S36" s="313"/>
      <c r="T36" s="313"/>
    </row>
    <row r="37" spans="2:20" s="10" customFormat="1" ht="5.0999999999999996" customHeight="1" thickTop="1" x14ac:dyDescent="0.25">
      <c r="I37" s="17"/>
      <c r="J37" s="17"/>
      <c r="K37" s="17"/>
      <c r="M37" s="313"/>
      <c r="N37" s="313"/>
      <c r="O37" s="402"/>
      <c r="P37" s="402"/>
      <c r="Q37" s="402"/>
      <c r="R37" s="313"/>
      <c r="S37" s="313"/>
      <c r="T37" s="313"/>
    </row>
    <row r="38" spans="2:20" s="10" customFormat="1" ht="15.95" customHeight="1" x14ac:dyDescent="0.25">
      <c r="B38" s="49" t="s">
        <v>1521</v>
      </c>
      <c r="M38" s="313"/>
      <c r="N38" s="313"/>
      <c r="O38" s="402"/>
      <c r="P38" s="402"/>
      <c r="Q38" s="402"/>
      <c r="R38" s="313"/>
      <c r="S38" s="313"/>
      <c r="T38" s="313"/>
    </row>
    <row r="39" spans="2:20" s="10" customFormat="1" ht="15.95" customHeight="1" x14ac:dyDescent="0.25">
      <c r="B39" s="10" t="s">
        <v>1643</v>
      </c>
      <c r="M39" s="313"/>
      <c r="N39" s="313"/>
      <c r="O39" s="402"/>
      <c r="P39" s="402"/>
      <c r="Q39" s="402"/>
      <c r="R39" s="313"/>
      <c r="S39" s="313"/>
      <c r="T39" s="313"/>
    </row>
    <row r="40" spans="2:20" s="10" customFormat="1" ht="5.0999999999999996" customHeight="1" x14ac:dyDescent="0.25">
      <c r="M40" s="313"/>
      <c r="N40" s="313"/>
      <c r="O40" s="402"/>
      <c r="P40" s="402"/>
      <c r="Q40" s="402"/>
      <c r="R40" s="313"/>
      <c r="S40" s="313"/>
      <c r="T40" s="313"/>
    </row>
    <row r="41" spans="2:20" s="10" customFormat="1" ht="15.95" customHeight="1" x14ac:dyDescent="0.25">
      <c r="M41" s="313"/>
      <c r="N41" s="313"/>
      <c r="O41" s="402"/>
      <c r="P41" s="402"/>
      <c r="Q41" s="402"/>
      <c r="R41" s="313"/>
      <c r="S41" s="313"/>
      <c r="T41" s="313"/>
    </row>
    <row r="42" spans="2:20" s="10" customFormat="1" ht="15.95" customHeight="1" x14ac:dyDescent="0.25">
      <c r="M42" s="313"/>
      <c r="N42" s="313"/>
      <c r="O42" s="402"/>
      <c r="P42" s="402"/>
      <c r="Q42" s="402"/>
      <c r="R42" s="313"/>
      <c r="S42" s="313"/>
      <c r="T42" s="313"/>
    </row>
    <row r="43" spans="2:20" s="10" customFormat="1" ht="15.95" customHeight="1" x14ac:dyDescent="0.25">
      <c r="M43" s="313"/>
      <c r="N43" s="313"/>
      <c r="O43" s="402"/>
      <c r="P43" s="402"/>
      <c r="Q43" s="402"/>
      <c r="R43" s="313"/>
      <c r="S43" s="313"/>
      <c r="T43" s="313"/>
    </row>
    <row r="44" spans="2:20" s="10" customFormat="1" ht="15.95" customHeight="1" x14ac:dyDescent="0.25">
      <c r="M44" s="313"/>
      <c r="N44" s="313"/>
      <c r="O44" s="402"/>
      <c r="P44" s="402"/>
      <c r="Q44" s="402"/>
      <c r="R44" s="313"/>
      <c r="S44" s="313"/>
      <c r="T44" s="313"/>
    </row>
    <row r="45" spans="2:20" s="10" customFormat="1" ht="15" customHeight="1" x14ac:dyDescent="0.25">
      <c r="M45" s="313"/>
      <c r="N45" s="313"/>
      <c r="O45" s="402"/>
      <c r="P45" s="402"/>
      <c r="Q45" s="402"/>
      <c r="R45" s="313"/>
      <c r="S45" s="313"/>
      <c r="T45" s="313"/>
    </row>
    <row r="46" spans="2:20" s="10" customFormat="1" ht="15" customHeight="1" x14ac:dyDescent="0.25">
      <c r="M46" s="313"/>
      <c r="N46" s="313"/>
      <c r="O46" s="402"/>
      <c r="P46" s="402"/>
      <c r="Q46" s="402"/>
      <c r="R46" s="313"/>
      <c r="S46" s="313"/>
      <c r="T46" s="313"/>
    </row>
    <row r="47" spans="2:20" s="10" customFormat="1" ht="15" customHeight="1" x14ac:dyDescent="0.25">
      <c r="M47" s="313"/>
      <c r="N47" s="313"/>
      <c r="O47" s="402"/>
      <c r="P47" s="402"/>
      <c r="Q47" s="402"/>
      <c r="R47" s="313"/>
      <c r="S47" s="313"/>
      <c r="T47" s="313"/>
    </row>
    <row r="48" spans="2:20" s="10" customFormat="1" ht="15" customHeight="1" x14ac:dyDescent="0.25">
      <c r="M48" s="313"/>
      <c r="N48" s="313"/>
      <c r="O48" s="402"/>
      <c r="P48" s="402"/>
      <c r="Q48" s="402"/>
      <c r="R48" s="313"/>
      <c r="S48" s="313"/>
      <c r="T48" s="313"/>
    </row>
    <row r="49" spans="13:20" s="10" customFormat="1" ht="15" customHeight="1" x14ac:dyDescent="0.25">
      <c r="M49" s="313"/>
      <c r="N49" s="313"/>
      <c r="O49" s="402"/>
      <c r="P49" s="402"/>
      <c r="Q49" s="402"/>
      <c r="R49" s="313"/>
      <c r="S49" s="313"/>
      <c r="T49" s="313"/>
    </row>
    <row r="50" spans="13:20" s="10" customFormat="1" ht="15" customHeight="1" x14ac:dyDescent="0.25">
      <c r="M50" s="313"/>
      <c r="N50" s="313"/>
      <c r="O50" s="402"/>
      <c r="P50" s="402"/>
      <c r="Q50" s="402"/>
      <c r="R50" s="313"/>
      <c r="S50" s="313"/>
      <c r="T50" s="313"/>
    </row>
  </sheetData>
  <customSheetViews>
    <customSheetView guid="{B2DDA8C4-3089-41F7-BA6E-A0E09596A2CA}" scale="80" showPageBreaks="1" fitToPage="1" printArea="1">
      <selection activeCell="B2" sqref="B2"/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 topLeftCell="A18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2" sqref="B2"/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5">
    <mergeCell ref="B22:K22"/>
    <mergeCell ref="B4:K4"/>
    <mergeCell ref="B5:K5"/>
    <mergeCell ref="B6:K6"/>
    <mergeCell ref="B8:K8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57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2" width="4.7109375" style="2" customWidth="1"/>
    <col min="3" max="3" width="9.85546875" style="2" customWidth="1"/>
    <col min="4" max="4" width="7.85546875" style="2" customWidth="1"/>
    <col min="5" max="5" width="4.42578125" style="2" customWidth="1"/>
    <col min="6" max="6" width="2.7109375" style="2" customWidth="1"/>
    <col min="7" max="7" width="5.28515625" style="2" customWidth="1"/>
    <col min="8" max="8" width="2" style="2" customWidth="1"/>
    <col min="9" max="9" width="10.7109375" style="2" customWidth="1"/>
    <col min="10" max="10" width="2.7109375" style="2" customWidth="1"/>
    <col min="11" max="11" width="10.5703125" style="2" customWidth="1"/>
    <col min="12" max="12" width="1.5703125" style="2" customWidth="1"/>
    <col min="13" max="13" width="12" style="2" customWidth="1"/>
    <col min="14" max="14" width="1.85546875" style="2" customWidth="1"/>
    <col min="15" max="15" width="11.42578125" style="2" customWidth="1"/>
    <col min="16" max="16" width="9.5703125" style="2" customWidth="1"/>
    <col min="17" max="17" width="8.7109375" style="407" hidden="1" customWidth="1"/>
    <col min="18" max="18" width="2.7109375" style="407" hidden="1" customWidth="1"/>
    <col min="19" max="19" width="8.7109375" style="407" hidden="1" customWidth="1"/>
    <col min="20" max="20" width="2.7109375" style="407" hidden="1" customWidth="1"/>
    <col min="21" max="21" width="8.7109375" style="407" hidden="1" customWidth="1"/>
    <col min="22" max="22" width="2.7109375" style="407" hidden="1" customWidth="1"/>
    <col min="23" max="23" width="8.85546875" style="407" hidden="1" customWidth="1"/>
    <col min="24" max="24" width="2.7109375" style="407" hidden="1" customWidth="1"/>
    <col min="25" max="25" width="2.140625" style="407" hidden="1" customWidth="1"/>
    <col min="26" max="26" width="7.7109375" style="407" hidden="1" customWidth="1"/>
    <col min="27" max="27" width="3.5703125" style="407" hidden="1" customWidth="1"/>
    <col min="28" max="28" width="2.7109375" style="407" hidden="1" customWidth="1"/>
    <col min="29" max="29" width="8.7109375" style="450" hidden="1" customWidth="1"/>
    <col min="30" max="30" width="0.85546875" style="450" hidden="1" customWidth="1"/>
    <col min="31" max="31" width="8.7109375" style="450" hidden="1" customWidth="1"/>
    <col min="32" max="32" width="0.85546875" style="450" hidden="1" customWidth="1"/>
    <col min="33" max="33" width="8.7109375" style="450" hidden="1" customWidth="1"/>
    <col min="34" max="34" width="2.7109375" style="312" customWidth="1"/>
    <col min="35" max="44" width="9.140625" style="312"/>
    <col min="45" max="16384" width="9.140625" style="2"/>
  </cols>
  <sheetData>
    <row r="1" spans="2:44" ht="28.5" customHeight="1" x14ac:dyDescent="0.2"/>
    <row r="2" spans="2:44" ht="15.95" customHeight="1" x14ac:dyDescent="0.25">
      <c r="B2" s="26" t="s">
        <v>1199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2:44" ht="5.0999999999999996" customHeight="1" x14ac:dyDescent="0.25">
      <c r="B3" s="39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2:44" s="10" customFormat="1" ht="15.95" customHeight="1" x14ac:dyDescent="0.25">
      <c r="B4" s="363" t="s">
        <v>1644</v>
      </c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3"/>
      <c r="AD4" s="403"/>
      <c r="AE4" s="403"/>
      <c r="AF4" s="403"/>
      <c r="AG4" s="403"/>
      <c r="AH4" s="313"/>
      <c r="AI4" s="313"/>
      <c r="AJ4" s="313"/>
      <c r="AK4" s="313"/>
      <c r="AL4" s="313"/>
      <c r="AM4" s="313"/>
      <c r="AN4" s="313"/>
      <c r="AO4" s="313"/>
      <c r="AP4" s="313"/>
      <c r="AQ4" s="313"/>
      <c r="AR4" s="313"/>
    </row>
    <row r="5" spans="2:44" s="10" customFormat="1" ht="15.95" customHeight="1" x14ac:dyDescent="0.25">
      <c r="B5" s="363" t="s">
        <v>1065</v>
      </c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Q5" s="402"/>
      <c r="R5" s="402"/>
      <c r="S5" s="402"/>
      <c r="T5" s="402"/>
      <c r="U5" s="402"/>
      <c r="V5" s="402"/>
      <c r="W5" s="402"/>
      <c r="X5" s="402"/>
      <c r="Y5" s="402"/>
      <c r="Z5" s="402"/>
      <c r="AA5" s="402"/>
      <c r="AB5" s="402"/>
      <c r="AC5" s="403"/>
      <c r="AD5" s="403"/>
      <c r="AE5" s="403"/>
      <c r="AF5" s="403"/>
      <c r="AG5" s="403"/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</row>
    <row r="6" spans="2:44" s="10" customFormat="1" ht="15.95" customHeight="1" x14ac:dyDescent="0.25">
      <c r="B6" s="372" t="s">
        <v>1123</v>
      </c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2"/>
      <c r="O6" s="372"/>
      <c r="Q6" s="402"/>
      <c r="R6" s="402"/>
      <c r="S6" s="402"/>
      <c r="T6" s="402"/>
      <c r="U6" s="402"/>
      <c r="V6" s="413" t="s">
        <v>1682</v>
      </c>
      <c r="W6" s="402"/>
      <c r="X6" s="402"/>
      <c r="Y6" s="455"/>
      <c r="Z6" s="455"/>
      <c r="AA6" s="402"/>
      <c r="AB6" s="402"/>
      <c r="AC6" s="403"/>
      <c r="AD6" s="403"/>
      <c r="AE6" s="403"/>
      <c r="AF6" s="403"/>
      <c r="AG6" s="403"/>
      <c r="AH6" s="218"/>
      <c r="AI6" s="313"/>
      <c r="AJ6" s="313"/>
      <c r="AK6" s="313"/>
      <c r="AL6" s="313"/>
      <c r="AM6" s="313"/>
      <c r="AN6" s="313"/>
      <c r="AO6" s="313"/>
      <c r="AP6" s="313"/>
      <c r="AQ6" s="313"/>
      <c r="AR6" s="313"/>
    </row>
    <row r="7" spans="2:44" s="10" customFormat="1" ht="5.0999999999999996" customHeight="1" x14ac:dyDescent="0.25">
      <c r="M7" s="26"/>
      <c r="Q7" s="402"/>
      <c r="R7" s="402"/>
      <c r="S7" s="402"/>
      <c r="T7" s="402"/>
      <c r="U7" s="402"/>
      <c r="V7" s="402"/>
      <c r="W7" s="402"/>
      <c r="X7" s="402"/>
      <c r="Y7" s="402"/>
      <c r="Z7" s="402"/>
      <c r="AA7" s="402"/>
      <c r="AB7" s="402"/>
      <c r="AC7" s="403"/>
      <c r="AD7" s="403"/>
      <c r="AE7" s="403"/>
      <c r="AF7" s="403"/>
      <c r="AG7" s="403"/>
      <c r="AH7" s="218"/>
      <c r="AI7" s="313"/>
      <c r="AJ7" s="313"/>
      <c r="AK7" s="313"/>
      <c r="AL7" s="313"/>
      <c r="AM7" s="313"/>
      <c r="AN7" s="313"/>
      <c r="AO7" s="313"/>
      <c r="AP7" s="313"/>
      <c r="AQ7" s="313"/>
      <c r="AR7" s="313"/>
    </row>
    <row r="8" spans="2:44" s="10" customFormat="1" ht="15.95" customHeight="1" x14ac:dyDescent="0.25">
      <c r="M8" s="67">
        <v>2013</v>
      </c>
      <c r="N8" s="13"/>
      <c r="O8" s="67">
        <v>2014</v>
      </c>
      <c r="Q8" s="402"/>
      <c r="R8" s="402"/>
      <c r="S8" s="402"/>
      <c r="T8" s="402"/>
      <c r="U8" s="463">
        <v>2013</v>
      </c>
      <c r="V8" s="402"/>
      <c r="W8" s="464">
        <v>2014</v>
      </c>
      <c r="X8" s="402"/>
      <c r="Y8" s="402"/>
      <c r="Z8" s="402"/>
      <c r="AA8" s="402"/>
      <c r="AB8" s="405"/>
      <c r="AC8" s="402"/>
      <c r="AD8" s="410"/>
      <c r="AE8" s="403"/>
      <c r="AF8" s="403"/>
      <c r="AG8" s="403"/>
      <c r="AH8" s="218"/>
      <c r="AI8" s="313"/>
      <c r="AJ8" s="313"/>
      <c r="AK8" s="313"/>
      <c r="AL8" s="313"/>
      <c r="AM8" s="313"/>
      <c r="AN8" s="313"/>
      <c r="AO8" s="313"/>
      <c r="AP8" s="313"/>
      <c r="AQ8" s="313"/>
      <c r="AR8" s="313"/>
    </row>
    <row r="9" spans="2:44" s="10" customFormat="1" ht="5.0999999999999996" customHeight="1" x14ac:dyDescent="0.25">
      <c r="M9" s="20"/>
      <c r="N9" s="13"/>
      <c r="O9" s="20"/>
      <c r="Q9" s="402"/>
      <c r="R9" s="402"/>
      <c r="S9" s="402"/>
      <c r="T9" s="402"/>
      <c r="U9" s="402"/>
      <c r="V9" s="402"/>
      <c r="W9" s="402"/>
      <c r="X9" s="402"/>
      <c r="Y9" s="402"/>
      <c r="Z9" s="402"/>
      <c r="AA9" s="402"/>
      <c r="AB9" s="405"/>
      <c r="AC9" s="402"/>
      <c r="AD9" s="410"/>
      <c r="AE9" s="403"/>
      <c r="AF9" s="403"/>
      <c r="AG9" s="403"/>
      <c r="AH9" s="218"/>
      <c r="AI9" s="313"/>
      <c r="AJ9" s="313"/>
      <c r="AK9" s="313"/>
      <c r="AL9" s="313"/>
      <c r="AM9" s="313"/>
      <c r="AN9" s="313"/>
      <c r="AO9" s="313"/>
      <c r="AP9" s="313"/>
      <c r="AQ9" s="313"/>
      <c r="AR9" s="313"/>
    </row>
    <row r="10" spans="2:44" s="10" customFormat="1" ht="15.95" customHeight="1" x14ac:dyDescent="0.25">
      <c r="B10" s="10" t="s">
        <v>703</v>
      </c>
      <c r="L10" s="10" t="s">
        <v>337</v>
      </c>
      <c r="M10" s="265">
        <f>U10</f>
        <v>55300</v>
      </c>
      <c r="N10" s="21"/>
      <c r="O10" s="64">
        <f>M13</f>
        <v>74700</v>
      </c>
      <c r="Q10" s="402"/>
      <c r="R10" s="402"/>
      <c r="S10" s="402"/>
      <c r="T10" s="405" t="s">
        <v>1026</v>
      </c>
      <c r="U10" s="409">
        <v>55300</v>
      </c>
      <c r="V10" s="407"/>
      <c r="W10" s="410">
        <f>M13</f>
        <v>74700</v>
      </c>
      <c r="X10" s="415" t="s">
        <v>1686</v>
      </c>
      <c r="Y10" s="402"/>
      <c r="Z10" s="402"/>
      <c r="AA10" s="402"/>
      <c r="AB10" s="405"/>
      <c r="AC10" s="402"/>
      <c r="AD10" s="410"/>
      <c r="AE10" s="403"/>
      <c r="AF10" s="403"/>
      <c r="AG10" s="403"/>
      <c r="AH10" s="218"/>
      <c r="AI10" s="313"/>
      <c r="AJ10" s="313"/>
      <c r="AK10" s="313"/>
      <c r="AL10" s="313"/>
      <c r="AM10" s="313"/>
      <c r="AN10" s="313"/>
      <c r="AO10" s="313"/>
      <c r="AP10" s="313"/>
      <c r="AQ10" s="313"/>
      <c r="AR10" s="313"/>
    </row>
    <row r="11" spans="2:44" s="10" customFormat="1" ht="15.95" customHeight="1" x14ac:dyDescent="0.25">
      <c r="B11" s="10" t="s">
        <v>704</v>
      </c>
      <c r="L11" s="10" t="s">
        <v>337</v>
      </c>
      <c r="M11" s="42">
        <f>I20</f>
        <v>33400</v>
      </c>
      <c r="N11" s="50"/>
      <c r="O11" s="50">
        <f>K20</f>
        <v>74600</v>
      </c>
      <c r="Q11" s="402"/>
      <c r="R11" s="402"/>
      <c r="S11" s="402"/>
      <c r="T11" s="405" t="s">
        <v>1604</v>
      </c>
      <c r="U11" s="409">
        <v>221900</v>
      </c>
      <c r="V11" s="407"/>
      <c r="W11" s="409">
        <v>325400</v>
      </c>
      <c r="X11" s="402"/>
      <c r="Y11" s="402"/>
      <c r="Z11" s="402"/>
      <c r="AA11" s="402"/>
      <c r="AB11" s="405"/>
      <c r="AC11" s="402"/>
      <c r="AD11" s="410"/>
      <c r="AE11" s="403"/>
      <c r="AF11" s="403"/>
      <c r="AG11" s="403"/>
      <c r="AH11" s="218"/>
      <c r="AI11" s="313"/>
      <c r="AJ11" s="313"/>
      <c r="AK11" s="313"/>
      <c r="AL11" s="313"/>
      <c r="AM11" s="313"/>
      <c r="AN11" s="313"/>
      <c r="AO11" s="313"/>
      <c r="AP11" s="313"/>
      <c r="AQ11" s="313"/>
      <c r="AR11" s="313"/>
    </row>
    <row r="12" spans="2:44" s="10" customFormat="1" ht="15.95" customHeight="1" x14ac:dyDescent="0.25">
      <c r="B12" s="10" t="s">
        <v>1645</v>
      </c>
      <c r="L12" s="10" t="s">
        <v>337</v>
      </c>
      <c r="M12" s="90">
        <f>-U12</f>
        <v>-14000</v>
      </c>
      <c r="O12" s="51">
        <f>-W12</f>
        <v>-16000</v>
      </c>
      <c r="Q12" s="402"/>
      <c r="R12" s="402"/>
      <c r="S12" s="402"/>
      <c r="T12" s="405" t="s">
        <v>938</v>
      </c>
      <c r="U12" s="409">
        <v>14000</v>
      </c>
      <c r="V12" s="407"/>
      <c r="W12" s="409">
        <v>16000</v>
      </c>
      <c r="X12" s="402"/>
      <c r="Y12" s="402"/>
      <c r="Z12" s="402"/>
      <c r="AA12" s="402"/>
      <c r="AB12" s="405"/>
      <c r="AC12" s="402"/>
      <c r="AD12" s="410"/>
      <c r="AE12" s="403"/>
      <c r="AF12" s="403"/>
      <c r="AG12" s="403"/>
      <c r="AH12" s="218"/>
      <c r="AI12" s="313"/>
      <c r="AJ12" s="313"/>
      <c r="AK12" s="313"/>
      <c r="AL12" s="313"/>
      <c r="AM12" s="313"/>
      <c r="AN12" s="313"/>
      <c r="AO12" s="313"/>
      <c r="AP12" s="313"/>
      <c r="AQ12" s="313"/>
      <c r="AR12" s="313"/>
    </row>
    <row r="13" spans="2:44" s="10" customFormat="1" ht="15.95" customHeight="1" thickBot="1" x14ac:dyDescent="0.3">
      <c r="B13" s="10" t="s">
        <v>1646</v>
      </c>
      <c r="L13" s="10" t="s">
        <v>337</v>
      </c>
      <c r="M13" s="258">
        <f>SUM(M10:M12)</f>
        <v>74700</v>
      </c>
      <c r="N13" s="21"/>
      <c r="O13" s="52">
        <f>SUM(O10:O12)</f>
        <v>133300</v>
      </c>
      <c r="Q13" s="402"/>
      <c r="R13" s="402"/>
      <c r="S13" s="402"/>
      <c r="T13" s="405" t="s">
        <v>1605</v>
      </c>
      <c r="U13" s="409">
        <v>188500</v>
      </c>
      <c r="V13" s="407"/>
      <c r="W13" s="409">
        <v>250800</v>
      </c>
      <c r="X13" s="402"/>
      <c r="Y13" s="402"/>
      <c r="Z13" s="402"/>
      <c r="AA13" s="402"/>
      <c r="AB13" s="405"/>
      <c r="AC13" s="402"/>
      <c r="AD13" s="410"/>
      <c r="AE13" s="403"/>
      <c r="AF13" s="403"/>
      <c r="AG13" s="403"/>
      <c r="AH13" s="218"/>
      <c r="AI13" s="313"/>
      <c r="AJ13" s="313"/>
      <c r="AK13" s="313"/>
      <c r="AL13" s="313"/>
      <c r="AM13" s="313"/>
      <c r="AN13" s="313"/>
      <c r="AO13" s="313"/>
      <c r="AP13" s="313"/>
      <c r="AQ13" s="313"/>
      <c r="AR13" s="313"/>
    </row>
    <row r="14" spans="2:44" s="10" customFormat="1" ht="9.9499999999999993" customHeight="1" thickTop="1" x14ac:dyDescent="0.25">
      <c r="M14" s="26"/>
      <c r="Q14" s="402"/>
      <c r="R14" s="402"/>
      <c r="S14" s="402"/>
      <c r="T14" s="402"/>
      <c r="U14" s="402"/>
      <c r="V14" s="402"/>
      <c r="W14" s="402"/>
      <c r="X14" s="402"/>
      <c r="Y14" s="402"/>
      <c r="Z14" s="402"/>
      <c r="AA14" s="402"/>
      <c r="AB14" s="402"/>
      <c r="AC14" s="402"/>
      <c r="AD14" s="402"/>
      <c r="AE14" s="403"/>
      <c r="AF14" s="403"/>
      <c r="AG14" s="403"/>
      <c r="AH14" s="218"/>
      <c r="AI14" s="313"/>
      <c r="AJ14" s="313"/>
      <c r="AK14" s="313"/>
      <c r="AL14" s="313"/>
      <c r="AM14" s="313"/>
      <c r="AN14" s="313"/>
      <c r="AO14" s="313"/>
      <c r="AP14" s="313"/>
      <c r="AQ14" s="313"/>
      <c r="AR14" s="313"/>
    </row>
    <row r="15" spans="2:44" s="10" customFormat="1" ht="15.95" customHeight="1" x14ac:dyDescent="0.25">
      <c r="B15" s="25" t="s">
        <v>748</v>
      </c>
      <c r="C15" s="29" t="s">
        <v>1124</v>
      </c>
      <c r="M15" s="26"/>
      <c r="Q15" s="402"/>
      <c r="R15" s="402"/>
      <c r="S15" s="402"/>
      <c r="T15" s="402"/>
      <c r="U15" s="402"/>
      <c r="V15" s="402"/>
      <c r="W15" s="402"/>
      <c r="X15" s="402"/>
      <c r="Y15" s="402"/>
      <c r="Z15" s="402"/>
      <c r="AA15" s="402"/>
      <c r="AB15" s="405"/>
      <c r="AC15" s="402"/>
      <c r="AD15" s="410"/>
      <c r="AE15" s="403"/>
      <c r="AF15" s="403"/>
      <c r="AG15" s="403"/>
      <c r="AH15" s="218"/>
      <c r="AI15" s="313"/>
      <c r="AJ15" s="313"/>
      <c r="AK15" s="313"/>
      <c r="AL15" s="313"/>
      <c r="AM15" s="313"/>
      <c r="AN15" s="313"/>
      <c r="AO15" s="313"/>
      <c r="AP15" s="313"/>
      <c r="AQ15" s="313"/>
      <c r="AR15" s="313"/>
    </row>
    <row r="16" spans="2:44" s="10" customFormat="1" ht="15.95" customHeight="1" x14ac:dyDescent="0.25">
      <c r="B16" s="32"/>
      <c r="C16" s="29" t="s">
        <v>1120</v>
      </c>
      <c r="M16" s="26"/>
      <c r="Q16" s="402"/>
      <c r="R16" s="402"/>
      <c r="S16" s="402"/>
      <c r="T16" s="402"/>
      <c r="U16" s="402"/>
      <c r="V16" s="402"/>
      <c r="W16" s="402"/>
      <c r="X16" s="402"/>
      <c r="Y16" s="402"/>
      <c r="Z16" s="402"/>
      <c r="AA16" s="402"/>
      <c r="AB16" s="402"/>
      <c r="AC16" s="448"/>
      <c r="AD16" s="448"/>
      <c r="AE16" s="403"/>
      <c r="AF16" s="403"/>
      <c r="AG16" s="403"/>
      <c r="AH16" s="218"/>
      <c r="AI16" s="313"/>
      <c r="AJ16" s="313"/>
      <c r="AK16" s="313"/>
      <c r="AL16" s="313"/>
      <c r="AM16" s="313"/>
      <c r="AN16" s="313"/>
      <c r="AO16" s="313"/>
      <c r="AP16" s="313"/>
      <c r="AQ16" s="313"/>
      <c r="AR16" s="313"/>
    </row>
    <row r="17" spans="2:44" s="10" customFormat="1" ht="15.95" customHeight="1" x14ac:dyDescent="0.25">
      <c r="B17" s="25" t="s">
        <v>749</v>
      </c>
      <c r="C17" s="29" t="s">
        <v>176</v>
      </c>
      <c r="I17" s="174">
        <v>2013</v>
      </c>
      <c r="J17" s="173"/>
      <c r="K17" s="174">
        <v>2014</v>
      </c>
      <c r="M17" s="26"/>
      <c r="Q17" s="402"/>
      <c r="R17" s="402"/>
      <c r="S17" s="402"/>
      <c r="T17" s="402"/>
      <c r="U17" s="402"/>
      <c r="V17" s="402"/>
      <c r="W17" s="402"/>
      <c r="X17" s="402"/>
      <c r="Y17" s="402"/>
      <c r="Z17" s="402"/>
      <c r="AA17" s="402"/>
      <c r="AB17" s="405"/>
      <c r="AC17" s="402"/>
      <c r="AD17" s="410"/>
      <c r="AE17" s="403"/>
      <c r="AF17" s="403"/>
      <c r="AG17" s="403"/>
      <c r="AH17" s="218"/>
      <c r="AI17" s="313"/>
      <c r="AJ17" s="313"/>
      <c r="AK17" s="313"/>
      <c r="AL17" s="313"/>
      <c r="AM17" s="313"/>
      <c r="AN17" s="313"/>
      <c r="AO17" s="313"/>
      <c r="AP17" s="313"/>
      <c r="AQ17" s="313"/>
      <c r="AR17" s="313"/>
    </row>
    <row r="18" spans="2:44" s="10" customFormat="1" ht="15.95" customHeight="1" x14ac:dyDescent="0.25">
      <c r="B18" s="25"/>
      <c r="C18" s="175" t="s">
        <v>492</v>
      </c>
      <c r="H18" s="10" t="s">
        <v>337</v>
      </c>
      <c r="I18" s="266">
        <f>U11</f>
        <v>221900</v>
      </c>
      <c r="J18" s="152"/>
      <c r="K18" s="267">
        <f>W11</f>
        <v>325400</v>
      </c>
      <c r="Q18" s="402"/>
      <c r="R18" s="402"/>
      <c r="S18" s="402"/>
      <c r="T18" s="402"/>
      <c r="U18" s="402"/>
      <c r="V18" s="402"/>
      <c r="W18" s="402"/>
      <c r="X18" s="402"/>
      <c r="Y18" s="402"/>
      <c r="Z18" s="402"/>
      <c r="AA18" s="402"/>
      <c r="AB18" s="402"/>
      <c r="AC18" s="403"/>
      <c r="AD18" s="403"/>
      <c r="AE18" s="403"/>
      <c r="AF18" s="403"/>
      <c r="AG18" s="403"/>
      <c r="AH18" s="218"/>
      <c r="AI18" s="313"/>
      <c r="AJ18" s="313"/>
      <c r="AK18" s="313"/>
      <c r="AL18" s="313"/>
      <c r="AM18" s="313"/>
      <c r="AN18" s="313"/>
      <c r="AO18" s="313"/>
      <c r="AP18" s="313"/>
      <c r="AQ18" s="313"/>
      <c r="AR18" s="313"/>
    </row>
    <row r="19" spans="2:44" s="10" customFormat="1" ht="15.95" customHeight="1" x14ac:dyDescent="0.25">
      <c r="B19" s="25"/>
      <c r="C19" s="175" t="s">
        <v>493</v>
      </c>
      <c r="H19" s="10" t="s">
        <v>337</v>
      </c>
      <c r="I19" s="171">
        <f>-U13</f>
        <v>-188500</v>
      </c>
      <c r="J19" s="29"/>
      <c r="K19" s="172">
        <f>-W13</f>
        <v>-250800</v>
      </c>
      <c r="Q19" s="402"/>
      <c r="R19" s="402"/>
      <c r="S19" s="402"/>
      <c r="T19" s="402"/>
      <c r="U19" s="402"/>
      <c r="V19" s="402"/>
      <c r="W19" s="402"/>
      <c r="X19" s="402"/>
      <c r="Y19" s="402"/>
      <c r="Z19" s="402"/>
      <c r="AA19" s="402"/>
      <c r="AB19" s="402"/>
      <c r="AC19" s="403"/>
      <c r="AD19" s="403"/>
      <c r="AE19" s="403"/>
      <c r="AF19" s="403"/>
      <c r="AG19" s="403"/>
      <c r="AH19" s="218"/>
      <c r="AI19" s="313"/>
      <c r="AJ19" s="313"/>
      <c r="AK19" s="313"/>
      <c r="AL19" s="313"/>
      <c r="AM19" s="313"/>
      <c r="AN19" s="313"/>
      <c r="AO19" s="313"/>
      <c r="AP19" s="313"/>
      <c r="AQ19" s="313"/>
      <c r="AR19" s="313"/>
    </row>
    <row r="20" spans="2:44" s="10" customFormat="1" ht="15.95" customHeight="1" thickBot="1" x14ac:dyDescent="0.3">
      <c r="B20" s="25"/>
      <c r="C20" s="175" t="s">
        <v>494</v>
      </c>
      <c r="H20" s="10" t="s">
        <v>337</v>
      </c>
      <c r="I20" s="268">
        <f>SUM(I18:I19)</f>
        <v>33400</v>
      </c>
      <c r="J20" s="152"/>
      <c r="K20" s="268">
        <f>SUM(K18:K19)</f>
        <v>74600</v>
      </c>
      <c r="Q20" s="402"/>
      <c r="R20" s="402"/>
      <c r="S20" s="402"/>
      <c r="T20" s="402"/>
      <c r="U20" s="402"/>
      <c r="V20" s="402"/>
      <c r="W20" s="402"/>
      <c r="X20" s="402"/>
      <c r="Y20" s="402"/>
      <c r="Z20" s="402"/>
      <c r="AA20" s="402"/>
      <c r="AB20" s="402"/>
      <c r="AC20" s="403"/>
      <c r="AD20" s="403"/>
      <c r="AE20" s="403"/>
      <c r="AF20" s="403"/>
      <c r="AG20" s="403"/>
      <c r="AH20" s="218"/>
      <c r="AI20" s="313"/>
      <c r="AJ20" s="313"/>
      <c r="AK20" s="313"/>
      <c r="AL20" s="313"/>
      <c r="AM20" s="313"/>
      <c r="AN20" s="313"/>
      <c r="AO20" s="313"/>
      <c r="AP20" s="313"/>
      <c r="AQ20" s="313"/>
      <c r="AR20" s="313"/>
    </row>
    <row r="21" spans="2:44" s="10" customFormat="1" ht="15.95" customHeight="1" thickTop="1" x14ac:dyDescent="0.25">
      <c r="Q21" s="402"/>
      <c r="R21" s="402"/>
      <c r="S21" s="402"/>
      <c r="T21" s="402"/>
      <c r="U21" s="402"/>
      <c r="V21" s="402"/>
      <c r="W21" s="402"/>
      <c r="X21" s="402"/>
      <c r="Y21" s="402"/>
      <c r="Z21" s="402"/>
      <c r="AA21" s="455"/>
      <c r="AB21" s="402"/>
      <c r="AC21" s="403"/>
      <c r="AD21" s="403"/>
      <c r="AE21" s="403"/>
      <c r="AF21" s="403"/>
      <c r="AG21" s="403"/>
      <c r="AH21" s="218"/>
      <c r="AI21" s="313"/>
      <c r="AJ21" s="313"/>
      <c r="AK21" s="313"/>
      <c r="AL21" s="313"/>
      <c r="AM21" s="313"/>
      <c r="AN21" s="313"/>
      <c r="AO21" s="313"/>
      <c r="AP21" s="313"/>
      <c r="AQ21" s="313"/>
      <c r="AR21" s="313"/>
    </row>
    <row r="22" spans="2:44" s="10" customFormat="1" ht="15.95" customHeight="1" x14ac:dyDescent="0.25">
      <c r="B22" s="10" t="s">
        <v>1200</v>
      </c>
      <c r="Q22" s="402"/>
      <c r="R22" s="412" t="s">
        <v>794</v>
      </c>
      <c r="S22" s="402"/>
      <c r="T22" s="402"/>
      <c r="U22" s="402"/>
      <c r="V22" s="402"/>
      <c r="W22" s="402"/>
      <c r="X22" s="402"/>
      <c r="Y22" s="402"/>
      <c r="Z22" s="402"/>
      <c r="AA22" s="403"/>
      <c r="AB22" s="413" t="s">
        <v>1679</v>
      </c>
      <c r="AC22" s="458">
        <v>2012</v>
      </c>
      <c r="AD22" s="459"/>
      <c r="AE22" s="458">
        <v>2013</v>
      </c>
      <c r="AF22" s="459"/>
      <c r="AG22" s="458">
        <v>2014</v>
      </c>
      <c r="AH22" s="218"/>
      <c r="AI22" s="313"/>
      <c r="AJ22" s="313"/>
      <c r="AK22" s="313"/>
      <c r="AL22" s="313"/>
      <c r="AM22" s="313"/>
      <c r="AN22" s="313"/>
      <c r="AO22" s="313"/>
      <c r="AP22" s="313"/>
      <c r="AQ22" s="313"/>
      <c r="AR22" s="313"/>
    </row>
    <row r="23" spans="2:44" s="10" customFormat="1" ht="15.95" customHeight="1" x14ac:dyDescent="0.25">
      <c r="B23" s="10" t="s">
        <v>1507</v>
      </c>
      <c r="C23" s="10" t="str">
        <f>CONCATENATE(TEXT(Q23,"$#,##0"),R23,TEXT(S23,"$#,##0"),T23,TEXT(U23,"$#,##0"),)</f>
        <v>$26,900 – $11,100 = $15,800</v>
      </c>
      <c r="F23" s="13"/>
      <c r="G23" s="113"/>
      <c r="H23" s="113"/>
      <c r="I23" s="113"/>
      <c r="J23" s="113"/>
      <c r="Q23" s="410">
        <f>AC26</f>
        <v>26900</v>
      </c>
      <c r="R23" s="410" t="s">
        <v>1589</v>
      </c>
      <c r="S23" s="410">
        <f>AC25</f>
        <v>11100</v>
      </c>
      <c r="T23" s="410" t="s">
        <v>1587</v>
      </c>
      <c r="U23" s="410">
        <f>SUM(Q23-S23)</f>
        <v>15800</v>
      </c>
      <c r="V23" s="451" t="s">
        <v>1507</v>
      </c>
      <c r="W23" s="402"/>
      <c r="X23" s="402"/>
      <c r="Y23" s="405"/>
      <c r="Z23" s="402"/>
      <c r="AA23" s="402"/>
      <c r="AB23" s="405" t="s">
        <v>13</v>
      </c>
      <c r="AC23" s="409" t="s">
        <v>1647</v>
      </c>
      <c r="AD23" s="402"/>
      <c r="AE23" s="409">
        <v>19500</v>
      </c>
      <c r="AF23" s="402"/>
      <c r="AG23" s="409">
        <v>26700</v>
      </c>
      <c r="AH23" s="218"/>
      <c r="AI23" s="313"/>
      <c r="AJ23" s="313"/>
      <c r="AK23" s="313"/>
      <c r="AL23" s="313"/>
      <c r="AM23" s="313"/>
      <c r="AN23" s="313"/>
      <c r="AO23" s="313"/>
      <c r="AP23" s="313"/>
      <c r="AQ23" s="313"/>
      <c r="AR23" s="313"/>
    </row>
    <row r="24" spans="2:44" s="10" customFormat="1" ht="9.9499999999999993" customHeight="1" x14ac:dyDescent="0.25">
      <c r="Q24" s="402"/>
      <c r="R24" s="402"/>
      <c r="S24" s="402"/>
      <c r="T24" s="402"/>
      <c r="U24" s="402"/>
      <c r="V24" s="402"/>
      <c r="W24" s="402"/>
      <c r="X24" s="402"/>
      <c r="Y24" s="402"/>
      <c r="Z24" s="402"/>
      <c r="AA24" s="402"/>
      <c r="AB24" s="402"/>
      <c r="AC24" s="403"/>
      <c r="AD24" s="403"/>
      <c r="AE24" s="403"/>
      <c r="AF24" s="403"/>
      <c r="AG24" s="403"/>
      <c r="AH24" s="218"/>
      <c r="AI24" s="313"/>
      <c r="AJ24" s="313"/>
      <c r="AK24" s="313"/>
      <c r="AL24" s="313"/>
      <c r="AM24" s="313"/>
      <c r="AN24" s="313"/>
      <c r="AO24" s="313"/>
      <c r="AP24" s="313"/>
      <c r="AQ24" s="313"/>
      <c r="AR24" s="313"/>
    </row>
    <row r="25" spans="2:44" s="10" customFormat="1" ht="15.95" customHeight="1" x14ac:dyDescent="0.25">
      <c r="B25" s="10" t="s">
        <v>517</v>
      </c>
      <c r="C25" s="10" t="s">
        <v>628</v>
      </c>
      <c r="J25" s="11" t="s">
        <v>111</v>
      </c>
      <c r="K25" s="10" t="s">
        <v>629</v>
      </c>
      <c r="Q25" s="402"/>
      <c r="R25" s="402"/>
      <c r="S25" s="402"/>
      <c r="T25" s="402"/>
      <c r="U25" s="402"/>
      <c r="V25" s="402"/>
      <c r="W25" s="402"/>
      <c r="X25" s="402"/>
      <c r="Y25" s="405"/>
      <c r="Z25" s="402"/>
      <c r="AA25" s="402"/>
      <c r="AB25" s="405" t="s">
        <v>14</v>
      </c>
      <c r="AC25" s="409">
        <v>11100</v>
      </c>
      <c r="AD25" s="402"/>
      <c r="AE25" s="409" t="s">
        <v>1510</v>
      </c>
      <c r="AF25" s="402"/>
      <c r="AG25" s="409">
        <v>9500</v>
      </c>
      <c r="AH25" s="218"/>
      <c r="AI25" s="313"/>
      <c r="AJ25" s="313"/>
      <c r="AK25" s="313"/>
      <c r="AL25" s="313"/>
      <c r="AM25" s="313"/>
      <c r="AN25" s="313"/>
      <c r="AO25" s="313"/>
      <c r="AP25" s="313"/>
      <c r="AQ25" s="313"/>
      <c r="AR25" s="313"/>
    </row>
    <row r="26" spans="2:44" s="10" customFormat="1" ht="15.95" customHeight="1" thickBot="1" x14ac:dyDescent="0.3">
      <c r="J26" s="11" t="s">
        <v>111</v>
      </c>
      <c r="K26" s="282">
        <f>Q26</f>
        <v>19500</v>
      </c>
      <c r="L26" s="110"/>
      <c r="Q26" s="410">
        <f>AE23</f>
        <v>19500</v>
      </c>
      <c r="R26" s="451" t="s">
        <v>1509</v>
      </c>
      <c r="S26" s="402"/>
      <c r="T26" s="402"/>
      <c r="U26" s="402"/>
      <c r="V26" s="402"/>
      <c r="W26" s="402"/>
      <c r="X26" s="402"/>
      <c r="Y26" s="402"/>
      <c r="Z26" s="402"/>
      <c r="AA26" s="402"/>
      <c r="AB26" s="405"/>
      <c r="AC26" s="409">
        <v>26900</v>
      </c>
      <c r="AD26" s="402"/>
      <c r="AE26" s="409" t="s">
        <v>953</v>
      </c>
      <c r="AF26" s="402"/>
      <c r="AG26" s="409" t="s">
        <v>976</v>
      </c>
      <c r="AH26" s="218"/>
      <c r="AI26" s="313"/>
      <c r="AJ26" s="313"/>
      <c r="AK26" s="313"/>
      <c r="AL26" s="313"/>
      <c r="AM26" s="313"/>
      <c r="AN26" s="313"/>
      <c r="AO26" s="313"/>
      <c r="AP26" s="313"/>
      <c r="AQ26" s="313"/>
      <c r="AR26" s="313"/>
    </row>
    <row r="27" spans="2:44" s="10" customFormat="1" ht="9.9499999999999993" customHeight="1" thickTop="1" x14ac:dyDescent="0.25">
      <c r="C27" s="28"/>
      <c r="D27" s="28"/>
      <c r="I27" s="113"/>
      <c r="J27" s="113"/>
      <c r="Q27" s="402"/>
      <c r="R27" s="402"/>
      <c r="S27" s="402"/>
      <c r="T27" s="402"/>
      <c r="U27" s="402"/>
      <c r="V27" s="402"/>
      <c r="W27" s="402"/>
      <c r="X27" s="402"/>
      <c r="Y27" s="402"/>
      <c r="Z27" s="402"/>
      <c r="AA27" s="402"/>
      <c r="AB27" s="402"/>
      <c r="AC27" s="402"/>
      <c r="AD27" s="402"/>
      <c r="AE27" s="402"/>
      <c r="AF27" s="402"/>
      <c r="AG27" s="402"/>
      <c r="AH27" s="218"/>
      <c r="AI27" s="313"/>
      <c r="AJ27" s="313"/>
      <c r="AK27" s="313"/>
      <c r="AL27" s="313"/>
      <c r="AM27" s="313"/>
      <c r="AN27" s="313"/>
      <c r="AO27" s="313"/>
      <c r="AP27" s="313"/>
      <c r="AQ27" s="313"/>
      <c r="AR27" s="313"/>
    </row>
    <row r="28" spans="2:44" s="10" customFormat="1" ht="15.95" customHeight="1" x14ac:dyDescent="0.25">
      <c r="B28" s="10" t="s">
        <v>495</v>
      </c>
      <c r="D28" s="21"/>
      <c r="Q28" s="402"/>
      <c r="R28" s="402"/>
      <c r="S28" s="402"/>
      <c r="T28" s="402"/>
      <c r="U28" s="402"/>
      <c r="V28" s="402"/>
      <c r="W28" s="402"/>
      <c r="X28" s="402"/>
      <c r="Y28" s="402"/>
      <c r="Z28" s="402"/>
      <c r="AA28" s="402"/>
      <c r="AB28" s="405" t="s">
        <v>15</v>
      </c>
      <c r="AC28" s="409">
        <v>7400</v>
      </c>
      <c r="AD28" s="402"/>
      <c r="AE28" s="409">
        <v>5200</v>
      </c>
      <c r="AF28" s="402"/>
      <c r="AG28" s="409" t="s">
        <v>975</v>
      </c>
      <c r="AH28" s="218"/>
      <c r="AI28" s="313"/>
      <c r="AJ28" s="313"/>
      <c r="AK28" s="313"/>
      <c r="AL28" s="313"/>
      <c r="AM28" s="313"/>
      <c r="AN28" s="313"/>
      <c r="AO28" s="313"/>
      <c r="AP28" s="313"/>
      <c r="AQ28" s="313"/>
      <c r="AR28" s="313"/>
    </row>
    <row r="29" spans="2:44" s="10" customFormat="1" ht="5.0999999999999996" customHeight="1" x14ac:dyDescent="0.25">
      <c r="D29" s="21"/>
      <c r="Q29" s="402"/>
      <c r="R29" s="402"/>
      <c r="S29" s="402"/>
      <c r="T29" s="402"/>
      <c r="U29" s="402"/>
      <c r="V29" s="402"/>
      <c r="W29" s="402"/>
      <c r="X29" s="402"/>
      <c r="Y29" s="402"/>
      <c r="Z29" s="402"/>
      <c r="AA29" s="402"/>
      <c r="AB29" s="402"/>
      <c r="AC29" s="403"/>
      <c r="AD29" s="403"/>
      <c r="AE29" s="403"/>
      <c r="AF29" s="403"/>
      <c r="AG29" s="403"/>
      <c r="AH29" s="218"/>
      <c r="AI29" s="313"/>
      <c r="AJ29" s="313"/>
      <c r="AK29" s="313"/>
      <c r="AL29" s="313"/>
      <c r="AM29" s="313"/>
      <c r="AN29" s="313"/>
      <c r="AO29" s="313"/>
      <c r="AP29" s="313"/>
      <c r="AQ29" s="313"/>
      <c r="AR29" s="313"/>
    </row>
    <row r="30" spans="2:44" s="10" customFormat="1" ht="15.95" customHeight="1" x14ac:dyDescent="0.25">
      <c r="B30" s="10" t="s">
        <v>981</v>
      </c>
      <c r="C30" s="10" t="s">
        <v>624</v>
      </c>
      <c r="J30" s="11" t="s">
        <v>111</v>
      </c>
      <c r="K30" s="10" t="s">
        <v>630</v>
      </c>
      <c r="Q30" s="402"/>
      <c r="R30" s="402"/>
      <c r="S30" s="402"/>
      <c r="T30" s="402"/>
      <c r="U30" s="402"/>
      <c r="V30" s="402"/>
      <c r="W30" s="402"/>
      <c r="X30" s="402"/>
      <c r="Y30" s="405"/>
      <c r="Z30" s="402"/>
      <c r="AA30" s="402"/>
      <c r="AB30" s="405" t="s">
        <v>16</v>
      </c>
      <c r="AC30" s="409" t="s">
        <v>1049</v>
      </c>
      <c r="AD30" s="402"/>
      <c r="AE30" s="409" t="s">
        <v>724</v>
      </c>
      <c r="AF30" s="402"/>
      <c r="AG30" s="409">
        <v>34100</v>
      </c>
      <c r="AH30" s="218"/>
      <c r="AI30" s="313"/>
      <c r="AJ30" s="313"/>
      <c r="AK30" s="313"/>
      <c r="AL30" s="313"/>
      <c r="AM30" s="313"/>
      <c r="AN30" s="313"/>
      <c r="AO30" s="313"/>
      <c r="AP30" s="313"/>
      <c r="AQ30" s="313"/>
      <c r="AR30" s="313"/>
    </row>
    <row r="31" spans="2:44" s="10" customFormat="1" ht="15.95" customHeight="1" thickBot="1" x14ac:dyDescent="0.3">
      <c r="J31" s="11" t="s">
        <v>111</v>
      </c>
      <c r="K31" s="282">
        <f>Q31</f>
        <v>26700</v>
      </c>
      <c r="L31" s="110"/>
      <c r="Q31" s="410">
        <f>AG23</f>
        <v>26700</v>
      </c>
      <c r="R31" s="451" t="s">
        <v>981</v>
      </c>
      <c r="S31" s="402"/>
      <c r="T31" s="402"/>
      <c r="U31" s="402"/>
      <c r="V31" s="402"/>
      <c r="W31" s="402"/>
      <c r="X31" s="402"/>
      <c r="Y31" s="405"/>
      <c r="Z31" s="402"/>
      <c r="AA31" s="402"/>
      <c r="AB31" s="405"/>
      <c r="AC31" s="453"/>
      <c r="AD31" s="402"/>
      <c r="AE31" s="403"/>
      <c r="AF31" s="402"/>
      <c r="AG31" s="403"/>
      <c r="AH31" s="218"/>
      <c r="AI31" s="313"/>
      <c r="AJ31" s="313"/>
      <c r="AK31" s="313"/>
      <c r="AL31" s="313"/>
      <c r="AM31" s="313"/>
      <c r="AN31" s="313"/>
      <c r="AO31" s="313"/>
      <c r="AP31" s="313"/>
      <c r="AQ31" s="313"/>
      <c r="AR31" s="313"/>
    </row>
    <row r="32" spans="2:44" s="10" customFormat="1" ht="9.9499999999999993" customHeight="1" thickTop="1" x14ac:dyDescent="0.25">
      <c r="Q32" s="402"/>
      <c r="R32" s="402"/>
      <c r="S32" s="402"/>
      <c r="T32" s="402"/>
      <c r="U32" s="402"/>
      <c r="V32" s="402"/>
      <c r="W32" s="402"/>
      <c r="X32" s="402"/>
      <c r="Y32" s="402"/>
      <c r="Z32" s="402"/>
      <c r="AA32" s="402"/>
      <c r="AB32" s="402"/>
      <c r="AC32" s="453"/>
      <c r="AD32" s="402"/>
      <c r="AE32" s="403"/>
      <c r="AF32" s="402"/>
      <c r="AG32" s="403"/>
      <c r="AH32" s="218"/>
      <c r="AI32" s="313"/>
      <c r="AJ32" s="313"/>
      <c r="AK32" s="313"/>
      <c r="AL32" s="313"/>
      <c r="AM32" s="313"/>
      <c r="AN32" s="313"/>
      <c r="AO32" s="313"/>
      <c r="AP32" s="313"/>
      <c r="AQ32" s="313"/>
      <c r="AR32" s="313"/>
    </row>
    <row r="33" spans="2:44" s="10" customFormat="1" ht="15.95" customHeight="1" x14ac:dyDescent="0.25">
      <c r="B33" s="10" t="s">
        <v>496</v>
      </c>
      <c r="Q33" s="402"/>
      <c r="R33" s="402"/>
      <c r="S33" s="402"/>
      <c r="T33" s="402"/>
      <c r="U33" s="402"/>
      <c r="V33" s="402"/>
      <c r="W33" s="402"/>
      <c r="X33" s="402"/>
      <c r="Y33" s="402"/>
      <c r="Z33" s="402"/>
      <c r="AA33" s="402"/>
      <c r="AB33" s="402"/>
      <c r="AC33" s="453"/>
      <c r="AD33" s="402"/>
      <c r="AE33" s="403"/>
      <c r="AF33" s="402"/>
      <c r="AG33" s="403"/>
      <c r="AH33" s="218"/>
      <c r="AI33" s="313"/>
      <c r="AJ33" s="313"/>
      <c r="AK33" s="313"/>
      <c r="AL33" s="313"/>
      <c r="AM33" s="313"/>
      <c r="AN33" s="313"/>
      <c r="AO33" s="313"/>
      <c r="AP33" s="313"/>
      <c r="AQ33" s="313"/>
      <c r="AR33" s="313"/>
    </row>
    <row r="34" spans="2:44" s="10" customFormat="1" ht="5.0999999999999996" customHeight="1" x14ac:dyDescent="0.25">
      <c r="Q34" s="402"/>
      <c r="R34" s="402"/>
      <c r="S34" s="402"/>
      <c r="T34" s="402"/>
      <c r="U34" s="402"/>
      <c r="V34" s="402"/>
      <c r="W34" s="402"/>
      <c r="X34" s="402"/>
      <c r="Y34" s="402"/>
      <c r="Z34" s="402"/>
      <c r="AA34" s="402"/>
      <c r="AB34" s="402"/>
      <c r="AC34" s="453"/>
      <c r="AD34" s="453"/>
      <c r="AE34" s="403"/>
      <c r="AF34" s="403"/>
      <c r="AG34" s="403"/>
      <c r="AH34" s="218"/>
      <c r="AI34" s="313"/>
      <c r="AJ34" s="313"/>
      <c r="AK34" s="313"/>
      <c r="AL34" s="313"/>
      <c r="AM34" s="313"/>
      <c r="AN34" s="313"/>
      <c r="AO34" s="313"/>
      <c r="AP34" s="313"/>
      <c r="AQ34" s="313"/>
      <c r="AR34" s="313"/>
    </row>
    <row r="35" spans="2:44" s="10" customFormat="1" ht="15.75" customHeight="1" x14ac:dyDescent="0.25">
      <c r="B35" s="10" t="s">
        <v>953</v>
      </c>
      <c r="C35" s="11" t="s">
        <v>631</v>
      </c>
      <c r="Q35" s="402"/>
      <c r="R35" s="412" t="s">
        <v>794</v>
      </c>
      <c r="S35" s="402"/>
      <c r="T35" s="402"/>
      <c r="U35" s="402"/>
      <c r="V35" s="402"/>
      <c r="W35" s="402"/>
      <c r="X35" s="402"/>
      <c r="Y35" s="402"/>
      <c r="Z35" s="402"/>
      <c r="AA35" s="402"/>
      <c r="AB35" s="402"/>
      <c r="AC35" s="453"/>
      <c r="AD35" s="453"/>
      <c r="AE35" s="403"/>
      <c r="AF35" s="403"/>
      <c r="AG35" s="403"/>
      <c r="AH35" s="218"/>
      <c r="AI35" s="313"/>
      <c r="AJ35" s="313"/>
      <c r="AK35" s="313"/>
      <c r="AL35" s="313"/>
      <c r="AM35" s="313"/>
      <c r="AN35" s="313"/>
      <c r="AO35" s="313"/>
      <c r="AP35" s="313"/>
      <c r="AQ35" s="313"/>
      <c r="AR35" s="313"/>
    </row>
    <row r="36" spans="2:44" s="10" customFormat="1" ht="15.95" customHeight="1" x14ac:dyDescent="0.25">
      <c r="C36" s="10" t="str">
        <f>CONCATENATE("= ",TEXT(Q36,"$#,##0"),R36,TEXT(S36,"$#,##0"))</f>
        <v>= $26,700 + $5,200</v>
      </c>
      <c r="F36" s="13"/>
      <c r="G36" s="28"/>
      <c r="H36" s="28"/>
      <c r="I36" s="28"/>
      <c r="J36" s="28"/>
      <c r="Q36" s="410">
        <f>AG23</f>
        <v>26700</v>
      </c>
      <c r="R36" s="410" t="s">
        <v>1588</v>
      </c>
      <c r="S36" s="410">
        <f>AE28</f>
        <v>5200</v>
      </c>
      <c r="T36" s="410" t="s">
        <v>1587</v>
      </c>
      <c r="U36" s="410">
        <f>SUM(Q36+S36)</f>
        <v>31900</v>
      </c>
      <c r="V36" s="402"/>
      <c r="W36" s="402"/>
      <c r="X36" s="402"/>
      <c r="Y36" s="402"/>
      <c r="Z36" s="402"/>
      <c r="AA36" s="402"/>
      <c r="AB36" s="402"/>
      <c r="AC36" s="402"/>
      <c r="AD36" s="402"/>
      <c r="AE36" s="402"/>
      <c r="AF36" s="402"/>
      <c r="AG36" s="402"/>
      <c r="AH36" s="218"/>
      <c r="AI36" s="313"/>
      <c r="AJ36" s="313"/>
      <c r="AK36" s="313"/>
      <c r="AL36" s="313"/>
      <c r="AM36" s="313"/>
      <c r="AN36" s="313"/>
      <c r="AO36" s="313"/>
      <c r="AP36" s="313"/>
      <c r="AQ36" s="313"/>
      <c r="AR36" s="313"/>
    </row>
    <row r="37" spans="2:44" s="10" customFormat="1" ht="15.95" customHeight="1" x14ac:dyDescent="0.25">
      <c r="C37" s="10" t="str">
        <f>CONCATENATE("= ",TEXT(U36,"$#,##0"),)</f>
        <v>= $31,900</v>
      </c>
      <c r="F37" s="13"/>
      <c r="G37" s="28"/>
      <c r="H37" s="28"/>
      <c r="I37" s="28"/>
      <c r="J37" s="28"/>
      <c r="Q37" s="410"/>
      <c r="R37" s="410"/>
      <c r="S37" s="410"/>
      <c r="T37" s="410"/>
      <c r="U37" s="410"/>
      <c r="V37" s="402"/>
      <c r="W37" s="402"/>
      <c r="X37" s="402"/>
      <c r="Y37" s="402"/>
      <c r="Z37" s="402"/>
      <c r="AA37" s="402"/>
      <c r="AB37" s="402"/>
      <c r="AC37" s="402"/>
      <c r="AD37" s="402"/>
      <c r="AE37" s="402"/>
      <c r="AF37" s="402"/>
      <c r="AG37" s="402"/>
      <c r="AH37" s="218"/>
      <c r="AI37" s="313"/>
      <c r="AJ37" s="313"/>
      <c r="AK37" s="313"/>
      <c r="AL37" s="313"/>
      <c r="AM37" s="313"/>
      <c r="AN37" s="313"/>
      <c r="AO37" s="313"/>
      <c r="AP37" s="313"/>
      <c r="AQ37" s="313"/>
      <c r="AR37" s="313"/>
    </row>
    <row r="38" spans="2:44" s="10" customFormat="1" ht="15.95" customHeight="1" x14ac:dyDescent="0.25">
      <c r="B38" s="10" t="s">
        <v>1510</v>
      </c>
      <c r="C38" s="11" t="s">
        <v>632</v>
      </c>
      <c r="F38" s="13"/>
      <c r="G38" s="28"/>
      <c r="H38" s="28"/>
      <c r="I38" s="28"/>
      <c r="Q38" s="410">
        <f>U36</f>
        <v>31900</v>
      </c>
      <c r="R38" s="410" t="s">
        <v>1589</v>
      </c>
      <c r="S38" s="410">
        <f>AE23</f>
        <v>19500</v>
      </c>
      <c r="T38" s="410" t="s">
        <v>1587</v>
      </c>
      <c r="U38" s="410">
        <f>SUM(Q38-S38)</f>
        <v>12400</v>
      </c>
      <c r="V38" s="402"/>
      <c r="W38" s="402"/>
      <c r="X38" s="402"/>
      <c r="Y38" s="402"/>
      <c r="Z38" s="402"/>
      <c r="AA38" s="402"/>
      <c r="AB38" s="402"/>
      <c r="AC38" s="402"/>
      <c r="AD38" s="402"/>
      <c r="AE38" s="402"/>
      <c r="AF38" s="402"/>
      <c r="AG38" s="402"/>
      <c r="AH38" s="218"/>
      <c r="AI38" s="313"/>
      <c r="AJ38" s="313"/>
      <c r="AK38" s="313"/>
      <c r="AL38" s="313"/>
      <c r="AM38" s="313"/>
      <c r="AN38" s="313"/>
      <c r="AO38" s="313"/>
      <c r="AP38" s="313"/>
      <c r="AQ38" s="313"/>
      <c r="AR38" s="313"/>
    </row>
    <row r="39" spans="2:44" s="10" customFormat="1" ht="15.95" customHeight="1" x14ac:dyDescent="0.25">
      <c r="C39" s="10" t="str">
        <f>CONCATENATE("= ",TEXT(Q38,"$#,##0")," (d)",R38,TEXT(S38,"$#,##0"))</f>
        <v>= $31,900 (d) – $19,500</v>
      </c>
      <c r="F39" s="13"/>
      <c r="G39" s="28"/>
      <c r="H39" s="28"/>
      <c r="I39" s="28"/>
      <c r="Q39" s="410"/>
      <c r="R39" s="410"/>
      <c r="S39" s="410"/>
      <c r="T39" s="410"/>
      <c r="U39" s="410"/>
      <c r="V39" s="402"/>
      <c r="W39" s="402"/>
      <c r="X39" s="402"/>
      <c r="Y39" s="402"/>
      <c r="Z39" s="402"/>
      <c r="AA39" s="402"/>
      <c r="AB39" s="402"/>
      <c r="AC39" s="402"/>
      <c r="AD39" s="402"/>
      <c r="AE39" s="402"/>
      <c r="AF39" s="402"/>
      <c r="AG39" s="402"/>
      <c r="AH39" s="218"/>
      <c r="AI39" s="313"/>
      <c r="AJ39" s="313"/>
      <c r="AK39" s="313"/>
      <c r="AL39" s="313"/>
      <c r="AM39" s="313"/>
      <c r="AN39" s="313"/>
      <c r="AO39" s="313"/>
      <c r="AP39" s="313"/>
      <c r="AQ39" s="313"/>
      <c r="AR39" s="313"/>
    </row>
    <row r="40" spans="2:44" s="10" customFormat="1" ht="15.95" customHeight="1" x14ac:dyDescent="0.25">
      <c r="C40" s="10" t="str">
        <f>CONCATENATE("= ",TEXT(U38,"$#,##0"))</f>
        <v>= $12,400</v>
      </c>
      <c r="F40" s="13"/>
      <c r="G40" s="28"/>
      <c r="H40" s="28"/>
      <c r="I40" s="28"/>
      <c r="Q40" s="410"/>
      <c r="R40" s="410"/>
      <c r="S40" s="410"/>
      <c r="T40" s="410"/>
      <c r="U40" s="410"/>
      <c r="V40" s="402"/>
      <c r="W40" s="402"/>
      <c r="X40" s="402"/>
      <c r="Y40" s="402"/>
      <c r="Z40" s="402"/>
      <c r="AA40" s="402"/>
      <c r="AB40" s="402"/>
      <c r="AC40" s="402"/>
      <c r="AD40" s="402"/>
      <c r="AE40" s="402"/>
      <c r="AF40" s="402"/>
      <c r="AG40" s="402"/>
      <c r="AH40" s="218"/>
      <c r="AI40" s="313"/>
      <c r="AJ40" s="313"/>
      <c r="AK40" s="313"/>
      <c r="AL40" s="313"/>
      <c r="AM40" s="313"/>
      <c r="AN40" s="313"/>
      <c r="AO40" s="313"/>
      <c r="AP40" s="313"/>
      <c r="AQ40" s="313"/>
      <c r="AR40" s="313"/>
    </row>
    <row r="41" spans="2:44" s="10" customFormat="1" ht="15.95" customHeight="1" x14ac:dyDescent="0.25">
      <c r="B41" s="10" t="s">
        <v>529</v>
      </c>
      <c r="C41" s="11" t="s">
        <v>633</v>
      </c>
      <c r="F41" s="13"/>
      <c r="G41" s="28"/>
      <c r="H41" s="28"/>
      <c r="I41" s="28"/>
      <c r="J41" s="28"/>
      <c r="Q41" s="410">
        <f>AG23</f>
        <v>26700</v>
      </c>
      <c r="R41" s="410" t="s">
        <v>1588</v>
      </c>
      <c r="S41" s="410">
        <f>AG25</f>
        <v>9500</v>
      </c>
      <c r="T41" s="410" t="s">
        <v>1587</v>
      </c>
      <c r="U41" s="410">
        <f>SUM(Q41+S41)</f>
        <v>36200</v>
      </c>
      <c r="V41" s="402"/>
      <c r="W41" s="402"/>
      <c r="X41" s="402"/>
      <c r="Y41" s="402"/>
      <c r="Z41" s="402"/>
      <c r="AA41" s="402"/>
      <c r="AB41" s="402"/>
      <c r="AC41" s="403"/>
      <c r="AD41" s="403"/>
      <c r="AE41" s="403"/>
      <c r="AF41" s="403"/>
      <c r="AG41" s="403"/>
      <c r="AH41" s="313"/>
      <c r="AI41" s="313"/>
      <c r="AJ41" s="313"/>
      <c r="AK41" s="313"/>
      <c r="AL41" s="313"/>
      <c r="AM41" s="313"/>
      <c r="AN41" s="313"/>
      <c r="AO41" s="313"/>
      <c r="AP41" s="313"/>
      <c r="AQ41" s="313"/>
      <c r="AR41" s="313"/>
    </row>
    <row r="42" spans="2:44" s="10" customFormat="1" ht="15.95" customHeight="1" x14ac:dyDescent="0.25">
      <c r="C42" s="10" t="str">
        <f>CONCATENATE("= ",TEXT(Q41,"$#,##0"),R41,TEXT(S41,"$#,##0"))</f>
        <v>= $26,700 + $9,500</v>
      </c>
      <c r="F42" s="13"/>
      <c r="G42" s="28"/>
      <c r="H42" s="28"/>
      <c r="I42" s="28"/>
      <c r="J42" s="28"/>
      <c r="Q42" s="410"/>
      <c r="R42" s="410"/>
      <c r="S42" s="410"/>
      <c r="T42" s="410"/>
      <c r="U42" s="410"/>
      <c r="V42" s="402"/>
      <c r="W42" s="402"/>
      <c r="X42" s="402"/>
      <c r="Y42" s="402"/>
      <c r="Z42" s="402"/>
      <c r="AA42" s="402"/>
      <c r="AB42" s="402"/>
      <c r="AC42" s="403"/>
      <c r="AD42" s="403"/>
      <c r="AE42" s="403"/>
      <c r="AF42" s="403"/>
      <c r="AG42" s="403"/>
      <c r="AH42" s="313"/>
      <c r="AI42" s="313"/>
      <c r="AJ42" s="313"/>
      <c r="AK42" s="313"/>
      <c r="AL42" s="313"/>
      <c r="AM42" s="313"/>
      <c r="AN42" s="313"/>
      <c r="AO42" s="313"/>
      <c r="AP42" s="313"/>
      <c r="AQ42" s="313"/>
      <c r="AR42" s="313"/>
    </row>
    <row r="43" spans="2:44" s="10" customFormat="1" ht="15.95" customHeight="1" x14ac:dyDescent="0.25">
      <c r="C43" s="10" t="str">
        <f>CONCATENATE("= ",TEXT(U41,"$#,##0"),)</f>
        <v>= $36,200</v>
      </c>
      <c r="F43" s="13"/>
      <c r="G43" s="28"/>
      <c r="H43" s="28"/>
      <c r="I43" s="28"/>
      <c r="J43" s="28"/>
      <c r="Q43" s="410"/>
      <c r="R43" s="410"/>
      <c r="S43" s="410"/>
      <c r="T43" s="410"/>
      <c r="U43" s="410"/>
      <c r="V43" s="402"/>
      <c r="W43" s="402"/>
      <c r="X43" s="402"/>
      <c r="Y43" s="402"/>
      <c r="Z43" s="402"/>
      <c r="AA43" s="402"/>
      <c r="AB43" s="402"/>
      <c r="AC43" s="403"/>
      <c r="AD43" s="403"/>
      <c r="AE43" s="403"/>
      <c r="AF43" s="403"/>
      <c r="AG43" s="403"/>
      <c r="AH43" s="313"/>
      <c r="AI43" s="313"/>
      <c r="AJ43" s="313"/>
      <c r="AK43" s="313"/>
      <c r="AL43" s="313"/>
      <c r="AM43" s="313"/>
      <c r="AN43" s="313"/>
      <c r="AO43" s="313"/>
      <c r="AP43" s="313"/>
      <c r="AQ43" s="313"/>
      <c r="AR43" s="313"/>
    </row>
    <row r="44" spans="2:44" s="10" customFormat="1" ht="15.95" customHeight="1" x14ac:dyDescent="0.25">
      <c r="B44" s="10" t="s">
        <v>975</v>
      </c>
      <c r="C44" s="10" t="s">
        <v>634</v>
      </c>
      <c r="F44" s="13"/>
      <c r="G44" s="28"/>
      <c r="H44" s="28"/>
      <c r="I44" s="28"/>
      <c r="Q44" s="410">
        <f>U41</f>
        <v>36200</v>
      </c>
      <c r="R44" s="410" t="s">
        <v>1589</v>
      </c>
      <c r="S44" s="410">
        <f>AG30</f>
        <v>34100</v>
      </c>
      <c r="T44" s="410" t="s">
        <v>1587</v>
      </c>
      <c r="U44" s="410">
        <f>SUM(Q44-S44)</f>
        <v>2100</v>
      </c>
      <c r="V44" s="402"/>
      <c r="W44" s="402"/>
      <c r="X44" s="402"/>
      <c r="Y44" s="402"/>
      <c r="Z44" s="402"/>
      <c r="AA44" s="402"/>
      <c r="AB44" s="402"/>
      <c r="AC44" s="403"/>
      <c r="AD44" s="403"/>
      <c r="AE44" s="403"/>
      <c r="AF44" s="403"/>
      <c r="AG44" s="403"/>
      <c r="AH44" s="313"/>
      <c r="AI44" s="313"/>
      <c r="AJ44" s="313"/>
      <c r="AK44" s="313"/>
      <c r="AL44" s="313"/>
      <c r="AM44" s="313"/>
      <c r="AN44" s="313"/>
      <c r="AO44" s="313"/>
      <c r="AP44" s="313"/>
      <c r="AQ44" s="313"/>
      <c r="AR44" s="313"/>
    </row>
    <row r="45" spans="2:44" s="10" customFormat="1" ht="15.95" customHeight="1" x14ac:dyDescent="0.25">
      <c r="C45" s="10" t="str">
        <f>CONCATENATE("= ",TEXT(Q44,"$#,##0")," (f)",R44,TEXT(S44,"$#,##0"))</f>
        <v>= $36,200 (f) – $34,100</v>
      </c>
      <c r="Q45" s="402"/>
      <c r="R45" s="402"/>
      <c r="S45" s="402"/>
      <c r="T45" s="402"/>
      <c r="U45" s="402"/>
      <c r="V45" s="402"/>
      <c r="W45" s="402"/>
      <c r="X45" s="402"/>
      <c r="Y45" s="402"/>
      <c r="Z45" s="402"/>
      <c r="AA45" s="402"/>
      <c r="AB45" s="402"/>
      <c r="AC45" s="403"/>
      <c r="AD45" s="403"/>
      <c r="AE45" s="403"/>
      <c r="AF45" s="403"/>
      <c r="AG45" s="403"/>
      <c r="AH45" s="313"/>
      <c r="AI45" s="313"/>
      <c r="AJ45" s="313"/>
      <c r="AK45" s="313"/>
      <c r="AL45" s="313"/>
      <c r="AM45" s="313"/>
      <c r="AN45" s="313"/>
      <c r="AO45" s="313"/>
      <c r="AP45" s="313"/>
      <c r="AQ45" s="313"/>
      <c r="AR45" s="313"/>
    </row>
    <row r="46" spans="2:44" s="10" customFormat="1" ht="15.95" customHeight="1" x14ac:dyDescent="0.25">
      <c r="C46" s="10" t="str">
        <f>CONCATENATE("= ",TEXT(U44,"$#,##0"))</f>
        <v>= $2,100</v>
      </c>
      <c r="Q46" s="402"/>
      <c r="R46" s="402"/>
      <c r="S46" s="402"/>
      <c r="T46" s="402"/>
      <c r="U46" s="402"/>
      <c r="V46" s="402"/>
      <c r="W46" s="402"/>
      <c r="X46" s="402"/>
      <c r="Y46" s="402"/>
      <c r="Z46" s="402"/>
      <c r="AA46" s="402"/>
      <c r="AB46" s="402"/>
      <c r="AC46" s="403"/>
      <c r="AD46" s="403"/>
      <c r="AE46" s="403"/>
      <c r="AF46" s="403"/>
      <c r="AG46" s="403"/>
      <c r="AH46" s="313"/>
      <c r="AI46" s="313"/>
      <c r="AJ46" s="313"/>
      <c r="AK46" s="313"/>
      <c r="AL46" s="313"/>
      <c r="AM46" s="313"/>
      <c r="AN46" s="313"/>
      <c r="AO46" s="313"/>
      <c r="AP46" s="313"/>
      <c r="AQ46" s="313"/>
      <c r="AR46" s="313"/>
    </row>
    <row r="47" spans="2:44" s="10" customFormat="1" ht="15.95" customHeight="1" x14ac:dyDescent="0.25">
      <c r="C47" s="2"/>
      <c r="Q47" s="402"/>
      <c r="R47" s="402"/>
      <c r="S47" s="402"/>
      <c r="T47" s="402"/>
      <c r="U47" s="402"/>
      <c r="V47" s="402"/>
      <c r="W47" s="402"/>
      <c r="X47" s="402"/>
      <c r="Y47" s="402"/>
      <c r="Z47" s="402"/>
      <c r="AA47" s="402"/>
      <c r="AB47" s="402"/>
      <c r="AC47" s="403"/>
      <c r="AD47" s="403"/>
      <c r="AE47" s="403"/>
      <c r="AF47" s="403"/>
      <c r="AG47" s="403"/>
      <c r="AH47" s="313"/>
      <c r="AI47" s="313"/>
      <c r="AJ47" s="313"/>
      <c r="AK47" s="313"/>
      <c r="AL47" s="313"/>
      <c r="AM47" s="313"/>
      <c r="AN47" s="313"/>
      <c r="AO47" s="313"/>
      <c r="AP47" s="313"/>
      <c r="AQ47" s="313"/>
      <c r="AR47" s="313"/>
    </row>
    <row r="48" spans="2:44" s="10" customFormat="1" ht="15" customHeight="1" x14ac:dyDescent="0.25">
      <c r="Q48" s="402"/>
      <c r="R48" s="402"/>
      <c r="S48" s="402"/>
      <c r="T48" s="402"/>
      <c r="U48" s="402"/>
      <c r="V48" s="402"/>
      <c r="W48" s="402"/>
      <c r="X48" s="402"/>
      <c r="Y48" s="402"/>
      <c r="Z48" s="402"/>
      <c r="AA48" s="402"/>
      <c r="AB48" s="402"/>
      <c r="AC48" s="403"/>
      <c r="AD48" s="403"/>
      <c r="AE48" s="403"/>
      <c r="AF48" s="403"/>
      <c r="AG48" s="403"/>
      <c r="AH48" s="313"/>
      <c r="AI48" s="313"/>
      <c r="AJ48" s="313"/>
      <c r="AK48" s="313"/>
      <c r="AL48" s="313"/>
      <c r="AM48" s="313"/>
      <c r="AN48" s="313"/>
      <c r="AO48" s="313"/>
      <c r="AP48" s="313"/>
      <c r="AQ48" s="313"/>
      <c r="AR48" s="313"/>
    </row>
    <row r="49" spans="17:44" s="10" customFormat="1" ht="15" customHeight="1" x14ac:dyDescent="0.25">
      <c r="Q49" s="402"/>
      <c r="R49" s="402"/>
      <c r="S49" s="402"/>
      <c r="T49" s="402"/>
      <c r="U49" s="402"/>
      <c r="V49" s="402"/>
      <c r="W49" s="402"/>
      <c r="X49" s="402"/>
      <c r="Y49" s="402"/>
      <c r="Z49" s="402"/>
      <c r="AA49" s="402"/>
      <c r="AB49" s="402"/>
      <c r="AC49" s="403"/>
      <c r="AD49" s="403"/>
      <c r="AE49" s="403"/>
      <c r="AF49" s="403"/>
      <c r="AG49" s="403"/>
      <c r="AH49" s="313"/>
      <c r="AI49" s="313"/>
      <c r="AJ49" s="313"/>
      <c r="AK49" s="313"/>
      <c r="AL49" s="313"/>
      <c r="AM49" s="313"/>
      <c r="AN49" s="313"/>
      <c r="AO49" s="313"/>
      <c r="AP49" s="313"/>
      <c r="AQ49" s="313"/>
      <c r="AR49" s="313"/>
    </row>
    <row r="50" spans="17:44" s="10" customFormat="1" ht="15" customHeight="1" x14ac:dyDescent="0.25">
      <c r="Q50" s="402"/>
      <c r="R50" s="402"/>
      <c r="S50" s="402"/>
      <c r="T50" s="402"/>
      <c r="U50" s="402"/>
      <c r="V50" s="402"/>
      <c r="W50" s="402"/>
      <c r="X50" s="402"/>
      <c r="Y50" s="402"/>
      <c r="Z50" s="402"/>
      <c r="AA50" s="402"/>
      <c r="AB50" s="402"/>
      <c r="AC50" s="403"/>
      <c r="AD50" s="403"/>
      <c r="AE50" s="403"/>
      <c r="AF50" s="403"/>
      <c r="AG50" s="403"/>
      <c r="AH50" s="313"/>
      <c r="AI50" s="313"/>
      <c r="AJ50" s="313"/>
      <c r="AK50" s="313"/>
      <c r="AL50" s="313"/>
      <c r="AM50" s="313"/>
      <c r="AN50" s="313"/>
      <c r="AO50" s="313"/>
      <c r="AP50" s="313"/>
      <c r="AQ50" s="313"/>
      <c r="AR50" s="313"/>
    </row>
    <row r="51" spans="17:44" ht="15" customHeight="1" x14ac:dyDescent="0.2">
      <c r="AA51" s="402"/>
      <c r="AB51" s="402"/>
      <c r="AC51" s="403"/>
      <c r="AD51" s="403"/>
      <c r="AE51" s="403"/>
      <c r="AF51" s="403"/>
      <c r="AG51" s="403"/>
    </row>
    <row r="52" spans="17:44" ht="15" customHeight="1" x14ac:dyDescent="0.2">
      <c r="AA52" s="402"/>
      <c r="AB52" s="402"/>
      <c r="AC52" s="403"/>
      <c r="AD52" s="403"/>
      <c r="AE52" s="403"/>
      <c r="AF52" s="403"/>
      <c r="AG52" s="403"/>
    </row>
    <row r="53" spans="17:44" ht="15" customHeight="1" x14ac:dyDescent="0.2"/>
    <row r="54" spans="17:44" ht="15" customHeight="1" x14ac:dyDescent="0.2"/>
    <row r="55" spans="17:44" ht="15" customHeight="1" x14ac:dyDescent="0.2"/>
    <row r="56" spans="17:44" ht="15" customHeight="1" x14ac:dyDescent="0.2"/>
    <row r="57" spans="17:44" ht="15" customHeight="1" x14ac:dyDescent="0.2"/>
  </sheetData>
  <customSheetViews>
    <customSheetView guid="{B2DDA8C4-3089-41F7-BA6E-A0E09596A2CA}" scale="80" showPageBreaks="1" fitToPage="1" printArea="1">
      <selection activeCell="B22" sqref="B22"/>
      <pageMargins left="0.75" right="1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B22" sqref="B22"/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22" sqref="B22"/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22" sqref="B22"/>
      <pageMargins left="0.75" right="1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22" sqref="B22"/>
      <pageMargins left="0.75" right="1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">
    <mergeCell ref="B4:O4"/>
    <mergeCell ref="B5:O5"/>
    <mergeCell ref="B6:O6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drawing r:id="rId7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9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3" width="4.7109375" style="2" customWidth="1"/>
    <col min="4" max="5" width="10.7109375" style="2" customWidth="1"/>
    <col min="6" max="6" width="18.140625" style="2" customWidth="1"/>
    <col min="7" max="7" width="10" style="2" customWidth="1"/>
    <col min="8" max="8" width="1.5703125" style="2" customWidth="1"/>
    <col min="9" max="9" width="13.42578125" style="2" customWidth="1"/>
    <col min="10" max="10" width="2.7109375" style="2" customWidth="1"/>
    <col min="11" max="11" width="14" style="2" customWidth="1"/>
    <col min="12" max="12" width="2.7109375" style="2" customWidth="1"/>
    <col min="13" max="13" width="9.140625" style="312"/>
    <col min="14" max="14" width="2.7109375" style="312" customWidth="1"/>
    <col min="15" max="15" width="0" style="407" hidden="1" customWidth="1"/>
    <col min="16" max="16" width="2.7109375" style="407" hidden="1" customWidth="1"/>
    <col min="17" max="17" width="11" style="407" hidden="1" customWidth="1"/>
    <col min="18" max="18" width="2.7109375" style="312" customWidth="1"/>
    <col min="19" max="19" width="9.140625" style="312"/>
    <col min="20" max="20" width="2.7109375" style="2" customWidth="1"/>
    <col min="21" max="21" width="9.140625" style="2"/>
    <col min="22" max="22" width="2.7109375" style="2" customWidth="1"/>
    <col min="23" max="23" width="9.140625" style="2"/>
    <col min="24" max="24" width="2.7109375" style="2" customWidth="1"/>
    <col min="25" max="25" width="10.42578125" style="2" customWidth="1"/>
    <col min="26" max="26" width="2.7109375" style="2" customWidth="1"/>
    <col min="27" max="27" width="8.7109375" style="2" customWidth="1"/>
    <col min="28" max="28" width="2.7109375" style="2" customWidth="1"/>
    <col min="29" max="29" width="9.140625" style="2"/>
    <col min="30" max="30" width="2.7109375" style="2" customWidth="1"/>
    <col min="31" max="31" width="9.140625" style="2"/>
    <col min="32" max="32" width="2.7109375" style="2" customWidth="1"/>
    <col min="33" max="16384" width="9.140625" style="2"/>
  </cols>
  <sheetData>
    <row r="1" spans="2:26" ht="28.5" customHeight="1" x14ac:dyDescent="0.2"/>
    <row r="2" spans="2:26" ht="15.95" customHeight="1" x14ac:dyDescent="0.25">
      <c r="B2" s="26" t="s">
        <v>1201</v>
      </c>
      <c r="C2" s="48"/>
      <c r="D2" s="48"/>
      <c r="E2" s="48"/>
      <c r="F2" s="48"/>
      <c r="G2" s="48"/>
      <c r="H2" s="48"/>
      <c r="I2" s="48"/>
      <c r="J2" s="48"/>
      <c r="K2" s="48"/>
      <c r="R2" s="316"/>
      <c r="S2" s="333"/>
      <c r="T2" s="48"/>
      <c r="U2" s="48"/>
      <c r="V2" s="48"/>
      <c r="W2" s="48"/>
      <c r="X2" s="48"/>
      <c r="Y2" s="48"/>
      <c r="Z2" s="48"/>
    </row>
    <row r="3" spans="2:26" ht="5.0999999999999996" customHeight="1" x14ac:dyDescent="0.25">
      <c r="B3" s="39"/>
      <c r="C3" s="40"/>
      <c r="D3" s="40"/>
      <c r="E3" s="40"/>
      <c r="F3" s="40"/>
      <c r="G3" s="40"/>
      <c r="H3" s="40"/>
      <c r="I3" s="40"/>
      <c r="J3" s="40"/>
      <c r="K3" s="40"/>
      <c r="R3" s="316"/>
      <c r="S3" s="333"/>
      <c r="T3" s="48"/>
      <c r="U3" s="48"/>
      <c r="V3" s="48"/>
      <c r="W3" s="48"/>
      <c r="X3" s="48"/>
      <c r="Y3" s="48"/>
      <c r="Z3" s="48"/>
    </row>
    <row r="4" spans="2:26" s="10" customFormat="1" ht="15.95" customHeight="1" x14ac:dyDescent="0.25">
      <c r="B4" s="363" t="s">
        <v>1648</v>
      </c>
      <c r="C4" s="363"/>
      <c r="D4" s="363"/>
      <c r="E4" s="363"/>
      <c r="F4" s="363"/>
      <c r="G4" s="363"/>
      <c r="H4" s="363"/>
      <c r="I4" s="363"/>
      <c r="J4" s="363"/>
      <c r="K4" s="363"/>
      <c r="M4" s="313"/>
      <c r="N4" s="313"/>
      <c r="O4" s="402"/>
      <c r="P4" s="402"/>
      <c r="Q4" s="402"/>
      <c r="R4" s="218"/>
      <c r="S4" s="314"/>
      <c r="T4" s="20"/>
      <c r="U4" s="20"/>
      <c r="V4" s="20"/>
      <c r="W4" s="20"/>
      <c r="X4" s="20"/>
      <c r="Y4" s="26"/>
      <c r="Z4" s="26"/>
    </row>
    <row r="5" spans="2:26" s="10" customFormat="1" ht="15.95" customHeight="1" x14ac:dyDescent="0.25">
      <c r="B5" s="363" t="s">
        <v>467</v>
      </c>
      <c r="C5" s="363"/>
      <c r="D5" s="363"/>
      <c r="E5" s="363"/>
      <c r="F5" s="363"/>
      <c r="G5" s="363"/>
      <c r="H5" s="363"/>
      <c r="I5" s="363"/>
      <c r="J5" s="363"/>
      <c r="K5" s="363"/>
      <c r="M5" s="313"/>
      <c r="N5" s="313"/>
      <c r="O5" s="402"/>
      <c r="P5" s="402"/>
      <c r="Q5" s="402"/>
      <c r="R5" s="218"/>
      <c r="S5" s="313"/>
      <c r="T5" s="26"/>
      <c r="U5" s="26"/>
      <c r="V5" s="26"/>
      <c r="Z5" s="26"/>
    </row>
    <row r="6" spans="2:26" s="10" customFormat="1" ht="15.95" customHeight="1" x14ac:dyDescent="0.25">
      <c r="B6" s="372" t="s">
        <v>1118</v>
      </c>
      <c r="C6" s="372"/>
      <c r="D6" s="372"/>
      <c r="E6" s="372"/>
      <c r="F6" s="372"/>
      <c r="G6" s="372"/>
      <c r="H6" s="372"/>
      <c r="I6" s="372"/>
      <c r="J6" s="372"/>
      <c r="K6" s="372"/>
      <c r="M6" s="313"/>
      <c r="N6" s="313"/>
      <c r="O6" s="402"/>
      <c r="P6" s="402"/>
      <c r="Q6" s="402"/>
      <c r="R6" s="218"/>
      <c r="S6" s="313"/>
      <c r="T6" s="26"/>
      <c r="U6" s="26"/>
      <c r="V6" s="26"/>
      <c r="Z6" s="26"/>
    </row>
    <row r="7" spans="2:26" s="10" customFormat="1" ht="5.0999999999999996" customHeight="1" x14ac:dyDescent="0.25">
      <c r="M7" s="313"/>
      <c r="N7" s="313"/>
      <c r="O7" s="402"/>
      <c r="P7" s="402"/>
      <c r="Q7" s="402"/>
      <c r="R7" s="218"/>
      <c r="S7" s="313"/>
      <c r="Z7" s="26"/>
    </row>
    <row r="8" spans="2:26" s="10" customFormat="1" ht="15.95" customHeight="1" x14ac:dyDescent="0.25">
      <c r="B8" s="10" t="s">
        <v>469</v>
      </c>
      <c r="M8" s="313"/>
      <c r="N8" s="313"/>
      <c r="O8" s="402"/>
      <c r="P8" s="402"/>
      <c r="Q8" s="418" t="s">
        <v>1682</v>
      </c>
      <c r="R8" s="218"/>
      <c r="S8" s="313"/>
      <c r="T8" s="26"/>
      <c r="U8" s="26"/>
      <c r="V8" s="26"/>
      <c r="Z8" s="26"/>
    </row>
    <row r="9" spans="2:26" s="10" customFormat="1" ht="15.95" customHeight="1" x14ac:dyDescent="0.25">
      <c r="B9" s="69" t="s">
        <v>1649</v>
      </c>
      <c r="H9" s="10" t="s">
        <v>337</v>
      </c>
      <c r="I9" s="41">
        <f>Q9</f>
        <v>1460000</v>
      </c>
      <c r="J9" s="25"/>
      <c r="K9" s="25"/>
      <c r="M9" s="313"/>
      <c r="N9" s="313"/>
      <c r="O9" s="402"/>
      <c r="P9" s="405" t="s">
        <v>125</v>
      </c>
      <c r="Q9" s="409">
        <v>1460000</v>
      </c>
      <c r="R9" s="218"/>
      <c r="S9" s="313"/>
      <c r="T9" s="26"/>
      <c r="U9" s="26"/>
      <c r="V9" s="26"/>
      <c r="Z9" s="26"/>
    </row>
    <row r="10" spans="2:26" s="10" customFormat="1" ht="15.95" customHeight="1" x14ac:dyDescent="0.25">
      <c r="B10" s="69" t="s">
        <v>1651</v>
      </c>
      <c r="H10" s="10" t="s">
        <v>337</v>
      </c>
      <c r="I10" s="53">
        <f>Q10</f>
        <v>472300</v>
      </c>
      <c r="J10" s="25"/>
      <c r="K10" s="25"/>
      <c r="M10" s="313"/>
      <c r="N10" s="313"/>
      <c r="O10" s="402"/>
      <c r="P10" s="405" t="s">
        <v>124</v>
      </c>
      <c r="Q10" s="409">
        <v>472300</v>
      </c>
      <c r="R10" s="218"/>
      <c r="S10" s="313"/>
      <c r="T10" s="26"/>
      <c r="U10" s="26"/>
      <c r="V10" s="26"/>
      <c r="Z10" s="26"/>
    </row>
    <row r="11" spans="2:26" s="10" customFormat="1" ht="15.95" customHeight="1" x14ac:dyDescent="0.25">
      <c r="B11" s="158" t="s">
        <v>1562</v>
      </c>
      <c r="H11" s="10" t="s">
        <v>337</v>
      </c>
      <c r="I11" s="114" t="s">
        <v>337</v>
      </c>
      <c r="J11" s="25"/>
      <c r="K11" s="17">
        <f>SUM(I9:I10)</f>
        <v>1932300</v>
      </c>
      <c r="M11" s="313"/>
      <c r="N11" s="313"/>
      <c r="O11" s="402"/>
      <c r="P11" s="402"/>
      <c r="Q11" s="402"/>
      <c r="R11" s="218"/>
      <c r="S11" s="313"/>
      <c r="T11" s="26"/>
      <c r="U11" s="26"/>
      <c r="V11" s="26"/>
      <c r="Z11" s="26"/>
    </row>
    <row r="12" spans="2:26" s="10" customFormat="1" ht="15.95" customHeight="1" x14ac:dyDescent="0.25">
      <c r="B12" s="10" t="s">
        <v>470</v>
      </c>
      <c r="I12" s="83"/>
      <c r="J12" s="25"/>
      <c r="K12" s="65"/>
      <c r="M12" s="313"/>
      <c r="N12" s="313"/>
      <c r="O12" s="402"/>
      <c r="P12" s="402"/>
      <c r="Q12" s="402"/>
      <c r="R12" s="218"/>
      <c r="S12" s="313"/>
      <c r="T12" s="26"/>
      <c r="U12" s="26"/>
      <c r="V12" s="26"/>
      <c r="Z12" s="26"/>
    </row>
    <row r="13" spans="2:26" s="10" customFormat="1" ht="15.95" customHeight="1" x14ac:dyDescent="0.25">
      <c r="B13" s="69" t="s">
        <v>1653</v>
      </c>
      <c r="H13" s="10" t="s">
        <v>337</v>
      </c>
      <c r="I13" s="269">
        <f t="shared" ref="I13:I20" si="0">Q13</f>
        <v>987200</v>
      </c>
      <c r="J13" s="25"/>
      <c r="K13" s="25"/>
      <c r="M13" s="313"/>
      <c r="N13" s="313"/>
      <c r="O13" s="402"/>
      <c r="P13" s="405" t="s">
        <v>308</v>
      </c>
      <c r="Q13" s="409">
        <v>987200</v>
      </c>
      <c r="R13" s="218"/>
      <c r="S13" s="313"/>
      <c r="T13" s="26"/>
      <c r="U13" s="26"/>
      <c r="V13" s="26"/>
      <c r="Z13" s="26"/>
    </row>
    <row r="14" spans="2:26" s="10" customFormat="1" ht="15.95" customHeight="1" x14ac:dyDescent="0.25">
      <c r="B14" s="69" t="s">
        <v>1654</v>
      </c>
      <c r="H14" s="10" t="s">
        <v>337</v>
      </c>
      <c r="I14" s="78">
        <f t="shared" si="0"/>
        <v>246300</v>
      </c>
      <c r="J14" s="25"/>
      <c r="K14" s="25"/>
      <c r="M14" s="313"/>
      <c r="N14" s="313"/>
      <c r="O14" s="402"/>
      <c r="P14" s="405" t="s">
        <v>1623</v>
      </c>
      <c r="Q14" s="409">
        <v>246300</v>
      </c>
      <c r="R14" s="218"/>
      <c r="S14" s="313"/>
      <c r="T14" s="26"/>
      <c r="U14" s="26"/>
      <c r="V14" s="26"/>
      <c r="Z14" s="26"/>
    </row>
    <row r="15" spans="2:26" s="10" customFormat="1" ht="15.95" customHeight="1" x14ac:dyDescent="0.25">
      <c r="B15" s="69" t="s">
        <v>1655</v>
      </c>
      <c r="H15" s="10" t="s">
        <v>337</v>
      </c>
      <c r="I15" s="78">
        <f t="shared" si="0"/>
        <v>239400</v>
      </c>
      <c r="J15" s="25"/>
      <c r="K15" s="25"/>
      <c r="M15" s="313"/>
      <c r="N15" s="313"/>
      <c r="O15" s="402"/>
      <c r="P15" s="405" t="s">
        <v>472</v>
      </c>
      <c r="Q15" s="409">
        <v>239400</v>
      </c>
      <c r="R15" s="218"/>
      <c r="S15" s="313"/>
      <c r="T15" s="26"/>
      <c r="U15" s="26"/>
      <c r="V15" s="26"/>
      <c r="Z15" s="26"/>
    </row>
    <row r="16" spans="2:26" s="10" customFormat="1" ht="15.95" customHeight="1" x14ac:dyDescent="0.25">
      <c r="B16" s="69" t="s">
        <v>1656</v>
      </c>
      <c r="H16" s="10" t="s">
        <v>337</v>
      </c>
      <c r="I16" s="78">
        <f t="shared" si="0"/>
        <v>236000</v>
      </c>
      <c r="J16" s="25"/>
      <c r="K16" s="25"/>
      <c r="M16" s="313"/>
      <c r="N16" s="313"/>
      <c r="O16" s="402"/>
      <c r="P16" s="405" t="s">
        <v>474</v>
      </c>
      <c r="Q16" s="409">
        <v>236000</v>
      </c>
      <c r="R16" s="218"/>
      <c r="S16" s="313"/>
      <c r="T16" s="26"/>
      <c r="U16" s="26"/>
      <c r="V16" s="26"/>
      <c r="Z16" s="26"/>
    </row>
    <row r="17" spans="2:26" s="10" customFormat="1" ht="15.95" customHeight="1" x14ac:dyDescent="0.25">
      <c r="B17" s="69" t="s">
        <v>1658</v>
      </c>
      <c r="H17" s="10" t="s">
        <v>337</v>
      </c>
      <c r="I17" s="78">
        <f t="shared" si="0"/>
        <v>89100</v>
      </c>
      <c r="J17" s="25"/>
      <c r="K17" s="25"/>
      <c r="M17" s="313"/>
      <c r="N17" s="313"/>
      <c r="O17" s="402"/>
      <c r="P17" s="405" t="s">
        <v>486</v>
      </c>
      <c r="Q17" s="409">
        <v>89100</v>
      </c>
      <c r="R17" s="218"/>
      <c r="S17" s="313"/>
      <c r="T17" s="26"/>
      <c r="U17" s="26"/>
      <c r="V17" s="26"/>
      <c r="Z17" s="26"/>
    </row>
    <row r="18" spans="2:26" s="10" customFormat="1" ht="15.95" customHeight="1" x14ac:dyDescent="0.25">
      <c r="B18" s="69" t="s">
        <v>119</v>
      </c>
      <c r="H18" s="10" t="s">
        <v>337</v>
      </c>
      <c r="I18" s="78">
        <f t="shared" si="0"/>
        <v>21500</v>
      </c>
      <c r="J18" s="25"/>
      <c r="K18" s="25"/>
      <c r="M18" s="313"/>
      <c r="N18" s="313"/>
      <c r="O18" s="402"/>
      <c r="P18" s="405" t="s">
        <v>566</v>
      </c>
      <c r="Q18" s="409">
        <v>21500</v>
      </c>
      <c r="R18" s="218"/>
      <c r="S18" s="313"/>
      <c r="T18" s="26"/>
      <c r="U18" s="26"/>
      <c r="V18" s="26"/>
      <c r="Z18" s="26"/>
    </row>
    <row r="19" spans="2:26" s="10" customFormat="1" ht="15.95" customHeight="1" x14ac:dyDescent="0.25">
      <c r="B19" s="69" t="s">
        <v>120</v>
      </c>
      <c r="H19" s="10" t="s">
        <v>337</v>
      </c>
      <c r="I19" s="78">
        <f t="shared" si="0"/>
        <v>14600</v>
      </c>
      <c r="J19" s="25"/>
      <c r="K19" s="25"/>
      <c r="M19" s="313"/>
      <c r="N19" s="313"/>
      <c r="O19" s="402"/>
      <c r="P19" s="405" t="s">
        <v>121</v>
      </c>
      <c r="Q19" s="409">
        <v>14600</v>
      </c>
      <c r="R19" s="218"/>
      <c r="S19" s="313"/>
      <c r="T19" s="26"/>
      <c r="U19" s="26"/>
      <c r="V19" s="26"/>
      <c r="Z19" s="26"/>
    </row>
    <row r="20" spans="2:26" s="10" customFormat="1" ht="15.95" customHeight="1" x14ac:dyDescent="0.25">
      <c r="B20" s="69" t="s">
        <v>1659</v>
      </c>
      <c r="H20" s="10" t="s">
        <v>337</v>
      </c>
      <c r="I20" s="53">
        <f t="shared" si="0"/>
        <v>21700</v>
      </c>
      <c r="J20" s="25"/>
      <c r="K20" s="25"/>
      <c r="M20" s="313"/>
      <c r="N20" s="313"/>
      <c r="O20" s="402"/>
      <c r="P20" s="405" t="s">
        <v>501</v>
      </c>
      <c r="Q20" s="409">
        <v>21700</v>
      </c>
      <c r="R20" s="218"/>
      <c r="S20" s="313"/>
      <c r="T20" s="26"/>
      <c r="U20" s="26"/>
      <c r="V20" s="26"/>
      <c r="Z20" s="26"/>
    </row>
    <row r="21" spans="2:26" s="10" customFormat="1" ht="15.95" customHeight="1" x14ac:dyDescent="0.25">
      <c r="B21" s="158" t="s">
        <v>1522</v>
      </c>
      <c r="H21" s="10" t="s">
        <v>337</v>
      </c>
      <c r="I21" s="83" t="s">
        <v>337</v>
      </c>
      <c r="J21" s="25"/>
      <c r="K21" s="53">
        <f>SUM(I13:I20)</f>
        <v>1855800</v>
      </c>
      <c r="M21" s="313"/>
      <c r="N21" s="313"/>
      <c r="O21" s="402"/>
      <c r="P21" s="402"/>
      <c r="Q21" s="402"/>
      <c r="R21" s="218"/>
      <c r="S21" s="313"/>
      <c r="T21" s="26"/>
      <c r="U21" s="26"/>
      <c r="V21" s="26"/>
      <c r="Z21" s="26"/>
    </row>
    <row r="22" spans="2:26" s="10" customFormat="1" ht="15.95" customHeight="1" thickBot="1" x14ac:dyDescent="0.3">
      <c r="B22" s="10" t="s">
        <v>122</v>
      </c>
      <c r="H22" s="10" t="s">
        <v>337</v>
      </c>
      <c r="I22" s="83" t="s">
        <v>337</v>
      </c>
      <c r="J22" s="25"/>
      <c r="K22" s="116">
        <f>K11-K21</f>
        <v>76500</v>
      </c>
      <c r="M22" s="313"/>
      <c r="N22" s="313"/>
      <c r="O22" s="402"/>
      <c r="P22" s="402"/>
      <c r="Q22" s="402"/>
      <c r="R22" s="218"/>
      <c r="S22" s="313"/>
      <c r="T22" s="26"/>
      <c r="U22" s="26"/>
      <c r="V22" s="26"/>
      <c r="Z22" s="26"/>
    </row>
    <row r="23" spans="2:26" s="10" customFormat="1" ht="9.9499999999999993" customHeight="1" thickTop="1" x14ac:dyDescent="0.25">
      <c r="M23" s="313"/>
      <c r="N23" s="313"/>
      <c r="O23" s="402"/>
      <c r="P23" s="402"/>
      <c r="Q23" s="402"/>
      <c r="R23" s="218"/>
      <c r="S23" s="313"/>
      <c r="T23" s="26"/>
      <c r="U23" s="26"/>
      <c r="V23" s="26"/>
      <c r="Z23" s="26"/>
    </row>
    <row r="24" spans="2:26" s="10" customFormat="1" ht="15.95" customHeight="1" x14ac:dyDescent="0.25">
      <c r="B24" s="360" t="s">
        <v>1648</v>
      </c>
      <c r="C24" s="360"/>
      <c r="D24" s="360"/>
      <c r="E24" s="360"/>
      <c r="F24" s="360"/>
      <c r="G24" s="360"/>
      <c r="H24" s="360"/>
      <c r="I24" s="360"/>
      <c r="J24" s="360"/>
      <c r="K24" s="360"/>
      <c r="L24" s="26"/>
      <c r="M24" s="313"/>
      <c r="N24" s="313"/>
      <c r="O24" s="402"/>
      <c r="P24" s="402"/>
      <c r="Q24" s="402"/>
      <c r="R24" s="218"/>
      <c r="S24" s="313"/>
      <c r="T24" s="26"/>
      <c r="U24" s="26"/>
      <c r="V24" s="26"/>
      <c r="X24" s="26"/>
      <c r="Y24" s="104"/>
      <c r="Z24" s="26"/>
    </row>
    <row r="25" spans="2:26" s="10" customFormat="1" ht="15.95" customHeight="1" x14ac:dyDescent="0.25">
      <c r="B25" s="363" t="s">
        <v>1065</v>
      </c>
      <c r="C25" s="363"/>
      <c r="D25" s="363"/>
      <c r="E25" s="363"/>
      <c r="F25" s="363"/>
      <c r="G25" s="363"/>
      <c r="H25" s="363"/>
      <c r="I25" s="363"/>
      <c r="J25" s="363"/>
      <c r="K25" s="363"/>
      <c r="M25" s="313"/>
      <c r="N25" s="313"/>
      <c r="O25" s="402"/>
      <c r="P25" s="402"/>
      <c r="Q25" s="402"/>
      <c r="R25" s="218"/>
      <c r="S25" s="313"/>
      <c r="T25" s="26"/>
      <c r="U25" s="26"/>
      <c r="V25" s="26"/>
      <c r="Z25" s="26"/>
    </row>
    <row r="26" spans="2:26" s="10" customFormat="1" ht="15.95" customHeight="1" x14ac:dyDescent="0.25">
      <c r="B26" s="372" t="s">
        <v>1118</v>
      </c>
      <c r="C26" s="372"/>
      <c r="D26" s="372"/>
      <c r="E26" s="372"/>
      <c r="F26" s="372"/>
      <c r="G26" s="372"/>
      <c r="H26" s="372"/>
      <c r="I26" s="372"/>
      <c r="J26" s="372"/>
      <c r="K26" s="372"/>
      <c r="M26" s="313"/>
      <c r="N26" s="313"/>
      <c r="O26" s="402"/>
      <c r="P26" s="402"/>
      <c r="Q26" s="402"/>
      <c r="R26" s="218"/>
      <c r="S26" s="313"/>
      <c r="T26" s="26"/>
      <c r="U26" s="26"/>
      <c r="V26" s="26"/>
      <c r="Z26" s="26"/>
    </row>
    <row r="27" spans="2:26" s="10" customFormat="1" ht="5.0999999999999996" customHeight="1" x14ac:dyDescent="0.25">
      <c r="M27" s="313"/>
      <c r="N27" s="313"/>
      <c r="O27" s="402"/>
      <c r="P27" s="402"/>
      <c r="Q27" s="402"/>
      <c r="R27" s="218"/>
      <c r="S27" s="313"/>
      <c r="X27" s="209"/>
      <c r="Z27" s="26"/>
    </row>
    <row r="28" spans="2:26" s="10" customFormat="1" ht="15.95" customHeight="1" x14ac:dyDescent="0.25">
      <c r="B28" s="10" t="s">
        <v>635</v>
      </c>
      <c r="J28" s="10" t="s">
        <v>337</v>
      </c>
      <c r="K28" s="269">
        <f>Q28</f>
        <v>128600</v>
      </c>
      <c r="M28" s="313"/>
      <c r="N28" s="313"/>
      <c r="O28" s="402"/>
      <c r="P28" s="405" t="s">
        <v>1066</v>
      </c>
      <c r="Q28" s="409">
        <v>128600</v>
      </c>
      <c r="R28" s="218"/>
      <c r="S28" s="313"/>
      <c r="T28" s="26"/>
      <c r="U28" s="26"/>
      <c r="V28" s="26"/>
      <c r="Z28" s="26"/>
    </row>
    <row r="29" spans="2:26" s="10" customFormat="1" ht="15.95" customHeight="1" x14ac:dyDescent="0.25">
      <c r="B29" s="10" t="s">
        <v>1126</v>
      </c>
      <c r="J29" s="10" t="s">
        <v>337</v>
      </c>
      <c r="K29" s="78">
        <f>K22</f>
        <v>76500</v>
      </c>
      <c r="M29" s="313"/>
      <c r="N29" s="313"/>
      <c r="O29" s="402"/>
      <c r="P29" s="402"/>
      <c r="Q29" s="402"/>
      <c r="R29" s="218"/>
      <c r="S29" s="313"/>
      <c r="T29" s="26"/>
      <c r="U29" s="26"/>
      <c r="V29" s="26"/>
      <c r="Z29" s="26"/>
    </row>
    <row r="30" spans="2:26" s="10" customFormat="1" ht="15.95" customHeight="1" x14ac:dyDescent="0.25">
      <c r="B30" s="10" t="s">
        <v>126</v>
      </c>
      <c r="J30" s="10" t="s">
        <v>337</v>
      </c>
      <c r="K30" s="117">
        <f>-Q30</f>
        <v>-25300</v>
      </c>
      <c r="M30" s="313"/>
      <c r="N30" s="313"/>
      <c r="O30" s="402"/>
      <c r="P30" s="405" t="s">
        <v>688</v>
      </c>
      <c r="Q30" s="409">
        <v>25300</v>
      </c>
      <c r="R30" s="218"/>
      <c r="S30" s="313"/>
      <c r="T30" s="26"/>
      <c r="U30" s="26"/>
      <c r="V30" s="26"/>
      <c r="Z30" s="26"/>
    </row>
    <row r="31" spans="2:26" s="10" customFormat="1" ht="15.95" customHeight="1" thickBot="1" x14ac:dyDescent="0.3">
      <c r="B31" s="10" t="s">
        <v>636</v>
      </c>
      <c r="J31" s="10" t="s">
        <v>337</v>
      </c>
      <c r="K31" s="270">
        <f>SUM(K28:K30)</f>
        <v>179800</v>
      </c>
      <c r="M31" s="313"/>
      <c r="N31" s="313"/>
      <c r="O31" s="402"/>
      <c r="P31" s="402"/>
      <c r="Q31" s="402"/>
      <c r="R31" s="218"/>
      <c r="S31" s="313"/>
      <c r="T31" s="26"/>
      <c r="U31" s="26"/>
      <c r="V31" s="26"/>
      <c r="Z31" s="26"/>
    </row>
    <row r="32" spans="2:26" s="10" customFormat="1" ht="5.0999999999999996" customHeight="1" thickTop="1" x14ac:dyDescent="0.25">
      <c r="M32" s="313"/>
      <c r="N32" s="313"/>
      <c r="O32" s="402"/>
      <c r="P32" s="402"/>
      <c r="Q32" s="402"/>
      <c r="R32" s="218"/>
      <c r="S32" s="313"/>
      <c r="T32" s="26"/>
      <c r="U32" s="26"/>
      <c r="V32" s="26"/>
      <c r="Z32" s="26"/>
    </row>
    <row r="33" spans="2:26" s="10" customFormat="1" ht="15.95" customHeight="1" x14ac:dyDescent="0.25">
      <c r="M33" s="313"/>
      <c r="N33" s="313"/>
      <c r="O33" s="402"/>
      <c r="P33" s="402"/>
      <c r="Q33" s="402"/>
      <c r="R33" s="218"/>
      <c r="S33" s="313"/>
      <c r="T33" s="26"/>
      <c r="U33" s="26"/>
      <c r="V33" s="26"/>
      <c r="Z33" s="26"/>
    </row>
    <row r="34" spans="2:26" s="10" customFormat="1" ht="15.95" customHeight="1" x14ac:dyDescent="0.25">
      <c r="B34" s="26"/>
      <c r="C34" s="26"/>
      <c r="D34" s="26"/>
      <c r="E34" s="26"/>
      <c r="F34" s="26"/>
      <c r="G34" s="26"/>
      <c r="H34" s="26"/>
      <c r="I34" s="26"/>
      <c r="J34" s="26"/>
      <c r="K34" s="115"/>
      <c r="L34" s="26"/>
      <c r="M34" s="313"/>
      <c r="N34" s="313"/>
      <c r="O34" s="402"/>
      <c r="P34" s="402"/>
      <c r="Q34" s="402"/>
      <c r="R34" s="218"/>
      <c r="S34" s="218"/>
      <c r="T34" s="26"/>
      <c r="U34" s="26"/>
      <c r="V34" s="26"/>
      <c r="W34" s="26"/>
      <c r="X34" s="26"/>
      <c r="Y34" s="26"/>
      <c r="Z34" s="26"/>
    </row>
    <row r="35" spans="2:26" s="10" customFormat="1" ht="15.95" customHeight="1" x14ac:dyDescent="0.25">
      <c r="M35" s="313"/>
      <c r="N35" s="313"/>
      <c r="O35" s="402"/>
      <c r="P35" s="402"/>
      <c r="Q35" s="402"/>
      <c r="R35" s="313"/>
      <c r="S35" s="313"/>
    </row>
    <row r="36" spans="2:26" s="10" customFormat="1" ht="15.95" customHeight="1" x14ac:dyDescent="0.25">
      <c r="M36" s="313"/>
      <c r="N36" s="313"/>
      <c r="O36" s="402"/>
      <c r="P36" s="402"/>
      <c r="Q36" s="402"/>
      <c r="R36" s="313"/>
      <c r="S36" s="313"/>
    </row>
    <row r="37" spans="2:26" s="10" customFormat="1" ht="15.95" customHeight="1" x14ac:dyDescent="0.25">
      <c r="M37" s="313"/>
      <c r="N37" s="313"/>
      <c r="O37" s="402"/>
      <c r="P37" s="402"/>
      <c r="Q37" s="402"/>
      <c r="R37" s="313"/>
      <c r="S37" s="313"/>
    </row>
    <row r="38" spans="2:26" s="10" customFormat="1" ht="15.95" customHeight="1" x14ac:dyDescent="0.25">
      <c r="M38" s="313"/>
      <c r="N38" s="313"/>
      <c r="O38" s="402"/>
      <c r="P38" s="402"/>
      <c r="Q38" s="402"/>
      <c r="R38" s="313"/>
      <c r="S38" s="313"/>
    </row>
    <row r="39" spans="2:26" s="10" customFormat="1" ht="15.95" customHeight="1" x14ac:dyDescent="0.25">
      <c r="M39" s="313"/>
      <c r="N39" s="313"/>
      <c r="O39" s="402"/>
      <c r="P39" s="402"/>
      <c r="Q39" s="402"/>
      <c r="R39" s="313"/>
      <c r="S39" s="313"/>
    </row>
    <row r="40" spans="2:26" s="10" customFormat="1" ht="15.95" customHeight="1" x14ac:dyDescent="0.25">
      <c r="M40" s="313"/>
      <c r="N40" s="313"/>
      <c r="O40" s="402"/>
      <c r="P40" s="402"/>
      <c r="Q40" s="402"/>
      <c r="R40" s="313"/>
      <c r="S40" s="313"/>
    </row>
    <row r="41" spans="2:26" s="10" customFormat="1" ht="15.95" customHeight="1" x14ac:dyDescent="0.25">
      <c r="M41" s="313"/>
      <c r="N41" s="313"/>
      <c r="O41" s="402"/>
      <c r="P41" s="402"/>
      <c r="Q41" s="402"/>
      <c r="R41" s="313"/>
      <c r="S41" s="313"/>
    </row>
    <row r="42" spans="2:26" s="10" customFormat="1" ht="15.95" customHeight="1" x14ac:dyDescent="0.25">
      <c r="M42" s="313"/>
      <c r="N42" s="313"/>
      <c r="O42" s="402"/>
      <c r="P42" s="402"/>
      <c r="Q42" s="402"/>
      <c r="R42" s="313"/>
      <c r="S42" s="313"/>
    </row>
    <row r="43" spans="2:26" s="10" customFormat="1" ht="15.95" customHeight="1" x14ac:dyDescent="0.25">
      <c r="M43" s="313"/>
      <c r="N43" s="313"/>
      <c r="O43" s="402"/>
      <c r="P43" s="402"/>
      <c r="Q43" s="402"/>
      <c r="R43" s="313"/>
      <c r="S43" s="313"/>
    </row>
    <row r="44" spans="2:26" s="10" customFormat="1" ht="15.95" customHeight="1" x14ac:dyDescent="0.25">
      <c r="M44" s="313"/>
      <c r="N44" s="313"/>
      <c r="O44" s="402"/>
      <c r="P44" s="402"/>
      <c r="Q44" s="402"/>
      <c r="R44" s="313"/>
      <c r="S44" s="313"/>
    </row>
    <row r="45" spans="2:26" s="10" customFormat="1" ht="17.100000000000001" customHeight="1" x14ac:dyDescent="0.25">
      <c r="M45" s="313"/>
      <c r="N45" s="313"/>
      <c r="O45" s="402"/>
      <c r="P45" s="402"/>
      <c r="Q45" s="402"/>
      <c r="R45" s="313"/>
      <c r="S45" s="313"/>
    </row>
    <row r="46" spans="2:26" s="10" customFormat="1" ht="17.100000000000001" customHeight="1" x14ac:dyDescent="0.25">
      <c r="M46" s="313"/>
      <c r="N46" s="313"/>
      <c r="O46" s="402"/>
      <c r="P46" s="402"/>
      <c r="Q46" s="402"/>
      <c r="R46" s="313"/>
      <c r="S46" s="313"/>
    </row>
    <row r="47" spans="2:26" s="10" customFormat="1" ht="17.100000000000001" customHeight="1" x14ac:dyDescent="0.25">
      <c r="M47" s="313"/>
      <c r="N47" s="313"/>
      <c r="O47" s="402"/>
      <c r="P47" s="402"/>
      <c r="Q47" s="402"/>
      <c r="R47" s="313"/>
      <c r="S47" s="313"/>
    </row>
    <row r="48" spans="2:26" s="10" customFormat="1" ht="17.100000000000001" customHeight="1" x14ac:dyDescent="0.25">
      <c r="M48" s="313"/>
      <c r="N48" s="313"/>
      <c r="O48" s="402"/>
      <c r="P48" s="402"/>
      <c r="Q48" s="402"/>
      <c r="R48" s="313"/>
      <c r="S48" s="313"/>
    </row>
    <row r="49" spans="13:19" s="10" customFormat="1" ht="14.45" customHeight="1" x14ac:dyDescent="0.25">
      <c r="M49" s="313"/>
      <c r="N49" s="313"/>
      <c r="O49" s="402"/>
      <c r="P49" s="402"/>
      <c r="Q49" s="402"/>
      <c r="R49" s="313"/>
      <c r="S49" s="313"/>
    </row>
  </sheetData>
  <customSheetViews>
    <customSheetView guid="{B2DDA8C4-3089-41F7-BA6E-A0E09596A2CA}" scale="80" showPageBreaks="1" fitToPage="1" printArea="1">
      <selection activeCell="B2" sqref="B2"/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B3" sqref="B3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 topLeftCell="A4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2" sqref="B2"/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6">
    <mergeCell ref="B25:K25"/>
    <mergeCell ref="B26:K26"/>
    <mergeCell ref="B24:K24"/>
    <mergeCell ref="B4:K4"/>
    <mergeCell ref="B5:K5"/>
    <mergeCell ref="B6:K6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3"/>
  <sheetViews>
    <sheetView zoomScale="70" zoomScaleNormal="70" workbookViewId="0">
      <selection activeCell="D1" sqref="D1"/>
    </sheetView>
  </sheetViews>
  <sheetFormatPr defaultRowHeight="12.75" x14ac:dyDescent="0.2"/>
  <cols>
    <col min="1" max="1" width="1.7109375" style="2" customWidth="1"/>
    <col min="2" max="2" width="1.85546875" style="2" customWidth="1"/>
    <col min="3" max="3" width="2" style="2" customWidth="1"/>
    <col min="4" max="4" width="41.28515625" style="2" customWidth="1"/>
    <col min="5" max="5" width="1.140625" style="2" customWidth="1"/>
    <col min="6" max="6" width="13.85546875" style="118" customWidth="1"/>
    <col min="7" max="7" width="1.42578125" style="2" customWidth="1"/>
    <col min="8" max="8" width="14" style="2" customWidth="1"/>
    <col min="9" max="9" width="0.85546875" style="2" customWidth="1"/>
    <col min="10" max="10" width="14" style="2" customWidth="1"/>
    <col min="11" max="11" width="2.7109375" style="2" customWidth="1"/>
    <col min="12" max="12" width="9.140625" style="2"/>
    <col min="13" max="13" width="2.7109375" style="2" customWidth="1"/>
    <col min="14" max="14" width="9.140625" style="312"/>
    <col min="15" max="15" width="2.7109375" style="312" customWidth="1"/>
    <col min="16" max="16" width="0" style="407" hidden="1" customWidth="1"/>
    <col min="17" max="17" width="2.7109375" style="407" hidden="1" customWidth="1"/>
    <col min="18" max="18" width="10.42578125" style="407" hidden="1" customWidth="1"/>
    <col min="19" max="19" width="2.7109375" style="312" customWidth="1"/>
    <col min="20" max="20" width="9.140625" style="312"/>
    <col min="21" max="23" width="9.140625" style="2"/>
    <col min="24" max="24" width="12" style="97" customWidth="1"/>
    <col min="25" max="25" width="9.85546875" style="97" bestFit="1" customWidth="1"/>
    <col min="26" max="26" width="10.42578125" style="97" bestFit="1" customWidth="1"/>
    <col min="27" max="27" width="9.85546875" style="97" bestFit="1" customWidth="1"/>
    <col min="28" max="16384" width="9.140625" style="2"/>
  </cols>
  <sheetData>
    <row r="1" spans="2:28" ht="28.5" customHeight="1" x14ac:dyDescent="0.2"/>
    <row r="2" spans="2:28" ht="15.95" customHeight="1" x14ac:dyDescent="0.25">
      <c r="B2" s="10" t="s">
        <v>637</v>
      </c>
    </row>
    <row r="3" spans="2:28" ht="15.95" customHeight="1" x14ac:dyDescent="0.25">
      <c r="B3" s="39"/>
      <c r="C3" s="40"/>
      <c r="D3" s="40"/>
      <c r="E3" s="40"/>
      <c r="F3" s="159"/>
      <c r="G3" s="40"/>
      <c r="H3" s="40"/>
      <c r="I3" s="40"/>
      <c r="J3" s="40"/>
    </row>
    <row r="4" spans="2:28" ht="15.95" customHeight="1" x14ac:dyDescent="0.25">
      <c r="B4" s="363" t="s">
        <v>1648</v>
      </c>
      <c r="C4" s="363"/>
      <c r="D4" s="363"/>
      <c r="E4" s="363"/>
      <c r="F4" s="363"/>
      <c r="G4" s="363"/>
      <c r="H4" s="363"/>
      <c r="I4" s="363"/>
      <c r="J4" s="363"/>
    </row>
    <row r="5" spans="2:28" ht="15.95" customHeight="1" x14ac:dyDescent="0.25">
      <c r="B5" s="363" t="s">
        <v>763</v>
      </c>
      <c r="C5" s="363"/>
      <c r="D5" s="363"/>
      <c r="E5" s="363"/>
      <c r="F5" s="363"/>
      <c r="G5" s="363"/>
      <c r="H5" s="363"/>
      <c r="I5" s="363"/>
      <c r="J5" s="363"/>
    </row>
    <row r="6" spans="2:28" ht="15.95" customHeight="1" x14ac:dyDescent="0.25">
      <c r="B6" s="401" t="s">
        <v>1119</v>
      </c>
      <c r="C6" s="401"/>
      <c r="D6" s="401"/>
      <c r="E6" s="401"/>
      <c r="F6" s="401"/>
      <c r="G6" s="401"/>
      <c r="H6" s="401"/>
      <c r="I6" s="401"/>
      <c r="J6" s="401"/>
    </row>
    <row r="7" spans="2:28" ht="5.0999999999999996" customHeight="1" x14ac:dyDescent="0.25">
      <c r="B7" s="10"/>
      <c r="C7" s="10"/>
      <c r="D7" s="10"/>
      <c r="E7" s="10"/>
      <c r="F7" s="10"/>
      <c r="G7" s="10"/>
      <c r="H7" s="10"/>
      <c r="I7" s="10"/>
      <c r="J7" s="10"/>
    </row>
    <row r="8" spans="2:28" ht="15.95" customHeight="1" x14ac:dyDescent="0.25">
      <c r="B8" s="357" t="s">
        <v>1490</v>
      </c>
      <c r="C8" s="357"/>
      <c r="D8" s="357"/>
      <c r="E8" s="357"/>
      <c r="F8" s="357"/>
      <c r="G8" s="357"/>
      <c r="H8" s="357"/>
      <c r="I8" s="357"/>
      <c r="J8" s="357"/>
    </row>
    <row r="9" spans="2:28" ht="15.95" customHeight="1" x14ac:dyDescent="0.25">
      <c r="B9" s="10" t="s">
        <v>872</v>
      </c>
      <c r="C9" s="10"/>
      <c r="D9" s="10"/>
      <c r="E9" s="10"/>
      <c r="F9" s="10"/>
      <c r="G9" s="26"/>
      <c r="H9" s="10"/>
      <c r="I9" s="10"/>
      <c r="J9" s="10"/>
      <c r="R9" s="418" t="s">
        <v>1682</v>
      </c>
      <c r="S9" s="316"/>
      <c r="T9" s="333"/>
      <c r="U9" s="26"/>
      <c r="V9" s="26"/>
      <c r="W9" s="26"/>
      <c r="X9" s="20"/>
      <c r="Y9" s="20"/>
      <c r="Z9" s="20"/>
      <c r="AA9" s="20"/>
      <c r="AB9" s="48"/>
    </row>
    <row r="10" spans="2:28" ht="15.95" customHeight="1" x14ac:dyDescent="0.25">
      <c r="B10" s="69" t="s">
        <v>127</v>
      </c>
      <c r="D10" s="10"/>
      <c r="E10" s="10" t="s">
        <v>337</v>
      </c>
      <c r="F10" s="25" t="s">
        <v>337</v>
      </c>
      <c r="G10" s="83" t="s">
        <v>337</v>
      </c>
      <c r="H10" s="197">
        <f>'1-44'!R10</f>
        <v>22300</v>
      </c>
      <c r="I10" s="25"/>
      <c r="J10" s="25"/>
      <c r="Q10" s="405" t="s">
        <v>1493</v>
      </c>
      <c r="R10" s="409">
        <v>22300</v>
      </c>
      <c r="S10" s="316"/>
      <c r="T10" s="218"/>
      <c r="U10" s="26"/>
      <c r="V10" s="26"/>
    </row>
    <row r="11" spans="2:28" ht="15.95" customHeight="1" x14ac:dyDescent="0.25">
      <c r="B11" s="69" t="s">
        <v>128</v>
      </c>
      <c r="D11" s="10"/>
      <c r="E11" s="10" t="s">
        <v>337</v>
      </c>
      <c r="F11" s="25" t="s">
        <v>337</v>
      </c>
      <c r="G11" s="83" t="s">
        <v>337</v>
      </c>
      <c r="H11" s="198">
        <f>'1-44'!R11</f>
        <v>268700</v>
      </c>
      <c r="I11" s="25"/>
      <c r="J11" s="25"/>
      <c r="Q11" s="405" t="s">
        <v>873</v>
      </c>
      <c r="R11" s="409">
        <v>268700</v>
      </c>
      <c r="S11" s="316"/>
      <c r="U11" s="26"/>
      <c r="V11" s="26"/>
    </row>
    <row r="12" spans="2:28" ht="15.95" customHeight="1" x14ac:dyDescent="0.25">
      <c r="B12" s="69" t="s">
        <v>129</v>
      </c>
      <c r="D12" s="10"/>
      <c r="E12" s="10" t="s">
        <v>337</v>
      </c>
      <c r="F12" s="25" t="s">
        <v>337</v>
      </c>
      <c r="G12" s="83" t="s">
        <v>337</v>
      </c>
      <c r="H12" s="204">
        <f>'1-44'!R12</f>
        <v>9800</v>
      </c>
      <c r="I12" s="25"/>
      <c r="J12" s="25"/>
      <c r="Q12" s="405" t="s">
        <v>993</v>
      </c>
      <c r="R12" s="409">
        <v>9800</v>
      </c>
      <c r="S12" s="316"/>
      <c r="U12" s="26"/>
      <c r="V12" s="26"/>
    </row>
    <row r="13" spans="2:28" ht="15.95" customHeight="1" x14ac:dyDescent="0.25">
      <c r="B13" s="158" t="s">
        <v>130</v>
      </c>
      <c r="D13" s="10"/>
      <c r="E13" s="10" t="s">
        <v>337</v>
      </c>
      <c r="F13" s="25" t="s">
        <v>337</v>
      </c>
      <c r="G13" s="83" t="s">
        <v>337</v>
      </c>
      <c r="H13" s="25"/>
      <c r="I13" s="25"/>
      <c r="J13" s="199">
        <f>SUM(H10:H12)</f>
        <v>300800</v>
      </c>
      <c r="S13" s="316"/>
      <c r="U13" s="26"/>
      <c r="V13" s="26"/>
    </row>
    <row r="14" spans="2:28" ht="15.95" customHeight="1" x14ac:dyDescent="0.25">
      <c r="B14" s="10" t="s">
        <v>403</v>
      </c>
      <c r="C14" s="10"/>
      <c r="D14" s="10"/>
      <c r="E14" s="10"/>
      <c r="F14" s="25"/>
      <c r="G14" s="83"/>
      <c r="H14" s="25"/>
      <c r="I14" s="25"/>
      <c r="J14" s="25"/>
      <c r="S14" s="316"/>
      <c r="U14" s="26"/>
      <c r="V14" s="26"/>
    </row>
    <row r="15" spans="2:28" ht="15.95" customHeight="1" x14ac:dyDescent="0.25">
      <c r="B15" s="69" t="s">
        <v>131</v>
      </c>
      <c r="D15" s="10"/>
      <c r="E15" s="10" t="s">
        <v>337</v>
      </c>
      <c r="F15" s="25" t="s">
        <v>337</v>
      </c>
      <c r="G15" s="83" t="s">
        <v>337</v>
      </c>
      <c r="H15" s="199">
        <f>'1-44'!R15</f>
        <v>875000</v>
      </c>
      <c r="I15" s="25"/>
      <c r="J15" s="25"/>
      <c r="Q15" s="405" t="s">
        <v>447</v>
      </c>
      <c r="R15" s="409">
        <v>875000</v>
      </c>
      <c r="S15" s="316"/>
      <c r="U15" s="26"/>
      <c r="V15" s="26"/>
    </row>
    <row r="16" spans="2:28" ht="15.95" customHeight="1" x14ac:dyDescent="0.25">
      <c r="B16" s="69" t="s">
        <v>132</v>
      </c>
      <c r="D16" s="10"/>
      <c r="E16" s="10" t="s">
        <v>337</v>
      </c>
      <c r="F16" s="199">
        <f>'1-44'!R16</f>
        <v>197300</v>
      </c>
      <c r="G16" s="17">
        <f>'1-44'!R16</f>
        <v>197300</v>
      </c>
      <c r="H16" s="25"/>
      <c r="I16" s="25"/>
      <c r="J16" s="25"/>
      <c r="Q16" s="405" t="s">
        <v>876</v>
      </c>
      <c r="R16" s="409">
        <v>197300</v>
      </c>
      <c r="S16" s="316"/>
      <c r="U16" s="26"/>
      <c r="V16" s="26"/>
    </row>
    <row r="17" spans="2:28" ht="15.95" customHeight="1" x14ac:dyDescent="0.25">
      <c r="B17" s="69" t="s">
        <v>133</v>
      </c>
      <c r="D17" s="10"/>
      <c r="E17" s="10" t="s">
        <v>337</v>
      </c>
      <c r="F17" s="202">
        <f>R17</f>
        <v>-64500</v>
      </c>
      <c r="G17" s="78">
        <f>'1-44'!R17</f>
        <v>-64500</v>
      </c>
      <c r="H17" s="198">
        <f>F16+F17</f>
        <v>132800</v>
      </c>
      <c r="I17" s="25"/>
      <c r="J17" s="23"/>
      <c r="Q17" s="405" t="s">
        <v>730</v>
      </c>
      <c r="R17" s="409">
        <v>-64500</v>
      </c>
      <c r="S17" s="316"/>
      <c r="U17" s="26"/>
      <c r="V17" s="26"/>
    </row>
    <row r="18" spans="2:28" s="10" customFormat="1" ht="15.95" customHeight="1" x14ac:dyDescent="0.25">
      <c r="B18" s="69" t="s">
        <v>134</v>
      </c>
      <c r="E18" s="10" t="s">
        <v>337</v>
      </c>
      <c r="F18" s="201">
        <f>'1-44'!R18</f>
        <v>2490000</v>
      </c>
      <c r="G18" s="65"/>
      <c r="H18" s="25"/>
      <c r="I18" s="25"/>
      <c r="J18" s="25"/>
      <c r="N18" s="313"/>
      <c r="O18" s="313"/>
      <c r="P18" s="402"/>
      <c r="Q18" s="405" t="s">
        <v>1657</v>
      </c>
      <c r="R18" s="409">
        <v>2490000</v>
      </c>
      <c r="S18" s="218"/>
      <c r="T18" s="313"/>
      <c r="U18" s="26"/>
      <c r="V18" s="26"/>
    </row>
    <row r="19" spans="2:28" s="10" customFormat="1" ht="15.95" customHeight="1" x14ac:dyDescent="0.25">
      <c r="B19" s="69" t="s">
        <v>135</v>
      </c>
      <c r="E19" s="10" t="s">
        <v>337</v>
      </c>
      <c r="F19" s="203">
        <f>-'1-44'!R19</f>
        <v>-950400</v>
      </c>
      <c r="G19" s="114"/>
      <c r="H19" s="53">
        <f>F18+F19</f>
        <v>1539600</v>
      </c>
      <c r="I19" s="25"/>
      <c r="J19" s="25"/>
      <c r="N19" s="313"/>
      <c r="O19" s="313"/>
      <c r="P19" s="402"/>
      <c r="Q19" s="405" t="s">
        <v>1622</v>
      </c>
      <c r="R19" s="409">
        <v>950400</v>
      </c>
      <c r="S19" s="218"/>
      <c r="T19" s="313"/>
      <c r="U19" s="26"/>
      <c r="V19" s="26"/>
    </row>
    <row r="20" spans="2:28" s="10" customFormat="1" ht="15.95" customHeight="1" x14ac:dyDescent="0.25">
      <c r="B20" s="158" t="s">
        <v>1523</v>
      </c>
      <c r="D20" s="271"/>
      <c r="E20" s="271" t="s">
        <v>337</v>
      </c>
      <c r="F20" s="17" t="s">
        <v>337</v>
      </c>
      <c r="G20" s="25"/>
      <c r="H20" s="25"/>
      <c r="I20" s="25"/>
      <c r="J20" s="46">
        <f>SUM(H15:H19)</f>
        <v>2547400</v>
      </c>
      <c r="N20" s="313"/>
      <c r="O20" s="313"/>
      <c r="P20" s="402"/>
      <c r="Q20" s="402"/>
      <c r="R20" s="402"/>
      <c r="S20" s="218"/>
      <c r="T20" s="313"/>
      <c r="U20" s="26"/>
      <c r="V20" s="26"/>
    </row>
    <row r="21" spans="2:28" s="10" customFormat="1" ht="15.95" customHeight="1" thickBot="1" x14ac:dyDescent="0.3">
      <c r="B21" s="10" t="s">
        <v>136</v>
      </c>
      <c r="E21" s="10" t="s">
        <v>337</v>
      </c>
      <c r="F21" s="17" t="s">
        <v>337</v>
      </c>
      <c r="G21" s="25"/>
      <c r="H21" s="25"/>
      <c r="I21" s="25"/>
      <c r="J21" s="205">
        <f>SUM(J13:J20)</f>
        <v>2848200</v>
      </c>
      <c r="N21" s="313"/>
      <c r="O21" s="313"/>
      <c r="P21" s="402"/>
      <c r="Q21" s="402"/>
      <c r="R21" s="402"/>
      <c r="S21" s="218"/>
      <c r="T21" s="313"/>
      <c r="U21" s="26"/>
      <c r="V21" s="26"/>
    </row>
    <row r="22" spans="2:28" s="10" customFormat="1" ht="5.0999999999999996" customHeight="1" thickTop="1" x14ac:dyDescent="0.25">
      <c r="F22" s="17"/>
      <c r="G22" s="25"/>
      <c r="H22" s="25"/>
      <c r="I22" s="25"/>
      <c r="J22" s="201"/>
      <c r="N22" s="313"/>
      <c r="O22" s="313"/>
      <c r="P22" s="402"/>
      <c r="Q22" s="402"/>
      <c r="R22" s="402"/>
      <c r="S22" s="218"/>
      <c r="T22" s="313"/>
      <c r="U22" s="26"/>
      <c r="V22" s="26"/>
    </row>
    <row r="23" spans="2:28" s="10" customFormat="1" ht="15.95" customHeight="1" x14ac:dyDescent="0.25">
      <c r="B23" s="357" t="s">
        <v>771</v>
      </c>
      <c r="C23" s="357"/>
      <c r="D23" s="357"/>
      <c r="E23" s="357"/>
      <c r="F23" s="357"/>
      <c r="G23" s="357"/>
      <c r="H23" s="357"/>
      <c r="I23" s="357"/>
      <c r="J23" s="357"/>
      <c r="N23" s="313"/>
      <c r="O23" s="313"/>
      <c r="P23" s="402"/>
      <c r="Q23" s="402"/>
      <c r="R23" s="402"/>
      <c r="S23" s="218"/>
      <c r="T23" s="313"/>
      <c r="U23" s="26"/>
      <c r="V23" s="26"/>
    </row>
    <row r="24" spans="2:28" s="10" customFormat="1" ht="15.95" customHeight="1" x14ac:dyDescent="0.25">
      <c r="B24" s="10" t="s">
        <v>881</v>
      </c>
      <c r="F24" s="21"/>
      <c r="N24" s="313"/>
      <c r="O24" s="313"/>
      <c r="P24" s="402"/>
      <c r="Q24" s="402"/>
      <c r="R24" s="402"/>
      <c r="S24" s="218"/>
      <c r="T24" s="218"/>
      <c r="U24" s="26"/>
      <c r="V24" s="26"/>
      <c r="W24" s="26"/>
      <c r="X24" s="20"/>
      <c r="Y24" s="20"/>
      <c r="Z24" s="20"/>
      <c r="AA24" s="20"/>
      <c r="AB24" s="26"/>
    </row>
    <row r="25" spans="2:28" s="10" customFormat="1" ht="15.95" customHeight="1" x14ac:dyDescent="0.25">
      <c r="B25" s="69" t="s">
        <v>1527</v>
      </c>
      <c r="C25" s="69"/>
      <c r="E25" s="10" t="s">
        <v>337</v>
      </c>
      <c r="F25" s="41" t="s">
        <v>337</v>
      </c>
      <c r="G25" s="25"/>
      <c r="H25" s="197">
        <f>'1-44'!R25</f>
        <v>26400</v>
      </c>
      <c r="I25" s="17"/>
      <c r="J25" s="17"/>
      <c r="N25" s="313"/>
      <c r="O25" s="313"/>
      <c r="P25" s="402"/>
      <c r="Q25" s="405" t="s">
        <v>882</v>
      </c>
      <c r="R25" s="409">
        <v>26400</v>
      </c>
      <c r="S25" s="218"/>
      <c r="T25" s="209"/>
      <c r="V25" s="26"/>
      <c r="Y25" s="20"/>
      <c r="Z25" s="20"/>
      <c r="AA25" s="20"/>
      <c r="AB25" s="26"/>
    </row>
    <row r="26" spans="2:28" s="10" customFormat="1" ht="15.95" customHeight="1" x14ac:dyDescent="0.25">
      <c r="B26" s="69" t="s">
        <v>1528</v>
      </c>
      <c r="C26" s="69"/>
      <c r="E26" s="10" t="s">
        <v>337</v>
      </c>
      <c r="F26" s="41" t="s">
        <v>337</v>
      </c>
      <c r="G26" s="25"/>
      <c r="H26" s="200">
        <f>'1-44'!R26</f>
        <v>21600</v>
      </c>
      <c r="I26" s="17"/>
      <c r="J26" s="17"/>
      <c r="N26" s="313"/>
      <c r="O26" s="313"/>
      <c r="P26" s="402"/>
      <c r="Q26" s="405" t="s">
        <v>884</v>
      </c>
      <c r="R26" s="409">
        <v>21600</v>
      </c>
      <c r="S26" s="313"/>
      <c r="T26" s="313"/>
      <c r="X26" s="13"/>
      <c r="Y26" s="13"/>
      <c r="Z26" s="13"/>
      <c r="AA26" s="13"/>
    </row>
    <row r="27" spans="2:28" s="10" customFormat="1" ht="15.95" customHeight="1" x14ac:dyDescent="0.25">
      <c r="B27" s="69" t="s">
        <v>1529</v>
      </c>
      <c r="C27" s="69"/>
      <c r="E27" s="10" t="s">
        <v>337</v>
      </c>
      <c r="F27" s="41" t="s">
        <v>337</v>
      </c>
      <c r="G27" s="25"/>
      <c r="H27" s="200">
        <f>'1-44'!R27</f>
        <v>18000</v>
      </c>
      <c r="I27" s="17"/>
      <c r="J27" s="17"/>
      <c r="N27" s="313"/>
      <c r="O27" s="313"/>
      <c r="P27" s="402"/>
      <c r="Q27" s="405" t="s">
        <v>444</v>
      </c>
      <c r="R27" s="409">
        <v>18000</v>
      </c>
      <c r="S27" s="313"/>
      <c r="T27" s="313"/>
      <c r="Z27" s="13"/>
      <c r="AA27" s="13"/>
    </row>
    <row r="28" spans="2:28" s="10" customFormat="1" ht="15.95" customHeight="1" x14ac:dyDescent="0.25">
      <c r="B28" s="69" t="s">
        <v>1530</v>
      </c>
      <c r="C28" s="69"/>
      <c r="E28" s="10" t="s">
        <v>337</v>
      </c>
      <c r="F28" s="41" t="s">
        <v>337</v>
      </c>
      <c r="G28" s="25"/>
      <c r="H28" s="204">
        <f>'1-44'!R28</f>
        <v>2400</v>
      </c>
      <c r="I28" s="17"/>
      <c r="J28" s="17"/>
      <c r="N28" s="313"/>
      <c r="O28" s="313"/>
      <c r="P28" s="402"/>
      <c r="Q28" s="405" t="s">
        <v>123</v>
      </c>
      <c r="R28" s="409">
        <v>2400</v>
      </c>
      <c r="S28" s="313"/>
      <c r="T28" s="313"/>
      <c r="W28" s="209"/>
      <c r="X28" s="210"/>
      <c r="Z28" s="13"/>
      <c r="AA28" s="13"/>
    </row>
    <row r="29" spans="2:28" s="10" customFormat="1" ht="15.95" customHeight="1" x14ac:dyDescent="0.25">
      <c r="B29" s="158" t="s">
        <v>1524</v>
      </c>
      <c r="C29" s="69"/>
      <c r="E29" s="10" t="s">
        <v>337</v>
      </c>
      <c r="F29" s="41" t="s">
        <v>337</v>
      </c>
      <c r="G29" s="25"/>
      <c r="H29" s="17"/>
      <c r="I29" s="17"/>
      <c r="J29" s="197">
        <f>SUM(H25:H28)</f>
        <v>68400</v>
      </c>
      <c r="N29" s="313"/>
      <c r="O29" s="313"/>
      <c r="P29" s="402"/>
      <c r="Q29" s="402"/>
      <c r="R29" s="402"/>
      <c r="S29" s="313"/>
      <c r="T29" s="313"/>
      <c r="W29" s="209"/>
      <c r="Z29" s="13"/>
      <c r="AA29" s="13"/>
    </row>
    <row r="30" spans="2:28" s="10" customFormat="1" ht="15.95" customHeight="1" x14ac:dyDescent="0.25">
      <c r="B30" s="10" t="s">
        <v>886</v>
      </c>
      <c r="F30" s="41"/>
      <c r="G30" s="25"/>
      <c r="H30" s="17"/>
      <c r="I30" s="17"/>
      <c r="J30" s="17"/>
      <c r="N30" s="313"/>
      <c r="O30" s="313"/>
      <c r="P30" s="402"/>
      <c r="Q30" s="402"/>
      <c r="R30" s="402"/>
      <c r="S30" s="313"/>
      <c r="T30" s="313"/>
      <c r="Z30" s="13"/>
      <c r="AA30" s="13"/>
    </row>
    <row r="31" spans="2:28" s="10" customFormat="1" ht="15.95" customHeight="1" x14ac:dyDescent="0.25">
      <c r="B31" s="69" t="s">
        <v>1531</v>
      </c>
      <c r="E31" s="10" t="s">
        <v>337</v>
      </c>
      <c r="F31" s="41" t="s">
        <v>337</v>
      </c>
      <c r="G31" s="25"/>
      <c r="H31" s="17"/>
      <c r="I31" s="17"/>
      <c r="J31" s="53">
        <f>'1-44'!R31</f>
        <v>2000000</v>
      </c>
      <c r="N31" s="313"/>
      <c r="O31" s="313"/>
      <c r="P31" s="402"/>
      <c r="Q31" s="405" t="s">
        <v>1650</v>
      </c>
      <c r="R31" s="409">
        <v>2000000</v>
      </c>
      <c r="S31" s="313"/>
      <c r="T31" s="313"/>
      <c r="Z31" s="13"/>
      <c r="AA31" s="13"/>
    </row>
    <row r="32" spans="2:28" s="10" customFormat="1" ht="15.95" customHeight="1" x14ac:dyDescent="0.25">
      <c r="B32" s="69" t="s">
        <v>1525</v>
      </c>
      <c r="E32" s="10" t="s">
        <v>337</v>
      </c>
      <c r="F32" s="41" t="s">
        <v>337</v>
      </c>
      <c r="G32" s="25"/>
      <c r="H32" s="17"/>
      <c r="I32" s="17"/>
      <c r="J32" s="201">
        <f>J29+J31</f>
        <v>2068400</v>
      </c>
      <c r="N32" s="313"/>
      <c r="O32" s="313"/>
      <c r="P32" s="402"/>
      <c r="Q32" s="402"/>
      <c r="R32" s="402"/>
      <c r="S32" s="313"/>
      <c r="T32" s="313"/>
      <c r="Z32" s="13"/>
      <c r="AA32" s="13"/>
    </row>
    <row r="33" spans="2:27" s="10" customFormat="1" ht="15.95" customHeight="1" x14ac:dyDescent="0.25">
      <c r="B33" s="10" t="s">
        <v>1590</v>
      </c>
      <c r="F33" s="41"/>
      <c r="G33" s="25"/>
      <c r="H33" s="17"/>
      <c r="I33" s="17"/>
      <c r="J33" s="17"/>
      <c r="N33" s="313"/>
      <c r="O33" s="313"/>
      <c r="P33" s="402"/>
      <c r="Q33" s="402"/>
      <c r="R33" s="402"/>
      <c r="S33" s="313"/>
      <c r="T33" s="313"/>
      <c r="Z33" s="13"/>
      <c r="AA33" s="13"/>
    </row>
    <row r="34" spans="2:27" s="10" customFormat="1" ht="15.95" customHeight="1" x14ac:dyDescent="0.25">
      <c r="B34" s="69" t="s">
        <v>1532</v>
      </c>
      <c r="E34" s="10" t="s">
        <v>337</v>
      </c>
      <c r="F34" s="41" t="s">
        <v>337</v>
      </c>
      <c r="G34" s="25"/>
      <c r="H34" s="199">
        <f>'1-44'!R34</f>
        <v>600000</v>
      </c>
      <c r="I34" s="17"/>
      <c r="J34" s="17"/>
      <c r="N34" s="313"/>
      <c r="O34" s="313"/>
      <c r="P34" s="402"/>
      <c r="Q34" s="405" t="s">
        <v>1652</v>
      </c>
      <c r="R34" s="409">
        <v>600000</v>
      </c>
      <c r="S34" s="313"/>
      <c r="T34" s="313"/>
      <c r="Z34" s="13"/>
      <c r="AA34" s="13"/>
    </row>
    <row r="35" spans="2:27" s="10" customFormat="1" ht="15.95" customHeight="1" x14ac:dyDescent="0.25">
      <c r="B35" s="69" t="s">
        <v>1533</v>
      </c>
      <c r="E35" s="10" t="s">
        <v>337</v>
      </c>
      <c r="F35" s="41" t="s">
        <v>337</v>
      </c>
      <c r="G35" s="25"/>
      <c r="H35" s="203">
        <f>'1-43'!K31</f>
        <v>179800</v>
      </c>
      <c r="I35" s="17"/>
      <c r="J35" s="17"/>
      <c r="N35" s="313"/>
      <c r="O35" s="313"/>
      <c r="P35" s="402"/>
      <c r="Q35" s="402"/>
      <c r="R35" s="402"/>
      <c r="S35" s="313"/>
      <c r="T35" s="313"/>
      <c r="Z35" s="13"/>
      <c r="AA35" s="13"/>
    </row>
    <row r="36" spans="2:27" s="10" customFormat="1" ht="15.95" customHeight="1" x14ac:dyDescent="0.25">
      <c r="B36" s="158" t="s">
        <v>1526</v>
      </c>
      <c r="E36" s="10" t="s">
        <v>337</v>
      </c>
      <c r="F36" s="41" t="s">
        <v>337</v>
      </c>
      <c r="G36" s="25"/>
      <c r="H36" s="17"/>
      <c r="I36" s="17"/>
      <c r="J36" s="198">
        <f>SUM(H34:H35)</f>
        <v>779800</v>
      </c>
      <c r="N36" s="313"/>
      <c r="O36" s="313"/>
      <c r="P36" s="402"/>
      <c r="Q36" s="402"/>
      <c r="R36" s="402"/>
      <c r="S36" s="313"/>
      <c r="T36" s="313"/>
      <c r="Z36" s="13"/>
      <c r="AA36" s="13"/>
    </row>
    <row r="37" spans="2:27" s="10" customFormat="1" ht="15.95" customHeight="1" thickBot="1" x14ac:dyDescent="0.3">
      <c r="B37" s="10" t="s">
        <v>137</v>
      </c>
      <c r="E37" s="10" t="s">
        <v>337</v>
      </c>
      <c r="F37" s="41" t="s">
        <v>337</v>
      </c>
      <c r="G37" s="25"/>
      <c r="H37" s="17"/>
      <c r="I37" s="17"/>
      <c r="J37" s="205">
        <f>SUM(J32:J36)</f>
        <v>2848200</v>
      </c>
      <c r="N37" s="313"/>
      <c r="O37" s="313"/>
      <c r="P37" s="402"/>
      <c r="Q37" s="402"/>
      <c r="R37" s="402"/>
      <c r="S37" s="313"/>
      <c r="T37" s="313"/>
      <c r="Z37" s="13"/>
      <c r="AA37" s="13"/>
    </row>
    <row r="38" spans="2:27" s="10" customFormat="1" ht="9.9499999999999993" customHeight="1" thickTop="1" x14ac:dyDescent="0.25">
      <c r="F38" s="21"/>
      <c r="N38" s="313"/>
      <c r="O38" s="313"/>
      <c r="P38" s="402"/>
      <c r="Q38" s="402"/>
      <c r="R38" s="402"/>
      <c r="S38" s="313"/>
      <c r="T38" s="313"/>
      <c r="Z38" s="13"/>
      <c r="AA38" s="13"/>
    </row>
    <row r="39" spans="2:27" s="10" customFormat="1" ht="15.95" customHeight="1" x14ac:dyDescent="0.25">
      <c r="B39" s="11" t="s">
        <v>759</v>
      </c>
      <c r="C39" s="222" t="s">
        <v>179</v>
      </c>
      <c r="D39" s="15"/>
      <c r="E39" s="15"/>
      <c r="F39" s="21"/>
      <c r="N39" s="313"/>
      <c r="O39" s="313"/>
      <c r="P39" s="402"/>
      <c r="Q39" s="402"/>
      <c r="R39" s="402"/>
      <c r="S39" s="313"/>
      <c r="T39" s="313"/>
    </row>
    <row r="40" spans="2:27" s="10" customFormat="1" ht="15.95" customHeight="1" x14ac:dyDescent="0.25">
      <c r="C40" s="222" t="s">
        <v>1666</v>
      </c>
      <c r="D40" s="15"/>
      <c r="E40" s="15"/>
      <c r="N40" s="313"/>
      <c r="O40" s="313"/>
      <c r="P40" s="402"/>
      <c r="Q40" s="402"/>
      <c r="R40" s="402"/>
      <c r="S40" s="313"/>
      <c r="T40" s="313"/>
    </row>
    <row r="41" spans="2:27" s="10" customFormat="1" ht="15.95" customHeight="1" x14ac:dyDescent="0.25">
      <c r="C41" s="222" t="s">
        <v>299</v>
      </c>
      <c r="D41" s="15"/>
      <c r="E41" s="15"/>
      <c r="N41" s="313"/>
      <c r="O41" s="313"/>
      <c r="P41" s="402"/>
      <c r="Q41" s="402"/>
      <c r="R41" s="402"/>
      <c r="S41" s="313"/>
      <c r="T41" s="313"/>
    </row>
    <row r="42" spans="2:27" s="10" customFormat="1" ht="15.95" customHeight="1" x14ac:dyDescent="0.25">
      <c r="C42" s="222" t="s">
        <v>180</v>
      </c>
      <c r="D42" s="15"/>
      <c r="E42" s="15"/>
      <c r="N42" s="313"/>
      <c r="O42" s="313"/>
      <c r="P42" s="402"/>
      <c r="Q42" s="402"/>
      <c r="R42" s="402"/>
      <c r="S42" s="313"/>
      <c r="T42" s="313"/>
    </row>
    <row r="43" spans="2:27" s="10" customFormat="1" ht="15.95" customHeight="1" x14ac:dyDescent="0.25">
      <c r="C43" s="15" t="s">
        <v>301</v>
      </c>
      <c r="D43" s="15"/>
      <c r="E43" s="15"/>
      <c r="H43" s="16"/>
      <c r="N43" s="313"/>
      <c r="O43" s="313"/>
      <c r="P43" s="402"/>
      <c r="Q43" s="402"/>
      <c r="R43" s="402"/>
      <c r="S43" s="313"/>
      <c r="T43" s="313"/>
    </row>
    <row r="44" spans="2:27" s="10" customFormat="1" ht="15.95" customHeight="1" x14ac:dyDescent="0.25">
      <c r="C44" s="15" t="s">
        <v>302</v>
      </c>
      <c r="D44" s="15"/>
      <c r="E44" s="15"/>
      <c r="N44" s="313"/>
      <c r="O44" s="313"/>
      <c r="P44" s="402"/>
      <c r="Q44" s="402"/>
      <c r="R44" s="402"/>
      <c r="S44" s="313"/>
      <c r="T44" s="313"/>
    </row>
    <row r="45" spans="2:27" s="10" customFormat="1" ht="15.95" customHeight="1" x14ac:dyDescent="0.25">
      <c r="C45" s="15" t="s">
        <v>303</v>
      </c>
      <c r="D45" s="15"/>
      <c r="E45" s="15"/>
      <c r="N45" s="313"/>
      <c r="O45" s="313"/>
      <c r="P45" s="402"/>
      <c r="Q45" s="402"/>
      <c r="R45" s="402"/>
      <c r="S45" s="313"/>
      <c r="T45" s="313"/>
    </row>
    <row r="46" spans="2:27" s="10" customFormat="1" ht="5.0999999999999996" customHeight="1" x14ac:dyDescent="0.25">
      <c r="N46" s="313"/>
      <c r="O46" s="313"/>
      <c r="P46" s="402"/>
      <c r="Q46" s="402"/>
      <c r="R46" s="402"/>
      <c r="S46" s="313"/>
      <c r="T46" s="313"/>
    </row>
    <row r="47" spans="2:27" s="10" customFormat="1" ht="15.95" customHeight="1" x14ac:dyDescent="0.25">
      <c r="N47" s="313"/>
      <c r="O47" s="313"/>
      <c r="P47" s="402"/>
      <c r="Q47" s="402"/>
      <c r="R47" s="402"/>
      <c r="S47" s="313"/>
      <c r="T47" s="313"/>
    </row>
    <row r="48" spans="2:27" s="10" customFormat="1" ht="15.95" customHeight="1" x14ac:dyDescent="0.25">
      <c r="N48" s="313"/>
      <c r="O48" s="313"/>
      <c r="P48" s="402"/>
      <c r="Q48" s="402"/>
      <c r="R48" s="402"/>
      <c r="S48" s="313"/>
      <c r="T48" s="313"/>
    </row>
    <row r="49" spans="1:27" s="10" customFormat="1" ht="15.95" customHeight="1" x14ac:dyDescent="0.25">
      <c r="N49" s="313"/>
      <c r="O49" s="313"/>
      <c r="P49" s="402"/>
      <c r="Q49" s="402"/>
      <c r="R49" s="402"/>
      <c r="S49" s="313"/>
      <c r="T49" s="313"/>
    </row>
    <row r="50" spans="1:27" s="10" customFormat="1" ht="15.95" customHeight="1" x14ac:dyDescent="0.25">
      <c r="N50" s="313"/>
      <c r="O50" s="313"/>
      <c r="P50" s="402"/>
      <c r="Q50" s="402"/>
      <c r="R50" s="402"/>
      <c r="S50" s="313"/>
      <c r="T50" s="313"/>
    </row>
    <row r="51" spans="1:27" s="10" customFormat="1" ht="15.95" customHeight="1" x14ac:dyDescent="0.25">
      <c r="N51" s="313"/>
      <c r="O51" s="313"/>
      <c r="P51" s="402"/>
      <c r="Q51" s="402"/>
      <c r="R51" s="402"/>
      <c r="S51" s="313"/>
      <c r="T51" s="313"/>
    </row>
    <row r="52" spans="1:27" s="10" customFormat="1" ht="15.95" customHeight="1" x14ac:dyDescent="0.25">
      <c r="N52" s="313"/>
      <c r="O52" s="313"/>
      <c r="P52" s="402"/>
      <c r="Q52" s="402"/>
      <c r="R52" s="402"/>
      <c r="S52" s="313"/>
      <c r="T52" s="313"/>
    </row>
    <row r="53" spans="1:27" s="10" customFormat="1" ht="15.95" customHeight="1" x14ac:dyDescent="0.25">
      <c r="N53" s="313"/>
      <c r="O53" s="313"/>
      <c r="P53" s="402"/>
      <c r="Q53" s="402"/>
      <c r="R53" s="402"/>
      <c r="S53" s="313"/>
      <c r="T53" s="313"/>
      <c r="X53" s="13"/>
      <c r="Y53" s="13"/>
      <c r="Z53" s="13"/>
      <c r="AA53" s="13"/>
    </row>
    <row r="54" spans="1:27" s="10" customFormat="1" ht="15.95" customHeight="1" x14ac:dyDescent="0.25">
      <c r="N54" s="313"/>
      <c r="O54" s="313"/>
      <c r="P54" s="402"/>
      <c r="Q54" s="402"/>
      <c r="R54" s="402"/>
      <c r="S54" s="313"/>
      <c r="T54" s="313"/>
      <c r="X54" s="13"/>
      <c r="Y54" s="13"/>
      <c r="Z54" s="13"/>
      <c r="AA54" s="13"/>
    </row>
    <row r="55" spans="1:27" s="10" customFormat="1" ht="15.95" customHeight="1" x14ac:dyDescent="0.25">
      <c r="N55" s="313"/>
      <c r="O55" s="313"/>
      <c r="P55" s="402"/>
      <c r="Q55" s="402"/>
      <c r="R55" s="402"/>
      <c r="S55" s="313"/>
      <c r="T55" s="313"/>
      <c r="X55" s="13"/>
      <c r="Y55" s="13"/>
      <c r="Z55" s="13"/>
      <c r="AA55" s="13"/>
    </row>
    <row r="56" spans="1:27" s="10" customFormat="1" ht="15.95" customHeight="1" x14ac:dyDescent="0.25">
      <c r="B56" s="17"/>
      <c r="N56" s="313"/>
      <c r="O56" s="313"/>
      <c r="P56" s="402"/>
      <c r="Q56" s="402"/>
      <c r="R56" s="402"/>
      <c r="S56" s="313"/>
      <c r="T56" s="313"/>
      <c r="X56" s="13"/>
      <c r="Y56" s="13"/>
      <c r="Z56" s="13"/>
      <c r="AA56" s="13"/>
    </row>
    <row r="62" spans="1:27" ht="15.75" x14ac:dyDescent="0.25">
      <c r="A62" s="10"/>
      <c r="B62" s="10"/>
      <c r="C62" s="10"/>
      <c r="D62" s="10"/>
      <c r="E62" s="10"/>
      <c r="F62" s="10"/>
    </row>
    <row r="63" spans="1:27" ht="15.75" x14ac:dyDescent="0.25">
      <c r="A63" s="10"/>
      <c r="B63" s="10"/>
      <c r="C63" s="10"/>
      <c r="D63" s="10"/>
      <c r="E63" s="10"/>
      <c r="F63" s="10"/>
    </row>
  </sheetData>
  <customSheetViews>
    <customSheetView guid="{B2DDA8C4-3089-41F7-BA6E-A0E09596A2CA}" scale="80" showPageBreaks="1" fitToPage="1" printArea="1">
      <selection activeCell="B2" sqref="B2"/>
      <pageMargins left="0.75" right="1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B2" sqref="B2"/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 topLeftCell="A21">
      <selection activeCell="B2" sqref="B2"/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2" sqref="B2"/>
      <pageMargins left="0.75" right="1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2" sqref="B2"/>
      <pageMargins left="0.75" right="1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5">
    <mergeCell ref="B23:J23"/>
    <mergeCell ref="B8:J8"/>
    <mergeCell ref="B4:J4"/>
    <mergeCell ref="B5:J5"/>
    <mergeCell ref="B6:J6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2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29" customWidth="1"/>
    <col min="2" max="2" width="4.7109375" style="29" customWidth="1"/>
    <col min="3" max="3" width="10.28515625" style="29" customWidth="1"/>
    <col min="4" max="4" width="3.42578125" style="29" customWidth="1"/>
    <col min="5" max="5" width="8.5703125" style="29" customWidth="1"/>
    <col min="6" max="6" width="5.140625" style="29" customWidth="1"/>
    <col min="7" max="7" width="11.42578125" style="29" customWidth="1"/>
    <col min="8" max="8" width="36.140625" style="29" customWidth="1"/>
    <col min="9" max="9" width="1.28515625" style="29" customWidth="1"/>
    <col min="10" max="10" width="1.5703125" style="29" customWidth="1"/>
    <col min="11" max="11" width="1.85546875" style="29" customWidth="1"/>
    <col min="12" max="12" width="9.28515625" style="29" customWidth="1"/>
    <col min="13" max="13" width="2.7109375" style="313" customWidth="1"/>
    <col min="14" max="14" width="8.7109375" style="450" hidden="1" customWidth="1"/>
    <col min="15" max="15" width="2.7109375" style="450" hidden="1" customWidth="1"/>
    <col min="16" max="16" width="8.7109375" style="450" hidden="1" customWidth="1"/>
    <col min="17" max="17" width="2.7109375" style="450" hidden="1" customWidth="1"/>
    <col min="18" max="18" width="8.7109375" style="450" hidden="1" customWidth="1"/>
    <col min="19" max="19" width="2.7109375" style="450" hidden="1" customWidth="1"/>
    <col min="20" max="20" width="8.7109375" style="450" hidden="1" customWidth="1"/>
    <col min="21" max="21" width="2.7109375" style="450" hidden="1" customWidth="1"/>
    <col min="22" max="22" width="12.85546875" style="450" hidden="1" customWidth="1"/>
    <col min="23" max="23" width="10.7109375" style="450" hidden="1" customWidth="1"/>
    <col min="24" max="24" width="0.85546875" style="450" hidden="1" customWidth="1"/>
    <col min="25" max="25" width="10.7109375" style="450" hidden="1" customWidth="1"/>
    <col min="26" max="26" width="0.85546875" style="450" hidden="1" customWidth="1"/>
    <col min="27" max="27" width="10.7109375" style="450" hidden="1" customWidth="1"/>
    <col min="28" max="28" width="0.85546875" style="450" hidden="1" customWidth="1"/>
    <col min="29" max="29" width="10.7109375" style="450" hidden="1" customWidth="1"/>
    <col min="30" max="30" width="9.140625" style="313"/>
    <col min="31" max="16384" width="9.140625" style="29"/>
  </cols>
  <sheetData>
    <row r="1" spans="2:30" ht="28.5" customHeight="1" x14ac:dyDescent="0.2"/>
    <row r="2" spans="2:30" ht="15.95" customHeight="1" x14ac:dyDescent="0.25">
      <c r="B2" s="10" t="s">
        <v>1202</v>
      </c>
      <c r="C2" s="10"/>
      <c r="W2" s="418" t="s">
        <v>1682</v>
      </c>
    </row>
    <row r="3" spans="2:30" ht="15.95" customHeight="1" x14ac:dyDescent="0.25">
      <c r="B3" s="10" t="s">
        <v>138</v>
      </c>
      <c r="C3" s="10"/>
      <c r="D3" s="10"/>
      <c r="O3" s="412" t="s">
        <v>794</v>
      </c>
      <c r="V3" s="402"/>
      <c r="W3" s="409" t="s">
        <v>1417</v>
      </c>
      <c r="X3" s="409"/>
      <c r="Y3" s="409" t="s">
        <v>1418</v>
      </c>
      <c r="Z3" s="409"/>
      <c r="AA3" s="409" t="s">
        <v>1419</v>
      </c>
      <c r="AB3" s="409"/>
      <c r="AC3" s="409" t="s">
        <v>1420</v>
      </c>
      <c r="AD3" s="316"/>
    </row>
    <row r="4" spans="2:30" ht="5.0999999999999996" customHeight="1" x14ac:dyDescent="0.25">
      <c r="B4" s="10"/>
      <c r="C4" s="10"/>
      <c r="D4" s="10"/>
      <c r="O4" s="412"/>
      <c r="V4" s="402"/>
      <c r="W4" s="409"/>
      <c r="X4" s="409"/>
      <c r="Y4" s="409"/>
      <c r="Z4" s="409"/>
      <c r="AA4" s="409"/>
      <c r="AB4" s="409"/>
      <c r="AC4" s="409"/>
      <c r="AD4" s="316"/>
    </row>
    <row r="5" spans="2:30" ht="15.95" customHeight="1" x14ac:dyDescent="0.25">
      <c r="B5" s="10" t="s">
        <v>516</v>
      </c>
      <c r="C5" s="28">
        <f>T5</f>
        <v>5000</v>
      </c>
      <c r="D5" s="10" t="str">
        <f>CONCATENATE("(",TEXT(N5,"$#,##0"),O5,TEXT(P5,"$#,##0"),Q5,TEXT(R5,"$#,##0"),")",)</f>
        <v>($21,700 – $18,800 + $2,100)</v>
      </c>
      <c r="N5" s="410">
        <f>W16</f>
        <v>21700</v>
      </c>
      <c r="O5" s="410" t="s">
        <v>1589</v>
      </c>
      <c r="P5" s="410">
        <f>W7</f>
        <v>18800</v>
      </c>
      <c r="Q5" s="410" t="s">
        <v>1588</v>
      </c>
      <c r="R5" s="410">
        <f>W12</f>
        <v>2100</v>
      </c>
      <c r="S5" s="410" t="s">
        <v>1587</v>
      </c>
      <c r="T5" s="410">
        <f>SUM(N5-P5+R5)</f>
        <v>5000</v>
      </c>
      <c r="U5" s="402"/>
      <c r="V5" s="465" t="s">
        <v>1127</v>
      </c>
      <c r="W5" s="402"/>
      <c r="X5" s="402"/>
      <c r="Y5" s="402"/>
      <c r="Z5" s="402"/>
      <c r="AA5" s="402"/>
      <c r="AB5" s="402"/>
      <c r="AC5" s="402"/>
      <c r="AD5" s="316"/>
    </row>
    <row r="6" spans="2:30" ht="15.95" customHeight="1" x14ac:dyDescent="0.25">
      <c r="B6" s="10" t="s">
        <v>517</v>
      </c>
      <c r="C6" s="28">
        <f>R6</f>
        <v>66700</v>
      </c>
      <c r="D6" s="10" t="str">
        <f>CONCATENATE("(",TEXT(N6,"$#,##0"),O6,TEXT(P6,"$#,##0"),")",)</f>
        <v>($45,000 + $21,700)</v>
      </c>
      <c r="N6" s="410">
        <f>W14</f>
        <v>45000</v>
      </c>
      <c r="O6" s="410" t="s">
        <v>1588</v>
      </c>
      <c r="P6" s="410">
        <f>W16</f>
        <v>21700</v>
      </c>
      <c r="Q6" s="410" t="s">
        <v>1587</v>
      </c>
      <c r="R6" s="410">
        <f>SUM(N6+P6)</f>
        <v>66700</v>
      </c>
      <c r="V6" s="405" t="s">
        <v>934</v>
      </c>
      <c r="W6" s="409">
        <v>45000</v>
      </c>
      <c r="X6" s="402"/>
      <c r="Y6" s="409">
        <v>39000</v>
      </c>
      <c r="Z6" s="402"/>
      <c r="AA6" s="409">
        <v>80000</v>
      </c>
      <c r="AB6" s="402"/>
      <c r="AC6" s="409">
        <v>25000</v>
      </c>
      <c r="AD6" s="316"/>
    </row>
    <row r="7" spans="2:30" ht="15.95" customHeight="1" x14ac:dyDescent="0.25">
      <c r="B7" s="10" t="s">
        <v>519</v>
      </c>
      <c r="C7" s="28">
        <f>R7</f>
        <v>81100</v>
      </c>
      <c r="D7" s="10" t="str">
        <f>CONCATENATE("(",TEXT(N7,"$#,##0"),O7,TEXT(P7,"$#,##0"),")",)</f>
        <v>($14,400 + $66,700)</v>
      </c>
      <c r="N7" s="410">
        <f>W22</f>
        <v>14400</v>
      </c>
      <c r="O7" s="410" t="s">
        <v>1588</v>
      </c>
      <c r="P7" s="410">
        <f>R6</f>
        <v>66700</v>
      </c>
      <c r="Q7" s="410" t="s">
        <v>1587</v>
      </c>
      <c r="R7" s="410">
        <f>SUM(N7+P7)</f>
        <v>81100</v>
      </c>
      <c r="V7" s="405" t="s">
        <v>1026</v>
      </c>
      <c r="W7" s="409">
        <v>18800</v>
      </c>
      <c r="X7" s="402"/>
      <c r="Y7" s="409">
        <v>15300</v>
      </c>
      <c r="Z7" s="402"/>
      <c r="AA7" s="409">
        <v>6900</v>
      </c>
      <c r="AB7" s="402"/>
      <c r="AC7" s="409" t="s">
        <v>533</v>
      </c>
      <c r="AD7" s="316"/>
    </row>
    <row r="8" spans="2:30" ht="9.9499999999999993" customHeight="1" x14ac:dyDescent="0.25">
      <c r="B8" s="10"/>
      <c r="C8" s="10"/>
      <c r="D8" s="10"/>
      <c r="X8" s="402"/>
      <c r="Z8" s="402"/>
      <c r="AB8" s="402"/>
      <c r="AD8" s="316"/>
    </row>
    <row r="9" spans="2:30" ht="15.95" customHeight="1" x14ac:dyDescent="0.25">
      <c r="B9" s="10" t="s">
        <v>139</v>
      </c>
      <c r="C9" s="10"/>
      <c r="D9" s="10"/>
      <c r="O9" s="412" t="s">
        <v>794</v>
      </c>
      <c r="V9" s="405" t="s">
        <v>1421</v>
      </c>
      <c r="W9" s="409">
        <v>63800</v>
      </c>
      <c r="X9" s="402"/>
      <c r="Y9" s="409" t="s">
        <v>953</v>
      </c>
      <c r="Z9" s="402"/>
      <c r="AA9" s="409">
        <v>86900</v>
      </c>
      <c r="AB9" s="402"/>
      <c r="AC9" s="409">
        <v>38900</v>
      </c>
      <c r="AD9" s="316"/>
    </row>
    <row r="10" spans="2:30" ht="5.0999999999999996" customHeight="1" x14ac:dyDescent="0.25">
      <c r="B10" s="10"/>
      <c r="C10" s="10"/>
      <c r="D10" s="10"/>
      <c r="O10" s="412"/>
      <c r="V10" s="405"/>
      <c r="W10" s="410"/>
      <c r="X10" s="402"/>
      <c r="Y10" s="410"/>
      <c r="Z10" s="402"/>
      <c r="AA10" s="410"/>
      <c r="AB10" s="402"/>
      <c r="AC10" s="410"/>
      <c r="AD10" s="316"/>
    </row>
    <row r="11" spans="2:30" ht="15.95" customHeight="1" x14ac:dyDescent="0.25">
      <c r="B11" s="10" t="s">
        <v>521</v>
      </c>
      <c r="C11" s="28">
        <f>R11</f>
        <v>54300</v>
      </c>
      <c r="D11" s="10" t="str">
        <f>CONCATENATE("(",TEXT(N11,"$#,##0"),O11,TEXT(P11,"$#,##0"),")",)</f>
        <v>($39,000 + $15,300)</v>
      </c>
      <c r="N11" s="410">
        <f>Y14</f>
        <v>39000</v>
      </c>
      <c r="O11" s="410" t="s">
        <v>1588</v>
      </c>
      <c r="P11" s="410">
        <f>Y7</f>
        <v>15300</v>
      </c>
      <c r="Q11" s="410" t="s">
        <v>1587</v>
      </c>
      <c r="R11" s="410">
        <f>SUM(N11+P11)</f>
        <v>54300</v>
      </c>
      <c r="V11" s="405" t="s">
        <v>1129</v>
      </c>
      <c r="W11" s="409" t="s">
        <v>1507</v>
      </c>
      <c r="X11" s="402"/>
      <c r="Y11" s="409">
        <v>7100</v>
      </c>
      <c r="Z11" s="402"/>
      <c r="AA11" s="409">
        <v>9700</v>
      </c>
      <c r="AB11" s="402"/>
      <c r="AC11" s="409">
        <v>4500</v>
      </c>
      <c r="AD11" s="316"/>
    </row>
    <row r="12" spans="2:30" ht="15.95" customHeight="1" x14ac:dyDescent="0.25">
      <c r="B12" s="10" t="s">
        <v>525</v>
      </c>
      <c r="C12" s="28">
        <f>T12</f>
        <v>21600</v>
      </c>
      <c r="D12" s="10" t="str">
        <f>CONCATENATE("(",TEXT(N12,"$#,##0"),O12,TEXT(P12,"$#,##0"),Q12,TEXT(R12,"$#,##0"),")",)</f>
        <v>($15,300 + $7,100 – $800)</v>
      </c>
      <c r="N12" s="410">
        <f>Y7</f>
        <v>15300</v>
      </c>
      <c r="O12" s="410" t="s">
        <v>1588</v>
      </c>
      <c r="P12" s="410">
        <f>Y11</f>
        <v>7100</v>
      </c>
      <c r="Q12" s="410" t="s">
        <v>1589</v>
      </c>
      <c r="R12" s="410">
        <f>Y12</f>
        <v>800</v>
      </c>
      <c r="S12" s="410" t="s">
        <v>1587</v>
      </c>
      <c r="T12" s="410">
        <f>SUM(N12+P12-R12)</f>
        <v>21600</v>
      </c>
      <c r="V12" s="405" t="s">
        <v>1130</v>
      </c>
      <c r="W12" s="409">
        <v>2100</v>
      </c>
      <c r="X12" s="402"/>
      <c r="Y12" s="409">
        <v>800</v>
      </c>
      <c r="Z12" s="402"/>
      <c r="AA12" s="409" t="s">
        <v>979</v>
      </c>
      <c r="AB12" s="402"/>
      <c r="AC12" s="409">
        <v>0</v>
      </c>
      <c r="AD12" s="316"/>
    </row>
    <row r="13" spans="2:30" ht="15.95" customHeight="1" x14ac:dyDescent="0.25">
      <c r="B13" s="10" t="s">
        <v>529</v>
      </c>
      <c r="C13" s="28">
        <f>R13</f>
        <v>60600</v>
      </c>
      <c r="D13" s="10" t="str">
        <f>CONCATENATE("(",TEXT(N13,"$#,##0"),O13,TEXT(P13,"$#,##0"),")",)</f>
        <v>($21,600 + $39,000)</v>
      </c>
      <c r="N13" s="410">
        <f>T12</f>
        <v>21600</v>
      </c>
      <c r="O13" s="410" t="s">
        <v>1588</v>
      </c>
      <c r="P13" s="410">
        <f>Y6</f>
        <v>39000</v>
      </c>
      <c r="Q13" s="410" t="s">
        <v>1587</v>
      </c>
      <c r="R13" s="410">
        <f>SUM(N13+P13)</f>
        <v>60600</v>
      </c>
      <c r="V13" s="465" t="s">
        <v>1128</v>
      </c>
      <c r="W13" s="402"/>
      <c r="X13" s="402"/>
      <c r="Y13" s="402"/>
      <c r="Z13" s="402"/>
      <c r="AA13" s="402"/>
      <c r="AB13" s="402"/>
      <c r="AC13" s="402"/>
      <c r="AD13" s="218"/>
    </row>
    <row r="14" spans="2:30" ht="15.95" customHeight="1" x14ac:dyDescent="0.25">
      <c r="B14" s="10" t="s">
        <v>531</v>
      </c>
      <c r="C14" s="28">
        <f>R14</f>
        <v>27600</v>
      </c>
      <c r="D14" s="10" t="str">
        <f>CONCATENATE("(",TEXT(N14,"$#,##0"),O14,TEXT(P14,"$#,##0"),")",)</f>
        <v>($88,200 – $60,600)</v>
      </c>
      <c r="N14" s="410">
        <f>Y20</f>
        <v>88200</v>
      </c>
      <c r="O14" s="410" t="s">
        <v>1589</v>
      </c>
      <c r="P14" s="410">
        <f>R13</f>
        <v>60600</v>
      </c>
      <c r="Q14" s="410" t="s">
        <v>1587</v>
      </c>
      <c r="R14" s="410">
        <f>SUM(N14-P14)</f>
        <v>27600</v>
      </c>
      <c r="V14" s="405" t="s">
        <v>934</v>
      </c>
      <c r="W14" s="409">
        <v>45000</v>
      </c>
      <c r="X14" s="402"/>
      <c r="Y14" s="409">
        <v>39000</v>
      </c>
      <c r="Z14" s="402"/>
      <c r="AA14" s="409">
        <v>80000</v>
      </c>
      <c r="AB14" s="402"/>
      <c r="AC14" s="409">
        <v>25000</v>
      </c>
      <c r="AD14" s="218"/>
    </row>
    <row r="15" spans="2:30" ht="9.9499999999999993" customHeight="1" x14ac:dyDescent="0.25">
      <c r="B15" s="10"/>
      <c r="C15" s="10"/>
      <c r="D15" s="10"/>
      <c r="X15" s="402"/>
      <c r="Z15" s="402"/>
      <c r="AB15" s="402"/>
      <c r="AD15" s="218"/>
    </row>
    <row r="16" spans="2:30" ht="15.95" customHeight="1" x14ac:dyDescent="0.25">
      <c r="B16" s="10" t="s">
        <v>140</v>
      </c>
      <c r="C16" s="10"/>
      <c r="D16" s="10"/>
      <c r="V16" s="405" t="s">
        <v>1026</v>
      </c>
      <c r="W16" s="409">
        <v>21700</v>
      </c>
      <c r="X16" s="402"/>
      <c r="Y16" s="409" t="s">
        <v>981</v>
      </c>
      <c r="Z16" s="402"/>
      <c r="AA16" s="409" t="s">
        <v>855</v>
      </c>
      <c r="AB16" s="402"/>
      <c r="AC16" s="409" t="s">
        <v>538</v>
      </c>
      <c r="AD16" s="218"/>
    </row>
    <row r="17" spans="1:30" ht="5.0999999999999996" customHeight="1" x14ac:dyDescent="0.25">
      <c r="B17" s="10"/>
      <c r="C17" s="10"/>
      <c r="D17" s="10"/>
      <c r="V17" s="405"/>
      <c r="W17" s="410"/>
      <c r="X17" s="402"/>
      <c r="Y17" s="410"/>
      <c r="Z17" s="402"/>
      <c r="AA17" s="410"/>
      <c r="AB17" s="402"/>
      <c r="AC17" s="410"/>
      <c r="AD17" s="218"/>
    </row>
    <row r="18" spans="1:30" ht="15.95" customHeight="1" x14ac:dyDescent="0.25">
      <c r="B18" s="10" t="s">
        <v>141</v>
      </c>
      <c r="C18" s="10"/>
      <c r="D18" s="10"/>
      <c r="O18" s="412" t="s">
        <v>794</v>
      </c>
      <c r="V18" s="405" t="s">
        <v>1421</v>
      </c>
      <c r="W18" s="409" t="s">
        <v>1509</v>
      </c>
      <c r="X18" s="402"/>
      <c r="Y18" s="409" t="s">
        <v>976</v>
      </c>
      <c r="Z18" s="402"/>
      <c r="AA18" s="409">
        <v>95300</v>
      </c>
      <c r="AB18" s="402"/>
      <c r="AC18" s="409" t="s">
        <v>524</v>
      </c>
      <c r="AD18" s="218"/>
    </row>
    <row r="19" spans="1:30" ht="5.0999999999999996" customHeight="1" x14ac:dyDescent="0.25">
      <c r="B19" s="10"/>
      <c r="C19" s="10"/>
      <c r="D19" s="10"/>
      <c r="O19" s="412"/>
      <c r="V19" s="405"/>
      <c r="W19" s="410"/>
      <c r="X19" s="402"/>
      <c r="Y19" s="410"/>
      <c r="Z19" s="402"/>
      <c r="AA19" s="410"/>
      <c r="AB19" s="402"/>
      <c r="AC19" s="410"/>
      <c r="AD19" s="218"/>
    </row>
    <row r="20" spans="1:30" ht="15.95" customHeight="1" x14ac:dyDescent="0.25">
      <c r="B20" s="10" t="s">
        <v>540</v>
      </c>
      <c r="C20" s="28">
        <f>R20</f>
        <v>15300</v>
      </c>
      <c r="D20" s="10" t="str">
        <f>CONCATENATE("(",TEXT(N20,"$#,##0"),O20,TEXT(P20,"$#,##0"),")",)</f>
        <v>($95,300 – $80,000)</v>
      </c>
      <c r="N20" s="410">
        <f>AA18</f>
        <v>95300</v>
      </c>
      <c r="O20" s="410" t="s">
        <v>1589</v>
      </c>
      <c r="P20" s="410">
        <f>AA14</f>
        <v>80000</v>
      </c>
      <c r="Q20" s="410" t="s">
        <v>1587</v>
      </c>
      <c r="R20" s="410">
        <f>SUM(N20-P20)</f>
        <v>15300</v>
      </c>
      <c r="V20" s="405" t="s">
        <v>1131</v>
      </c>
      <c r="W20" s="409" t="s">
        <v>1510</v>
      </c>
      <c r="X20" s="402"/>
      <c r="Y20" s="409">
        <v>88200</v>
      </c>
      <c r="Z20" s="402"/>
      <c r="AA20" s="409">
        <v>113400</v>
      </c>
      <c r="AB20" s="402"/>
      <c r="AC20" s="409" t="s">
        <v>534</v>
      </c>
    </row>
    <row r="21" spans="1:30" ht="15.95" customHeight="1" x14ac:dyDescent="0.25">
      <c r="B21" s="10" t="s">
        <v>532</v>
      </c>
      <c r="C21" s="28">
        <f>T21</f>
        <v>1300</v>
      </c>
      <c r="D21" s="10" t="str">
        <f>CONCATENATE("(",TEXT(N21,"$#,##0"),O21,TEXT(P21,"$#,##0"),Q21,TEXT(R21,"$#,##0"),")",)</f>
        <v>($6,900 + $9,700 – $15,300)</v>
      </c>
      <c r="N21" s="410">
        <f>AA7</f>
        <v>6900</v>
      </c>
      <c r="O21" s="410" t="s">
        <v>1588</v>
      </c>
      <c r="P21" s="410">
        <f>AA11</f>
        <v>9700</v>
      </c>
      <c r="Q21" s="410" t="s">
        <v>1589</v>
      </c>
      <c r="R21" s="410">
        <f>R20</f>
        <v>15300</v>
      </c>
      <c r="S21" s="410" t="s">
        <v>1587</v>
      </c>
      <c r="T21" s="410">
        <f>SUM(N21+P21-R21)</f>
        <v>1300</v>
      </c>
    </row>
    <row r="22" spans="1:30" ht="15.95" customHeight="1" x14ac:dyDescent="0.25">
      <c r="B22" s="10" t="s">
        <v>142</v>
      </c>
      <c r="C22" s="28">
        <f>R22</f>
        <v>18100</v>
      </c>
      <c r="D22" s="10" t="str">
        <f>CONCATENATE("(",TEXT(N22,"$#,##0"),O22,TEXT(P22,"$#,##0"),")",)</f>
        <v>($113,400 – $95,300)</v>
      </c>
      <c r="N22" s="410">
        <f>AA20</f>
        <v>113400</v>
      </c>
      <c r="O22" s="410" t="s">
        <v>1589</v>
      </c>
      <c r="P22" s="410">
        <f>AA18</f>
        <v>95300</v>
      </c>
      <c r="Q22" s="410" t="s">
        <v>1587</v>
      </c>
      <c r="R22" s="410">
        <f>SUM(N22-P22)</f>
        <v>18100</v>
      </c>
      <c r="V22" s="405" t="s">
        <v>1132</v>
      </c>
      <c r="W22" s="409">
        <v>14400</v>
      </c>
      <c r="X22" s="402"/>
      <c r="Y22" s="409" t="s">
        <v>975</v>
      </c>
      <c r="Z22" s="402"/>
      <c r="AA22" s="409" t="s">
        <v>528</v>
      </c>
      <c r="AB22" s="402"/>
      <c r="AC22" s="409">
        <v>15700</v>
      </c>
    </row>
    <row r="23" spans="1:30" ht="9.9499999999999993" customHeight="1" x14ac:dyDescent="0.25">
      <c r="B23" s="10"/>
      <c r="C23" s="10"/>
      <c r="X23" s="402"/>
      <c r="Z23" s="402"/>
      <c r="AB23" s="402"/>
    </row>
    <row r="24" spans="1:30" s="10" customFormat="1" ht="15.95" customHeight="1" x14ac:dyDescent="0.25">
      <c r="B24" s="10" t="s">
        <v>144</v>
      </c>
      <c r="M24" s="313"/>
      <c r="N24" s="450"/>
      <c r="O24" s="412" t="s">
        <v>794</v>
      </c>
      <c r="P24" s="450"/>
      <c r="Q24" s="450"/>
      <c r="R24" s="450"/>
      <c r="S24" s="450"/>
      <c r="T24" s="450"/>
      <c r="U24" s="450"/>
      <c r="V24" s="450"/>
      <c r="W24" s="450"/>
      <c r="X24" s="450"/>
      <c r="Y24" s="450"/>
      <c r="Z24" s="450"/>
      <c r="AA24" s="450"/>
      <c r="AB24" s="450"/>
      <c r="AC24" s="450"/>
      <c r="AD24" s="313"/>
    </row>
    <row r="25" spans="1:30" s="10" customFormat="1" ht="5.0999999999999996" customHeight="1" x14ac:dyDescent="0.25">
      <c r="M25" s="313"/>
      <c r="N25" s="450"/>
      <c r="O25" s="412"/>
      <c r="P25" s="450"/>
      <c r="Q25" s="450"/>
      <c r="R25" s="450"/>
      <c r="S25" s="450"/>
      <c r="T25" s="450"/>
      <c r="U25" s="450"/>
      <c r="V25" s="450"/>
      <c r="W25" s="450"/>
      <c r="X25" s="450"/>
      <c r="Y25" s="450"/>
      <c r="Z25" s="450"/>
      <c r="AA25" s="450"/>
      <c r="AB25" s="450"/>
      <c r="AC25" s="450"/>
      <c r="AD25" s="313"/>
    </row>
    <row r="26" spans="1:30" s="10" customFormat="1" ht="15.95" customHeight="1" x14ac:dyDescent="0.25">
      <c r="B26" s="16" t="s">
        <v>542</v>
      </c>
      <c r="C26" s="28">
        <f>R26</f>
        <v>13900</v>
      </c>
      <c r="D26" s="10" t="str">
        <f>CONCATENATE("(",TEXT(N26,"$#,##0"),O26,TEXT(P26,"$#,##0"),")",)</f>
        <v>($38,900 – $25,000)</v>
      </c>
      <c r="M26" s="313"/>
      <c r="N26" s="410">
        <f>AC9</f>
        <v>38900</v>
      </c>
      <c r="O26" s="410" t="s">
        <v>1589</v>
      </c>
      <c r="P26" s="410">
        <f>AC14</f>
        <v>25000</v>
      </c>
      <c r="Q26" s="410" t="s">
        <v>1587</v>
      </c>
      <c r="R26" s="410">
        <f>SUM(N26-P26)</f>
        <v>13900</v>
      </c>
      <c r="S26" s="450"/>
      <c r="T26" s="450"/>
      <c r="U26" s="450"/>
      <c r="V26" s="450"/>
      <c r="W26" s="450"/>
      <c r="X26" s="450"/>
      <c r="Y26" s="450"/>
      <c r="Z26" s="450"/>
      <c r="AA26" s="450"/>
      <c r="AB26" s="450"/>
      <c r="AC26" s="450"/>
      <c r="AD26" s="313"/>
    </row>
    <row r="27" spans="1:30" s="10" customFormat="1" ht="15.95" customHeight="1" x14ac:dyDescent="0.25">
      <c r="B27" s="16" t="s">
        <v>543</v>
      </c>
      <c r="C27" s="28">
        <f>T27</f>
        <v>9400</v>
      </c>
      <c r="D27" s="10" t="str">
        <f>CONCATENATE("(",TEXT(N27,"$#,##0"),O27,TEXT(P27,"$#,##0"),Q27,TEXT(R27,"$#,##0"),")",)</f>
        <v>($13,900 – $4,500 – $0)</v>
      </c>
      <c r="M27" s="313"/>
      <c r="N27" s="410">
        <f>R26</f>
        <v>13900</v>
      </c>
      <c r="O27" s="410" t="s">
        <v>1589</v>
      </c>
      <c r="P27" s="410">
        <f>AC11</f>
        <v>4500</v>
      </c>
      <c r="Q27" s="410" t="s">
        <v>1589</v>
      </c>
      <c r="R27" s="410">
        <f>AC12</f>
        <v>0</v>
      </c>
      <c r="S27" s="410" t="s">
        <v>1587</v>
      </c>
      <c r="T27" s="410">
        <f>SUM(N27-P27-R27)</f>
        <v>9400</v>
      </c>
      <c r="U27" s="450"/>
      <c r="V27" s="450"/>
      <c r="W27" s="450"/>
      <c r="X27" s="450"/>
      <c r="Y27" s="450"/>
      <c r="Z27" s="450"/>
      <c r="AA27" s="450"/>
      <c r="AB27" s="450"/>
      <c r="AC27" s="450"/>
      <c r="AD27" s="313"/>
    </row>
    <row r="28" spans="1:30" s="10" customFormat="1" ht="15.95" customHeight="1" x14ac:dyDescent="0.25">
      <c r="B28" s="16" t="s">
        <v>545</v>
      </c>
      <c r="C28" s="28">
        <f>R28</f>
        <v>34400</v>
      </c>
      <c r="D28" s="10" t="str">
        <f>CONCATENATE("(",TEXT(N28,"$#,##0"),O28,TEXT(P28,"$#,##0"),")",)</f>
        <v>($25,000 + $9,400)</v>
      </c>
      <c r="M28" s="313"/>
      <c r="N28" s="410">
        <f>AC14</f>
        <v>25000</v>
      </c>
      <c r="O28" s="410" t="s">
        <v>1588</v>
      </c>
      <c r="P28" s="410">
        <f>T27</f>
        <v>9400</v>
      </c>
      <c r="Q28" s="410" t="s">
        <v>1587</v>
      </c>
      <c r="R28" s="410">
        <f>SUM(N28+P28)</f>
        <v>34400</v>
      </c>
      <c r="S28" s="450"/>
      <c r="T28" s="450"/>
      <c r="U28" s="450"/>
      <c r="V28" s="450"/>
      <c r="W28" s="450"/>
      <c r="X28" s="450"/>
      <c r="Y28" s="450"/>
      <c r="Z28" s="450"/>
      <c r="AA28" s="450"/>
      <c r="AB28" s="450"/>
      <c r="AC28" s="450"/>
      <c r="AD28" s="313"/>
    </row>
    <row r="29" spans="1:30" s="10" customFormat="1" ht="15.95" customHeight="1" x14ac:dyDescent="0.25">
      <c r="B29" s="16" t="s">
        <v>546</v>
      </c>
      <c r="C29" s="28">
        <f>R29</f>
        <v>50100</v>
      </c>
      <c r="D29" s="10" t="str">
        <f>CONCATENATE("(",TEXT(N29,"$#,##0"),O29,TEXT(P29,"$#,##0"),")",)</f>
        <v>($15,700 + $34,400)</v>
      </c>
      <c r="L29" s="22"/>
      <c r="M29" s="313"/>
      <c r="N29" s="410">
        <f>AC22</f>
        <v>15700</v>
      </c>
      <c r="O29" s="410" t="s">
        <v>1588</v>
      </c>
      <c r="P29" s="410">
        <f>R28</f>
        <v>34400</v>
      </c>
      <c r="Q29" s="410" t="s">
        <v>1587</v>
      </c>
      <c r="R29" s="410">
        <f>SUM(N29+P29)</f>
        <v>50100</v>
      </c>
      <c r="S29" s="450"/>
      <c r="T29" s="450"/>
      <c r="U29" s="450"/>
      <c r="V29" s="450"/>
      <c r="W29" s="450"/>
      <c r="X29" s="450"/>
      <c r="Y29" s="450"/>
      <c r="Z29" s="450"/>
      <c r="AA29" s="450"/>
      <c r="AB29" s="450"/>
      <c r="AC29" s="450"/>
      <c r="AD29" s="313"/>
    </row>
    <row r="30" spans="1:30" s="10" customFormat="1" ht="5.0999999999999996" customHeight="1" x14ac:dyDescent="0.25">
      <c r="M30" s="313"/>
      <c r="N30" s="450"/>
      <c r="O30" s="450"/>
      <c r="P30" s="450"/>
      <c r="Q30" s="450"/>
      <c r="R30" s="450"/>
      <c r="S30" s="450"/>
      <c r="T30" s="450"/>
      <c r="U30" s="450"/>
      <c r="V30" s="450"/>
      <c r="W30" s="450"/>
      <c r="X30" s="450"/>
      <c r="Y30" s="450"/>
      <c r="Z30" s="450"/>
      <c r="AA30" s="450"/>
      <c r="AB30" s="450"/>
      <c r="AC30" s="450"/>
      <c r="AD30" s="313"/>
    </row>
    <row r="31" spans="1:30" s="10" customFormat="1" ht="15.95" customHeight="1" x14ac:dyDescent="0.25">
      <c r="M31" s="313"/>
      <c r="N31" s="450"/>
      <c r="O31" s="450"/>
      <c r="P31" s="450"/>
      <c r="Q31" s="450"/>
      <c r="R31" s="450"/>
      <c r="S31" s="450"/>
      <c r="T31" s="450"/>
      <c r="U31" s="450"/>
      <c r="V31" s="450"/>
      <c r="W31" s="450"/>
      <c r="X31" s="450"/>
      <c r="Y31" s="450"/>
      <c r="Z31" s="450"/>
      <c r="AA31" s="450"/>
      <c r="AB31" s="450"/>
      <c r="AC31" s="450"/>
      <c r="AD31" s="313"/>
    </row>
    <row r="32" spans="1:30" s="10" customFormat="1" ht="15.95" customHeight="1" x14ac:dyDescent="0.25">
      <c r="A32" s="11"/>
      <c r="M32" s="313"/>
      <c r="N32" s="450"/>
      <c r="O32" s="450"/>
      <c r="P32" s="450"/>
      <c r="Q32" s="450"/>
      <c r="R32" s="450"/>
      <c r="S32" s="450"/>
      <c r="T32" s="450"/>
      <c r="U32" s="450"/>
      <c r="V32" s="450"/>
      <c r="W32" s="450"/>
      <c r="X32" s="450"/>
      <c r="Y32" s="450"/>
      <c r="Z32" s="450"/>
      <c r="AA32" s="450"/>
      <c r="AB32" s="450"/>
      <c r="AC32" s="450"/>
      <c r="AD32" s="313"/>
    </row>
    <row r="33" spans="1:30" s="10" customFormat="1" ht="15.95" customHeight="1" x14ac:dyDescent="0.25">
      <c r="B33" s="11"/>
      <c r="M33" s="313"/>
      <c r="N33" s="450"/>
      <c r="O33" s="450"/>
      <c r="P33" s="450"/>
      <c r="Q33" s="450"/>
      <c r="R33" s="450"/>
      <c r="S33" s="450"/>
      <c r="T33" s="450"/>
      <c r="U33" s="450"/>
      <c r="V33" s="450"/>
      <c r="W33" s="450"/>
      <c r="X33" s="450"/>
      <c r="Y33" s="450"/>
      <c r="Z33" s="450"/>
      <c r="AA33" s="450"/>
      <c r="AB33" s="450"/>
      <c r="AC33" s="450"/>
      <c r="AD33" s="313"/>
    </row>
    <row r="34" spans="1:30" s="10" customFormat="1" ht="15.95" customHeight="1" x14ac:dyDescent="0.25">
      <c r="M34" s="313"/>
      <c r="N34" s="450"/>
      <c r="O34" s="450"/>
      <c r="P34" s="450"/>
      <c r="Q34" s="450"/>
      <c r="R34" s="450"/>
      <c r="S34" s="450"/>
      <c r="T34" s="450"/>
      <c r="U34" s="450"/>
      <c r="V34" s="450"/>
      <c r="W34" s="450"/>
      <c r="X34" s="450"/>
      <c r="Y34" s="450"/>
      <c r="Z34" s="450"/>
      <c r="AA34" s="450"/>
      <c r="AB34" s="450"/>
      <c r="AC34" s="450"/>
      <c r="AD34" s="313"/>
    </row>
    <row r="35" spans="1:30" s="10" customFormat="1" ht="15.95" customHeight="1" x14ac:dyDescent="0.25">
      <c r="M35" s="313"/>
      <c r="N35" s="450"/>
      <c r="O35" s="450"/>
      <c r="P35" s="450"/>
      <c r="Q35" s="450"/>
      <c r="R35" s="450"/>
      <c r="S35" s="450"/>
      <c r="T35" s="450"/>
      <c r="U35" s="450"/>
      <c r="V35" s="450"/>
      <c r="W35" s="450"/>
      <c r="X35" s="450"/>
      <c r="Y35" s="450"/>
      <c r="Z35" s="450"/>
      <c r="AA35" s="450"/>
      <c r="AB35" s="450"/>
      <c r="AC35" s="450"/>
      <c r="AD35" s="313"/>
    </row>
    <row r="36" spans="1:30" s="10" customFormat="1" ht="15.95" customHeight="1" x14ac:dyDescent="0.25">
      <c r="B36" s="11"/>
      <c r="C36" s="11"/>
      <c r="M36" s="313"/>
      <c r="N36" s="450"/>
      <c r="O36" s="450"/>
      <c r="P36" s="450"/>
      <c r="Q36" s="450"/>
      <c r="R36" s="450"/>
      <c r="S36" s="450"/>
      <c r="T36" s="450"/>
      <c r="U36" s="450"/>
      <c r="V36" s="450"/>
      <c r="W36" s="450"/>
      <c r="X36" s="450"/>
      <c r="Y36" s="450"/>
      <c r="Z36" s="450"/>
      <c r="AA36" s="450"/>
      <c r="AB36" s="450"/>
      <c r="AC36" s="450"/>
      <c r="AD36" s="313"/>
    </row>
    <row r="37" spans="1:30" s="10" customFormat="1" ht="15.95" customHeight="1" x14ac:dyDescent="0.25">
      <c r="D37" s="14"/>
      <c r="E37" s="28"/>
      <c r="F37" s="28"/>
      <c r="M37" s="313"/>
      <c r="N37" s="450"/>
      <c r="O37" s="450"/>
      <c r="P37" s="450"/>
      <c r="Q37" s="450"/>
      <c r="R37" s="450"/>
      <c r="S37" s="450"/>
      <c r="T37" s="450"/>
      <c r="U37" s="450"/>
      <c r="V37" s="450"/>
      <c r="W37" s="450"/>
      <c r="X37" s="450"/>
      <c r="Y37" s="450"/>
      <c r="Z37" s="450"/>
      <c r="AA37" s="450"/>
      <c r="AB37" s="450"/>
      <c r="AC37" s="450"/>
      <c r="AD37" s="313"/>
    </row>
    <row r="38" spans="1:30" s="10" customFormat="1" ht="15.95" customHeight="1" x14ac:dyDescent="0.25">
      <c r="M38" s="313"/>
      <c r="N38" s="450"/>
      <c r="O38" s="450"/>
      <c r="P38" s="450"/>
      <c r="Q38" s="450"/>
      <c r="R38" s="450"/>
      <c r="S38" s="450"/>
      <c r="T38" s="450"/>
      <c r="U38" s="450"/>
      <c r="V38" s="450"/>
      <c r="W38" s="450"/>
      <c r="X38" s="450"/>
      <c r="Y38" s="450"/>
      <c r="Z38" s="450"/>
      <c r="AA38" s="450"/>
      <c r="AB38" s="450"/>
      <c r="AC38" s="450"/>
      <c r="AD38" s="313"/>
    </row>
    <row r="39" spans="1:30" s="10" customFormat="1" ht="15.95" customHeight="1" x14ac:dyDescent="0.25">
      <c r="A39" s="11"/>
      <c r="B39" s="11"/>
      <c r="C39" s="11"/>
      <c r="M39" s="313"/>
      <c r="N39" s="450"/>
      <c r="O39" s="450"/>
      <c r="P39" s="450"/>
      <c r="Q39" s="450"/>
      <c r="R39" s="450"/>
      <c r="S39" s="450"/>
      <c r="T39" s="450"/>
      <c r="U39" s="450"/>
      <c r="V39" s="450"/>
      <c r="W39" s="450"/>
      <c r="X39" s="450"/>
      <c r="Y39" s="450"/>
      <c r="Z39" s="450"/>
      <c r="AA39" s="450"/>
      <c r="AB39" s="450"/>
      <c r="AC39" s="450"/>
      <c r="AD39" s="313"/>
    </row>
    <row r="40" spans="1:30" s="10" customFormat="1" ht="15.95" customHeight="1" x14ac:dyDescent="0.25">
      <c r="D40" s="14"/>
      <c r="E40" s="28"/>
      <c r="F40" s="28"/>
      <c r="M40" s="313"/>
      <c r="N40" s="450"/>
      <c r="O40" s="450"/>
      <c r="P40" s="450"/>
      <c r="Q40" s="450"/>
      <c r="R40" s="450"/>
      <c r="S40" s="450"/>
      <c r="T40" s="450"/>
      <c r="U40" s="450"/>
      <c r="V40" s="450"/>
      <c r="W40" s="450"/>
      <c r="X40" s="450"/>
      <c r="Y40" s="450"/>
      <c r="Z40" s="450"/>
      <c r="AA40" s="450"/>
      <c r="AB40" s="450"/>
      <c r="AC40" s="450"/>
      <c r="AD40" s="313"/>
    </row>
    <row r="41" spans="1:30" s="10" customFormat="1" ht="15.95" customHeight="1" x14ac:dyDescent="0.25">
      <c r="M41" s="313"/>
      <c r="N41" s="450"/>
      <c r="O41" s="450"/>
      <c r="P41" s="450"/>
      <c r="Q41" s="450"/>
      <c r="R41" s="450"/>
      <c r="S41" s="450"/>
      <c r="T41" s="450"/>
      <c r="U41" s="450"/>
      <c r="V41" s="450"/>
      <c r="W41" s="450"/>
      <c r="X41" s="450"/>
      <c r="Y41" s="450"/>
      <c r="Z41" s="450"/>
      <c r="AA41" s="450"/>
      <c r="AB41" s="450"/>
      <c r="AC41" s="450"/>
      <c r="AD41" s="313"/>
    </row>
    <row r="42" spans="1:30" s="10" customFormat="1" ht="15.95" customHeight="1" x14ac:dyDescent="0.25">
      <c r="A42" s="11"/>
      <c r="B42" s="11"/>
      <c r="M42" s="313"/>
      <c r="N42" s="450"/>
      <c r="O42" s="450"/>
      <c r="P42" s="450"/>
      <c r="Q42" s="450"/>
      <c r="R42" s="450"/>
      <c r="S42" s="450"/>
      <c r="T42" s="450"/>
      <c r="U42" s="450"/>
      <c r="V42" s="450"/>
      <c r="W42" s="450"/>
      <c r="X42" s="450"/>
      <c r="Y42" s="450"/>
      <c r="Z42" s="450"/>
      <c r="AA42" s="450"/>
      <c r="AB42" s="450"/>
      <c r="AC42" s="450"/>
      <c r="AD42" s="313"/>
    </row>
    <row r="43" spans="1:30" s="10" customFormat="1" ht="15.95" customHeight="1" x14ac:dyDescent="0.25">
      <c r="M43" s="313"/>
      <c r="N43" s="450"/>
      <c r="O43" s="450"/>
      <c r="P43" s="450"/>
      <c r="Q43" s="450"/>
      <c r="R43" s="450"/>
      <c r="S43" s="450"/>
      <c r="T43" s="450"/>
      <c r="U43" s="450"/>
      <c r="V43" s="450"/>
      <c r="W43" s="450"/>
      <c r="X43" s="450"/>
      <c r="Y43" s="450"/>
      <c r="Z43" s="450"/>
      <c r="AA43" s="450"/>
      <c r="AB43" s="450"/>
      <c r="AC43" s="450"/>
      <c r="AD43" s="313"/>
    </row>
    <row r="44" spans="1:30" s="10" customFormat="1" ht="15.95" customHeight="1" x14ac:dyDescent="0.25">
      <c r="F44" s="28"/>
      <c r="M44" s="313"/>
      <c r="N44" s="450"/>
      <c r="O44" s="450"/>
      <c r="P44" s="450"/>
      <c r="Q44" s="450"/>
      <c r="R44" s="450"/>
      <c r="S44" s="450"/>
      <c r="T44" s="450"/>
      <c r="U44" s="450"/>
      <c r="V44" s="450"/>
      <c r="W44" s="450"/>
      <c r="X44" s="450"/>
      <c r="Y44" s="450"/>
      <c r="Z44" s="450"/>
      <c r="AA44" s="450"/>
      <c r="AB44" s="450"/>
      <c r="AC44" s="450"/>
      <c r="AD44" s="313"/>
    </row>
    <row r="45" spans="1:30" s="10" customFormat="1" ht="15.95" customHeight="1" x14ac:dyDescent="0.25">
      <c r="M45" s="313"/>
      <c r="N45" s="450"/>
      <c r="O45" s="450"/>
      <c r="P45" s="450"/>
      <c r="Q45" s="450"/>
      <c r="R45" s="450"/>
      <c r="S45" s="450"/>
      <c r="T45" s="450"/>
      <c r="U45" s="450"/>
      <c r="V45" s="450"/>
      <c r="W45" s="450"/>
      <c r="X45" s="450"/>
      <c r="Y45" s="450"/>
      <c r="Z45" s="450"/>
      <c r="AA45" s="450"/>
      <c r="AB45" s="450"/>
      <c r="AC45" s="450"/>
      <c r="AD45" s="313"/>
    </row>
    <row r="46" spans="1:30" s="10" customFormat="1" ht="15.95" customHeight="1" x14ac:dyDescent="0.25">
      <c r="M46" s="313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450"/>
      <c r="AA46" s="450"/>
      <c r="AB46" s="450"/>
      <c r="AC46" s="450"/>
      <c r="AD46" s="313"/>
    </row>
    <row r="47" spans="1:30" s="10" customFormat="1" ht="15.95" customHeight="1" x14ac:dyDescent="0.25">
      <c r="D47" s="14"/>
      <c r="E47" s="14"/>
      <c r="F47" s="28"/>
      <c r="M47" s="313"/>
      <c r="N47" s="450"/>
      <c r="O47" s="450"/>
      <c r="P47" s="450"/>
      <c r="Q47" s="450"/>
      <c r="R47" s="450"/>
      <c r="S47" s="450"/>
      <c r="T47" s="450"/>
      <c r="U47" s="450"/>
      <c r="V47" s="450"/>
      <c r="W47" s="450"/>
      <c r="X47" s="450"/>
      <c r="Y47" s="450"/>
      <c r="Z47" s="450"/>
      <c r="AA47" s="450"/>
      <c r="AB47" s="450"/>
      <c r="AC47" s="450"/>
      <c r="AD47" s="313"/>
    </row>
    <row r="48" spans="1:30" s="10" customFormat="1" ht="15" customHeight="1" x14ac:dyDescent="0.25">
      <c r="M48" s="313"/>
      <c r="N48" s="450"/>
      <c r="O48" s="450"/>
      <c r="P48" s="450"/>
      <c r="Q48" s="450"/>
      <c r="R48" s="450"/>
      <c r="S48" s="450"/>
      <c r="T48" s="450"/>
      <c r="U48" s="450"/>
      <c r="V48" s="450"/>
      <c r="W48" s="450"/>
      <c r="X48" s="450"/>
      <c r="Y48" s="450"/>
      <c r="Z48" s="450"/>
      <c r="AA48" s="450"/>
      <c r="AB48" s="450"/>
      <c r="AC48" s="450"/>
      <c r="AD48" s="313"/>
    </row>
    <row r="49" spans="13:30" s="10" customFormat="1" ht="15" customHeight="1" x14ac:dyDescent="0.25">
      <c r="M49" s="313"/>
      <c r="N49" s="450"/>
      <c r="O49" s="450"/>
      <c r="P49" s="450"/>
      <c r="Q49" s="450"/>
      <c r="R49" s="450"/>
      <c r="S49" s="450"/>
      <c r="T49" s="450"/>
      <c r="U49" s="450"/>
      <c r="V49" s="450"/>
      <c r="W49" s="450"/>
      <c r="X49" s="450"/>
      <c r="Y49" s="450"/>
      <c r="Z49" s="450"/>
      <c r="AA49" s="450"/>
      <c r="AB49" s="450"/>
      <c r="AC49" s="450"/>
      <c r="AD49" s="313"/>
    </row>
    <row r="50" spans="13:30" s="10" customFormat="1" ht="15" customHeight="1" x14ac:dyDescent="0.25">
      <c r="M50" s="313"/>
      <c r="N50" s="450"/>
      <c r="O50" s="450"/>
      <c r="P50" s="450"/>
      <c r="Q50" s="450"/>
      <c r="R50" s="450"/>
      <c r="S50" s="450"/>
      <c r="T50" s="450"/>
      <c r="U50" s="450"/>
      <c r="V50" s="450"/>
      <c r="W50" s="450"/>
      <c r="X50" s="450"/>
      <c r="Y50" s="450"/>
      <c r="Z50" s="450"/>
      <c r="AA50" s="450"/>
      <c r="AB50" s="450"/>
      <c r="AC50" s="450"/>
      <c r="AD50" s="313"/>
    </row>
    <row r="51" spans="13:30" s="10" customFormat="1" ht="15" customHeight="1" x14ac:dyDescent="0.25">
      <c r="M51" s="313"/>
      <c r="N51" s="450"/>
      <c r="O51" s="450"/>
      <c r="P51" s="450"/>
      <c r="Q51" s="450"/>
      <c r="R51" s="450"/>
      <c r="S51" s="450"/>
      <c r="T51" s="450"/>
      <c r="U51" s="450"/>
      <c r="V51" s="450"/>
      <c r="W51" s="450"/>
      <c r="X51" s="450"/>
      <c r="Y51" s="450"/>
      <c r="Z51" s="450"/>
      <c r="AA51" s="450"/>
      <c r="AB51" s="450"/>
      <c r="AC51" s="450"/>
      <c r="AD51" s="313"/>
    </row>
    <row r="52" spans="13:30" s="10" customFormat="1" ht="15" customHeight="1" x14ac:dyDescent="0.25">
      <c r="M52" s="313"/>
      <c r="N52" s="450"/>
      <c r="O52" s="450"/>
      <c r="P52" s="450"/>
      <c r="Q52" s="450"/>
      <c r="R52" s="450"/>
      <c r="S52" s="450"/>
      <c r="T52" s="450"/>
      <c r="U52" s="450"/>
      <c r="V52" s="450"/>
      <c r="W52" s="450"/>
      <c r="X52" s="450"/>
      <c r="Y52" s="450"/>
      <c r="Z52" s="450"/>
      <c r="AA52" s="450"/>
      <c r="AB52" s="450"/>
      <c r="AC52" s="450"/>
      <c r="AD52" s="313"/>
    </row>
  </sheetData>
  <customSheetViews>
    <customSheetView guid="{B2DDA8C4-3089-41F7-BA6E-A0E09596A2CA}" scale="80" showPageBreaks="1" fitToPage="1" printArea="1">
      <selection activeCell="B2" sqref="B2"/>
      <pageMargins left="1" right="0.75" top="0.85" bottom="0.8" header="0.5" footer="0.35"/>
      <printOptions horizontalCentered="1"/>
      <pageSetup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B2" sqref="B2"/>
      <pageMargins left="1" right="0.75" top="0.85" bottom="0.8" header="0.5" footer="0.35"/>
      <printOptions horizontalCentered="1"/>
      <pageSetup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2" sqref="B2"/>
      <pageMargins left="1" right="0.75" top="0.85" bottom="0.8" header="0.5" footer="0.35"/>
      <printOptions horizontalCentered="1"/>
      <pageSetup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2" sqref="B2"/>
      <pageMargins left="1" right="0.75" top="0.85" bottom="0.8" header="0.5" footer="0.35"/>
      <printOptions horizontalCentered="1"/>
      <pageSetup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2" sqref="B2"/>
      <pageMargins left="1" right="0.75" top="0.85" bottom="0.8" header="0.5" footer="0.35"/>
      <printOptions horizontalCentered="1"/>
      <pageSetup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zoomScale="70" zoomScaleNormal="70" workbookViewId="0">
      <selection activeCell="C1" sqref="C1"/>
    </sheetView>
  </sheetViews>
  <sheetFormatPr defaultRowHeight="12.75" x14ac:dyDescent="0.2"/>
  <cols>
    <col min="1" max="1" width="1.7109375" style="29" customWidth="1"/>
    <col min="2" max="2" width="4.7109375" style="29" customWidth="1"/>
    <col min="3" max="3" width="9.7109375" style="29" customWidth="1"/>
    <col min="4" max="4" width="3.42578125" style="29" customWidth="1"/>
    <col min="5" max="5" width="8.5703125" style="29" customWidth="1"/>
    <col min="6" max="6" width="5.140625" style="29" customWidth="1"/>
    <col min="7" max="7" width="11.42578125" style="29" customWidth="1"/>
    <col min="8" max="8" width="6.7109375" style="29" customWidth="1"/>
    <col min="9" max="9" width="11.5703125" style="29" customWidth="1"/>
    <col min="10" max="10" width="7.7109375" style="29" customWidth="1"/>
    <col min="11" max="11" width="6.7109375" style="29" customWidth="1"/>
    <col min="12" max="12" width="11.140625" style="29" customWidth="1"/>
    <col min="13" max="13" width="2.7109375" style="29" customWidth="1"/>
    <col min="14" max="14" width="9.85546875" style="402" hidden="1" customWidth="1"/>
    <col min="15" max="15" width="2.7109375" style="402" hidden="1" customWidth="1"/>
    <col min="16" max="16" width="9.28515625" style="402" hidden="1" customWidth="1"/>
    <col min="17" max="17" width="2.7109375" style="402" hidden="1" customWidth="1"/>
    <col min="18" max="18" width="9.85546875" style="402" hidden="1" customWidth="1"/>
    <col min="19" max="19" width="2.7109375" style="402" hidden="1" customWidth="1"/>
    <col min="20" max="20" width="8.7109375" style="402" hidden="1" customWidth="1"/>
    <col min="21" max="21" width="2.7109375" style="402" hidden="1" customWidth="1"/>
    <col min="22" max="22" width="8.7109375" style="402" hidden="1" customWidth="1"/>
    <col min="23" max="23" width="2.7109375" style="402" hidden="1" customWidth="1"/>
    <col min="24" max="24" width="8.7109375" style="402" hidden="1" customWidth="1"/>
    <col min="25" max="25" width="2.7109375" style="313" customWidth="1"/>
    <col min="26" max="26" width="9.140625" style="313"/>
    <col min="27" max="27" width="2.7109375" style="29" customWidth="1"/>
    <col min="28" max="16384" width="9.140625" style="29"/>
  </cols>
  <sheetData>
    <row r="1" spans="2:26" ht="28.5" customHeight="1" x14ac:dyDescent="0.2"/>
    <row r="2" spans="2:26" s="10" customFormat="1" ht="15.95" customHeight="1" x14ac:dyDescent="0.25">
      <c r="B2" s="10" t="s">
        <v>1203</v>
      </c>
      <c r="N2" s="402"/>
      <c r="O2" s="402"/>
      <c r="P2" s="402"/>
      <c r="Q2" s="402"/>
      <c r="R2" s="402"/>
      <c r="S2" s="402"/>
      <c r="T2" s="402"/>
      <c r="U2" s="402"/>
      <c r="V2" s="402"/>
      <c r="W2" s="402"/>
      <c r="X2" s="402"/>
      <c r="Y2" s="313"/>
      <c r="Z2" s="313"/>
    </row>
    <row r="3" spans="2:26" s="10" customFormat="1" ht="15.95" customHeight="1" x14ac:dyDescent="0.25">
      <c r="B3" s="10" t="s">
        <v>1534</v>
      </c>
      <c r="N3" s="402"/>
      <c r="O3" s="402"/>
      <c r="P3" s="402"/>
      <c r="Q3" s="402"/>
      <c r="R3" s="402"/>
      <c r="S3" s="402"/>
      <c r="T3" s="402"/>
      <c r="U3" s="455"/>
      <c r="V3" s="402"/>
      <c r="W3" s="402"/>
      <c r="X3" s="402"/>
      <c r="Y3" s="218"/>
      <c r="Z3" s="313"/>
    </row>
    <row r="4" spans="2:26" s="10" customFormat="1" ht="15.95" customHeight="1" x14ac:dyDescent="0.25">
      <c r="B4" s="10" t="s">
        <v>549</v>
      </c>
      <c r="N4" s="402"/>
      <c r="O4" s="402"/>
      <c r="P4" s="402"/>
      <c r="Q4" s="402"/>
      <c r="R4" s="402"/>
      <c r="S4" s="402"/>
      <c r="T4" s="402"/>
      <c r="U4" s="402"/>
      <c r="V4" s="402"/>
      <c r="W4" s="418" t="s">
        <v>1682</v>
      </c>
      <c r="X4" s="402"/>
      <c r="Y4" s="218"/>
      <c r="Z4" s="313"/>
    </row>
    <row r="5" spans="2:26" s="10" customFormat="1" ht="15.95" customHeight="1" x14ac:dyDescent="0.25">
      <c r="D5" s="357" t="s">
        <v>1490</v>
      </c>
      <c r="E5" s="357"/>
      <c r="F5" s="14" t="s">
        <v>111</v>
      </c>
      <c r="G5" s="13" t="s">
        <v>1491</v>
      </c>
      <c r="H5" s="14" t="s">
        <v>1504</v>
      </c>
      <c r="I5" s="16" t="s">
        <v>550</v>
      </c>
      <c r="N5" s="402"/>
      <c r="O5" s="402"/>
      <c r="P5" s="402"/>
      <c r="Q5" s="402"/>
      <c r="R5" s="402"/>
      <c r="S5" s="402"/>
      <c r="T5" s="402"/>
      <c r="U5" s="402"/>
      <c r="V5" s="409" t="s">
        <v>30</v>
      </c>
      <c r="W5" s="409"/>
      <c r="X5" s="409" t="s">
        <v>941</v>
      </c>
      <c r="Y5" s="218"/>
      <c r="Z5" s="313"/>
    </row>
    <row r="6" spans="2:26" s="10" customFormat="1" ht="15.95" customHeight="1" x14ac:dyDescent="0.25">
      <c r="B6" s="10" t="s">
        <v>950</v>
      </c>
      <c r="D6" s="387">
        <f>V6</f>
        <v>256500</v>
      </c>
      <c r="E6" s="387"/>
      <c r="F6" s="14" t="s">
        <v>111</v>
      </c>
      <c r="G6" s="34">
        <f>V7</f>
        <v>92650</v>
      </c>
      <c r="H6" s="84" t="s">
        <v>1504</v>
      </c>
      <c r="I6" s="28">
        <f>R9</f>
        <v>163850</v>
      </c>
      <c r="J6" s="10" t="s">
        <v>748</v>
      </c>
      <c r="N6" s="402"/>
      <c r="O6" s="402"/>
      <c r="P6" s="402"/>
      <c r="Q6" s="402"/>
      <c r="R6" s="402"/>
      <c r="S6" s="402"/>
      <c r="T6" s="402"/>
      <c r="U6" s="405" t="s">
        <v>1490</v>
      </c>
      <c r="V6" s="409">
        <v>256500</v>
      </c>
      <c r="W6" s="402"/>
      <c r="X6" s="409">
        <v>358200</v>
      </c>
      <c r="Y6" s="218"/>
      <c r="Z6" s="313"/>
    </row>
    <row r="7" spans="2:26" s="10" customFormat="1" ht="15.95" customHeight="1" x14ac:dyDescent="0.25">
      <c r="B7" s="10" t="s">
        <v>551</v>
      </c>
      <c r="D7" s="387">
        <f>X6</f>
        <v>358200</v>
      </c>
      <c r="E7" s="387"/>
      <c r="F7" s="14" t="s">
        <v>111</v>
      </c>
      <c r="G7" s="34">
        <f>X7</f>
        <v>121900</v>
      </c>
      <c r="H7" s="84" t="s">
        <v>1504</v>
      </c>
      <c r="I7" s="28">
        <f>R10</f>
        <v>236300</v>
      </c>
      <c r="J7" s="10" t="s">
        <v>749</v>
      </c>
      <c r="N7" s="402"/>
      <c r="O7" s="412" t="s">
        <v>794</v>
      </c>
      <c r="P7" s="402"/>
      <c r="Q7" s="402"/>
      <c r="R7" s="402"/>
      <c r="S7" s="402"/>
      <c r="T7" s="402"/>
      <c r="U7" s="405" t="s">
        <v>1491</v>
      </c>
      <c r="V7" s="409">
        <v>92650</v>
      </c>
      <c r="W7" s="402"/>
      <c r="X7" s="409">
        <v>121900</v>
      </c>
      <c r="Y7" s="218"/>
      <c r="Z7" s="313"/>
    </row>
    <row r="8" spans="2:26" s="10" customFormat="1" ht="5.0999999999999996" customHeight="1" x14ac:dyDescent="0.25">
      <c r="N8" s="402"/>
      <c r="O8" s="402"/>
      <c r="P8" s="402"/>
      <c r="Q8" s="402"/>
      <c r="R8" s="402"/>
      <c r="S8" s="402"/>
      <c r="T8" s="402"/>
      <c r="U8" s="405"/>
      <c r="V8" s="402"/>
      <c r="W8" s="402"/>
      <c r="X8" s="403"/>
      <c r="Y8" s="218"/>
      <c r="Z8" s="313"/>
    </row>
    <row r="9" spans="2:26" s="10" customFormat="1" ht="15.95" customHeight="1" x14ac:dyDescent="0.25">
      <c r="B9" s="25" t="s">
        <v>748</v>
      </c>
      <c r="C9" s="29" t="s">
        <v>1134</v>
      </c>
      <c r="N9" s="410">
        <f>V6</f>
        <v>256500</v>
      </c>
      <c r="O9" s="410" t="s">
        <v>1589</v>
      </c>
      <c r="P9" s="410">
        <f>V7</f>
        <v>92650</v>
      </c>
      <c r="Q9" s="410" t="s">
        <v>1587</v>
      </c>
      <c r="R9" s="410">
        <f>SUM(N9-P9)</f>
        <v>163850</v>
      </c>
      <c r="S9" s="402"/>
      <c r="T9" s="402"/>
      <c r="U9" s="405" t="s">
        <v>145</v>
      </c>
      <c r="V9" s="409">
        <v>15000</v>
      </c>
      <c r="W9" s="410"/>
      <c r="X9" s="409">
        <v>20000</v>
      </c>
      <c r="Y9" s="218"/>
      <c r="Z9" s="313"/>
    </row>
    <row r="10" spans="2:26" s="10" customFormat="1" ht="15.95" customHeight="1" x14ac:dyDescent="0.25">
      <c r="B10" s="25" t="s">
        <v>749</v>
      </c>
      <c r="C10" s="29" t="s">
        <v>1135</v>
      </c>
      <c r="N10" s="410">
        <f>X6</f>
        <v>358200</v>
      </c>
      <c r="O10" s="410" t="s">
        <v>1589</v>
      </c>
      <c r="P10" s="410">
        <f>X7</f>
        <v>121900</v>
      </c>
      <c r="Q10" s="410" t="s">
        <v>1587</v>
      </c>
      <c r="R10" s="410">
        <f>SUM(N10-P10)</f>
        <v>236300</v>
      </c>
      <c r="S10" s="402"/>
      <c r="T10" s="402"/>
      <c r="U10" s="405" t="s">
        <v>333</v>
      </c>
      <c r="V10" s="409">
        <v>10000</v>
      </c>
      <c r="W10" s="403"/>
      <c r="X10" s="409">
        <v>12000</v>
      </c>
      <c r="Y10" s="218"/>
      <c r="Z10" s="313"/>
    </row>
    <row r="11" spans="2:26" s="10" customFormat="1" ht="9.9499999999999993" customHeight="1" x14ac:dyDescent="0.25">
      <c r="N11" s="402"/>
      <c r="O11" s="402"/>
      <c r="P11" s="402"/>
      <c r="Q11" s="402"/>
      <c r="R11" s="402"/>
      <c r="S11" s="402"/>
      <c r="T11" s="402"/>
      <c r="U11" s="402"/>
      <c r="V11" s="403"/>
      <c r="W11" s="403"/>
      <c r="X11" s="403"/>
      <c r="Y11" s="218"/>
      <c r="Z11" s="313"/>
    </row>
    <row r="12" spans="2:26" s="10" customFormat="1" ht="15.95" customHeight="1" x14ac:dyDescent="0.25">
      <c r="B12" s="10" t="s">
        <v>552</v>
      </c>
      <c r="N12" s="402"/>
      <c r="O12" s="402"/>
      <c r="P12" s="402"/>
      <c r="Q12" s="402"/>
      <c r="R12" s="402"/>
      <c r="S12" s="402"/>
      <c r="T12" s="402"/>
      <c r="U12" s="402"/>
      <c r="V12" s="402"/>
      <c r="W12" s="405"/>
      <c r="X12" s="402"/>
      <c r="Y12" s="218"/>
      <c r="Z12" s="313"/>
    </row>
    <row r="13" spans="2:26" s="10" customFormat="1" ht="5.0999999999999996" customHeight="1" x14ac:dyDescent="0.25">
      <c r="N13" s="402"/>
      <c r="O13" s="402"/>
      <c r="P13" s="402"/>
      <c r="Q13" s="402"/>
      <c r="R13" s="402"/>
      <c r="S13" s="402"/>
      <c r="T13" s="402"/>
      <c r="U13" s="402"/>
      <c r="V13" s="403"/>
      <c r="W13" s="403"/>
      <c r="X13" s="403"/>
      <c r="Y13" s="218"/>
      <c r="Z13" s="313"/>
    </row>
    <row r="14" spans="2:26" s="10" customFormat="1" ht="15.95" customHeight="1" x14ac:dyDescent="0.25">
      <c r="B14" s="354" t="s">
        <v>553</v>
      </c>
      <c r="C14" s="354"/>
      <c r="D14" s="354"/>
      <c r="E14" s="354"/>
      <c r="F14" s="354"/>
      <c r="G14" s="354"/>
      <c r="H14" s="10" t="s">
        <v>554</v>
      </c>
      <c r="N14" s="402"/>
      <c r="O14" s="402"/>
      <c r="P14" s="402"/>
      <c r="Q14" s="402"/>
      <c r="R14" s="402"/>
      <c r="S14" s="402"/>
      <c r="T14" s="402"/>
      <c r="U14" s="405"/>
      <c r="V14" s="402"/>
      <c r="W14" s="410"/>
      <c r="X14" s="403"/>
      <c r="Y14" s="218"/>
      <c r="Z14" s="313"/>
    </row>
    <row r="15" spans="2:26" s="10" customFormat="1" ht="15.95" customHeight="1" x14ac:dyDescent="0.25">
      <c r="B15" s="354" t="s">
        <v>570</v>
      </c>
      <c r="C15" s="354"/>
      <c r="D15" s="354"/>
      <c r="E15" s="354"/>
      <c r="F15" s="354"/>
      <c r="G15" s="354"/>
      <c r="H15" s="91" t="s">
        <v>555</v>
      </c>
      <c r="N15" s="402"/>
      <c r="O15" s="402"/>
      <c r="P15" s="402"/>
      <c r="Q15" s="402"/>
      <c r="R15" s="402"/>
      <c r="S15" s="402"/>
      <c r="T15" s="402"/>
      <c r="U15" s="402"/>
      <c r="V15" s="403"/>
      <c r="W15" s="403"/>
      <c r="X15" s="403"/>
      <c r="Y15" s="218"/>
      <c r="Z15" s="313"/>
    </row>
    <row r="16" spans="2:26" s="10" customFormat="1" ht="15.95" customHeight="1" x14ac:dyDescent="0.25">
      <c r="E16" s="14"/>
      <c r="H16" s="91" t="s">
        <v>556</v>
      </c>
      <c r="N16" s="402"/>
      <c r="O16" s="402"/>
      <c r="P16" s="402"/>
      <c r="Q16" s="402"/>
      <c r="R16" s="402"/>
      <c r="S16" s="402"/>
      <c r="T16" s="402"/>
      <c r="U16" s="405"/>
      <c r="V16" s="402"/>
      <c r="W16" s="410"/>
      <c r="X16" s="403"/>
      <c r="Y16" s="218"/>
      <c r="Z16" s="313"/>
    </row>
    <row r="17" spans="1:26" s="10" customFormat="1" ht="15.95" customHeight="1" x14ac:dyDescent="0.25">
      <c r="B17" s="354" t="s">
        <v>557</v>
      </c>
      <c r="C17" s="354"/>
      <c r="D17" s="354"/>
      <c r="E17" s="354"/>
      <c r="F17" s="354"/>
      <c r="G17" s="354"/>
      <c r="H17" s="10" t="s">
        <v>558</v>
      </c>
      <c r="N17" s="402"/>
      <c r="O17" s="402"/>
      <c r="P17" s="402"/>
      <c r="Q17" s="402"/>
      <c r="R17" s="402"/>
      <c r="S17" s="402"/>
      <c r="T17" s="402"/>
      <c r="U17" s="402"/>
      <c r="V17" s="402"/>
      <c r="W17" s="410"/>
      <c r="X17" s="403"/>
      <c r="Y17" s="218"/>
      <c r="Z17" s="313"/>
    </row>
    <row r="18" spans="1:26" s="10" customFormat="1" ht="9.9499999999999993" customHeight="1" x14ac:dyDescent="0.25">
      <c r="N18" s="402"/>
      <c r="O18" s="402"/>
      <c r="P18" s="402"/>
      <c r="Q18" s="402"/>
      <c r="R18" s="402"/>
      <c r="S18" s="402"/>
      <c r="T18" s="402"/>
      <c r="U18" s="402"/>
      <c r="V18" s="402"/>
      <c r="W18" s="402"/>
      <c r="X18" s="402"/>
      <c r="Y18" s="218"/>
      <c r="Z18" s="313"/>
    </row>
    <row r="19" spans="1:26" s="10" customFormat="1" ht="15.95" customHeight="1" x14ac:dyDescent="0.25">
      <c r="A19" s="11"/>
      <c r="B19" s="10" t="s">
        <v>559</v>
      </c>
      <c r="N19" s="402"/>
      <c r="O19" s="402"/>
      <c r="P19" s="402"/>
      <c r="Q19" s="402"/>
      <c r="R19" s="402"/>
      <c r="S19" s="402"/>
      <c r="T19" s="402"/>
      <c r="U19" s="402"/>
      <c r="V19" s="402"/>
      <c r="W19" s="402"/>
      <c r="X19" s="402"/>
      <c r="Y19" s="313"/>
      <c r="Z19" s="313"/>
    </row>
    <row r="20" spans="1:26" s="10" customFormat="1" ht="15.95" customHeight="1" x14ac:dyDescent="0.25">
      <c r="B20" s="354" t="s">
        <v>570</v>
      </c>
      <c r="C20" s="354"/>
      <c r="D20" s="354"/>
      <c r="E20" s="354"/>
      <c r="F20" s="354"/>
      <c r="G20" s="354"/>
      <c r="H20" s="91" t="s">
        <v>555</v>
      </c>
      <c r="N20" s="402"/>
      <c r="O20" s="402"/>
      <c r="P20" s="402"/>
      <c r="Q20" s="402"/>
      <c r="R20" s="402"/>
      <c r="S20" s="402"/>
      <c r="T20" s="402"/>
      <c r="U20" s="402"/>
      <c r="V20" s="402"/>
      <c r="W20" s="402"/>
      <c r="X20" s="402"/>
      <c r="Y20" s="313"/>
      <c r="Z20" s="313"/>
    </row>
    <row r="21" spans="1:26" s="10" customFormat="1" ht="15.95" customHeight="1" x14ac:dyDescent="0.25">
      <c r="E21" s="14"/>
      <c r="H21" s="91" t="s">
        <v>146</v>
      </c>
      <c r="N21" s="402"/>
      <c r="O21" s="412" t="s">
        <v>794</v>
      </c>
      <c r="P21" s="402"/>
      <c r="Q21" s="402"/>
      <c r="R21" s="402"/>
      <c r="S21" s="402"/>
      <c r="T21" s="402"/>
      <c r="U21" s="402"/>
      <c r="V21" s="402"/>
      <c r="W21" s="402"/>
      <c r="X21" s="402"/>
      <c r="Y21" s="313"/>
      <c r="Z21" s="313"/>
    </row>
    <row r="22" spans="1:26" s="10" customFormat="1" ht="5.0999999999999996" customHeight="1" x14ac:dyDescent="0.25">
      <c r="A22" s="11"/>
      <c r="N22" s="402"/>
      <c r="O22" s="402"/>
      <c r="P22" s="402"/>
      <c r="Q22" s="402"/>
      <c r="R22" s="402"/>
      <c r="S22" s="402"/>
      <c r="T22" s="402"/>
      <c r="U22" s="402"/>
      <c r="V22" s="402"/>
      <c r="W22" s="402"/>
      <c r="X22" s="402"/>
      <c r="Y22" s="313"/>
      <c r="Z22" s="313"/>
    </row>
    <row r="23" spans="1:26" s="10" customFormat="1" ht="15.95" customHeight="1" x14ac:dyDescent="0.25">
      <c r="B23" s="11" t="s">
        <v>758</v>
      </c>
      <c r="C23" s="10" t="s">
        <v>1136</v>
      </c>
      <c r="N23" s="410">
        <f>R10</f>
        <v>236300</v>
      </c>
      <c r="O23" s="410" t="s">
        <v>1589</v>
      </c>
      <c r="P23" s="410">
        <f>R9</f>
        <v>163850</v>
      </c>
      <c r="Q23" s="410" t="s">
        <v>1587</v>
      </c>
      <c r="R23" s="410">
        <f>SUM(N23-P23)</f>
        <v>72450</v>
      </c>
      <c r="S23" s="402"/>
      <c r="T23" s="402"/>
      <c r="U23" s="402"/>
      <c r="V23" s="402"/>
      <c r="W23" s="402"/>
      <c r="X23" s="402"/>
      <c r="Y23" s="313"/>
      <c r="Z23" s="313"/>
    </row>
    <row r="24" spans="1:26" s="10" customFormat="1" ht="15.95" customHeight="1" x14ac:dyDescent="0.25">
      <c r="C24" s="10" t="s">
        <v>1137</v>
      </c>
      <c r="N24" s="402"/>
      <c r="O24" s="402"/>
      <c r="P24" s="402"/>
      <c r="Q24" s="402"/>
      <c r="R24" s="402"/>
      <c r="S24" s="402"/>
      <c r="T24" s="402"/>
      <c r="U24" s="402"/>
      <c r="V24" s="402"/>
      <c r="W24" s="402"/>
      <c r="X24" s="402"/>
      <c r="Y24" s="313"/>
      <c r="Z24" s="313"/>
    </row>
    <row r="25" spans="1:26" s="10" customFormat="1" ht="5.0999999999999996" customHeight="1" x14ac:dyDescent="0.25">
      <c r="N25" s="402"/>
      <c r="O25" s="402"/>
      <c r="P25" s="402"/>
      <c r="Q25" s="402"/>
      <c r="R25" s="402"/>
      <c r="S25" s="402"/>
      <c r="T25" s="402"/>
      <c r="U25" s="402"/>
      <c r="V25" s="402"/>
      <c r="W25" s="402"/>
      <c r="X25" s="402"/>
      <c r="Y25" s="313"/>
      <c r="Z25" s="313"/>
    </row>
    <row r="26" spans="1:26" s="10" customFormat="1" ht="15.95" customHeight="1" x14ac:dyDescent="0.25">
      <c r="B26" s="11" t="s">
        <v>759</v>
      </c>
      <c r="C26" s="11" t="s">
        <v>1138</v>
      </c>
      <c r="N26" s="410">
        <f>R10</f>
        <v>236300</v>
      </c>
      <c r="O26" s="410" t="s">
        <v>1589</v>
      </c>
      <c r="P26" s="410">
        <f>R9</f>
        <v>163850</v>
      </c>
      <c r="Q26" s="410" t="s">
        <v>1589</v>
      </c>
      <c r="R26" s="410">
        <f>V9</f>
        <v>15000</v>
      </c>
      <c r="S26" s="410" t="s">
        <v>1587</v>
      </c>
      <c r="T26" s="410">
        <f>SUM(N26-P26-R26)</f>
        <v>57450</v>
      </c>
      <c r="U26" s="402"/>
      <c r="V26" s="402"/>
      <c r="W26" s="402"/>
      <c r="X26" s="402"/>
      <c r="Y26" s="313"/>
      <c r="Z26" s="313"/>
    </row>
    <row r="27" spans="1:26" s="10" customFormat="1" ht="15.95" customHeight="1" x14ac:dyDescent="0.25">
      <c r="C27" s="10" t="s">
        <v>1139</v>
      </c>
      <c r="D27" s="14"/>
      <c r="E27" s="28"/>
      <c r="F27" s="28"/>
      <c r="N27" s="402"/>
      <c r="O27" s="402"/>
      <c r="P27" s="402"/>
      <c r="Q27" s="402"/>
      <c r="R27" s="402"/>
      <c r="S27" s="402"/>
      <c r="T27" s="402"/>
      <c r="U27" s="402"/>
      <c r="V27" s="402"/>
      <c r="W27" s="402"/>
      <c r="X27" s="402"/>
      <c r="Y27" s="313"/>
      <c r="Z27" s="313"/>
    </row>
    <row r="28" spans="1:26" s="10" customFormat="1" ht="5.0999999999999996" customHeight="1" x14ac:dyDescent="0.25">
      <c r="N28" s="402"/>
      <c r="O28" s="402"/>
      <c r="P28" s="402"/>
      <c r="Q28" s="402"/>
      <c r="R28" s="402"/>
      <c r="S28" s="402"/>
      <c r="T28" s="402"/>
      <c r="U28" s="402"/>
      <c r="V28" s="402"/>
      <c r="W28" s="402"/>
      <c r="X28" s="402"/>
      <c r="Y28" s="313"/>
      <c r="Z28" s="313"/>
    </row>
    <row r="29" spans="1:26" s="10" customFormat="1" ht="15.95" customHeight="1" x14ac:dyDescent="0.25">
      <c r="A29" s="11"/>
      <c r="B29" s="11" t="s">
        <v>760</v>
      </c>
      <c r="C29" s="11" t="s">
        <v>1140</v>
      </c>
      <c r="N29" s="410">
        <f>R10</f>
        <v>236300</v>
      </c>
      <c r="O29" s="410" t="s">
        <v>1589</v>
      </c>
      <c r="P29" s="410">
        <f>R9</f>
        <v>163850</v>
      </c>
      <c r="Q29" s="410" t="s">
        <v>1588</v>
      </c>
      <c r="R29" s="410">
        <f>V10</f>
        <v>10000</v>
      </c>
      <c r="S29" s="410" t="s">
        <v>1587</v>
      </c>
      <c r="T29" s="410">
        <f>SUM(N29-P29+R29)</f>
        <v>82450</v>
      </c>
      <c r="U29" s="402"/>
      <c r="V29" s="402"/>
      <c r="W29" s="402"/>
      <c r="X29" s="402"/>
      <c r="Y29" s="313"/>
      <c r="Z29" s="313"/>
    </row>
    <row r="30" spans="1:26" s="10" customFormat="1" ht="15.95" customHeight="1" x14ac:dyDescent="0.25">
      <c r="C30" s="10" t="s">
        <v>1141</v>
      </c>
      <c r="D30" s="14"/>
      <c r="E30" s="28"/>
      <c r="F30" s="28"/>
      <c r="N30" s="402"/>
      <c r="O30" s="402"/>
      <c r="P30" s="402"/>
      <c r="Q30" s="402"/>
      <c r="R30" s="402"/>
      <c r="S30" s="402"/>
      <c r="T30" s="402"/>
      <c r="U30" s="402"/>
      <c r="V30" s="402"/>
      <c r="W30" s="402"/>
      <c r="X30" s="402"/>
      <c r="Y30" s="313"/>
      <c r="Z30" s="313"/>
    </row>
    <row r="31" spans="1:26" s="10" customFormat="1" ht="5.0999999999999996" customHeight="1" x14ac:dyDescent="0.25">
      <c r="N31" s="402"/>
      <c r="O31" s="402"/>
      <c r="P31" s="402"/>
      <c r="Q31" s="402"/>
      <c r="R31" s="402"/>
      <c r="S31" s="402"/>
      <c r="T31" s="402"/>
      <c r="U31" s="402"/>
      <c r="V31" s="402"/>
      <c r="W31" s="402"/>
      <c r="X31" s="402"/>
      <c r="Y31" s="313"/>
      <c r="Z31" s="313"/>
    </row>
    <row r="32" spans="1:26" s="10" customFormat="1" ht="15.95" customHeight="1" x14ac:dyDescent="0.25">
      <c r="A32" s="11"/>
      <c r="B32" s="11" t="s">
        <v>270</v>
      </c>
      <c r="C32" s="10" t="s">
        <v>1142</v>
      </c>
      <c r="N32" s="410">
        <f>R10</f>
        <v>236300</v>
      </c>
      <c r="O32" s="410" t="s">
        <v>1589</v>
      </c>
      <c r="P32" s="410">
        <f>R9</f>
        <v>163850</v>
      </c>
      <c r="Q32" s="410" t="s">
        <v>1589</v>
      </c>
      <c r="R32" s="410">
        <f>X9</f>
        <v>20000</v>
      </c>
      <c r="S32" s="410" t="s">
        <v>1589</v>
      </c>
      <c r="T32" s="410">
        <f>X10</f>
        <v>12000</v>
      </c>
      <c r="U32" s="410" t="s">
        <v>1587</v>
      </c>
      <c r="V32" s="410">
        <f>SUM(N32-P32-R32+T32)</f>
        <v>64450</v>
      </c>
      <c r="W32" s="402"/>
      <c r="X32" s="402"/>
      <c r="Y32" s="313"/>
      <c r="Z32" s="313"/>
    </row>
    <row r="33" spans="3:26" s="10" customFormat="1" ht="15.95" customHeight="1" x14ac:dyDescent="0.25">
      <c r="C33" s="10" t="s">
        <v>1143</v>
      </c>
      <c r="N33" s="402"/>
      <c r="O33" s="402"/>
      <c r="P33" s="402"/>
      <c r="Q33" s="402"/>
      <c r="R33" s="402"/>
      <c r="S33" s="402"/>
      <c r="T33" s="402"/>
      <c r="U33" s="402"/>
      <c r="V33" s="402"/>
      <c r="W33" s="402"/>
      <c r="X33" s="402"/>
      <c r="Y33" s="313"/>
      <c r="Z33" s="313"/>
    </row>
    <row r="34" spans="3:26" s="10" customFormat="1" ht="5.0999999999999996" customHeight="1" x14ac:dyDescent="0.25">
      <c r="F34" s="28"/>
      <c r="N34" s="402"/>
      <c r="O34" s="402"/>
      <c r="P34" s="402"/>
      <c r="Q34" s="402"/>
      <c r="R34" s="402"/>
      <c r="S34" s="402"/>
      <c r="T34" s="402"/>
      <c r="U34" s="402"/>
      <c r="V34" s="402"/>
      <c r="W34" s="402"/>
      <c r="X34" s="402"/>
      <c r="Y34" s="313"/>
      <c r="Z34" s="313"/>
    </row>
    <row r="35" spans="3:26" s="10" customFormat="1" ht="15.95" customHeight="1" x14ac:dyDescent="0.25">
      <c r="N35" s="402"/>
      <c r="O35" s="402"/>
      <c r="P35" s="402"/>
      <c r="Q35" s="402"/>
      <c r="R35" s="402"/>
      <c r="S35" s="402"/>
      <c r="T35" s="402"/>
      <c r="U35" s="402"/>
      <c r="V35" s="402"/>
      <c r="W35" s="402"/>
      <c r="X35" s="402"/>
      <c r="Y35" s="313"/>
      <c r="Z35" s="313"/>
    </row>
    <row r="36" spans="3:26" s="10" customFormat="1" ht="15.95" customHeight="1" x14ac:dyDescent="0.25">
      <c r="N36" s="402"/>
      <c r="O36" s="402"/>
      <c r="P36" s="402"/>
      <c r="Q36" s="402"/>
      <c r="R36" s="402"/>
      <c r="S36" s="402"/>
      <c r="T36" s="402"/>
      <c r="U36" s="402"/>
      <c r="V36" s="402"/>
      <c r="W36" s="402"/>
      <c r="X36" s="402"/>
      <c r="Y36" s="313"/>
      <c r="Z36" s="313"/>
    </row>
    <row r="37" spans="3:26" s="10" customFormat="1" ht="15.95" customHeight="1" x14ac:dyDescent="0.25">
      <c r="D37" s="14"/>
      <c r="E37" s="14"/>
      <c r="F37" s="28"/>
      <c r="N37" s="402"/>
      <c r="O37" s="402"/>
      <c r="P37" s="402"/>
      <c r="Q37" s="402"/>
      <c r="R37" s="402"/>
      <c r="S37" s="402"/>
      <c r="T37" s="402"/>
      <c r="U37" s="402"/>
      <c r="V37" s="402"/>
      <c r="W37" s="402"/>
      <c r="X37" s="402"/>
      <c r="Y37" s="313"/>
      <c r="Z37" s="313"/>
    </row>
    <row r="38" spans="3:26" s="10" customFormat="1" ht="15.95" customHeight="1" x14ac:dyDescent="0.25">
      <c r="N38" s="402"/>
      <c r="O38" s="402"/>
      <c r="P38" s="402"/>
      <c r="Q38" s="402"/>
      <c r="R38" s="402"/>
      <c r="S38" s="402"/>
      <c r="T38" s="402"/>
      <c r="U38" s="402"/>
      <c r="V38" s="402"/>
      <c r="W38" s="402"/>
      <c r="X38" s="402"/>
      <c r="Y38" s="313"/>
      <c r="Z38" s="313"/>
    </row>
    <row r="39" spans="3:26" s="10" customFormat="1" ht="15.95" customHeight="1" x14ac:dyDescent="0.25">
      <c r="N39" s="402"/>
      <c r="O39" s="402"/>
      <c r="P39" s="402"/>
      <c r="Q39" s="402"/>
      <c r="R39" s="402"/>
      <c r="S39" s="402"/>
      <c r="T39" s="402"/>
      <c r="U39" s="402"/>
      <c r="V39" s="402"/>
      <c r="W39" s="402"/>
      <c r="X39" s="402"/>
      <c r="Y39" s="313"/>
      <c r="Z39" s="313"/>
    </row>
    <row r="40" spans="3:26" s="10" customFormat="1" ht="15.95" customHeight="1" x14ac:dyDescent="0.25">
      <c r="N40" s="402"/>
      <c r="O40" s="402"/>
      <c r="P40" s="402"/>
      <c r="Q40" s="402"/>
      <c r="R40" s="402"/>
      <c r="S40" s="402"/>
      <c r="T40" s="402"/>
      <c r="U40" s="402"/>
      <c r="V40" s="402"/>
      <c r="W40" s="402"/>
      <c r="X40" s="402"/>
      <c r="Y40" s="313"/>
      <c r="Z40" s="313"/>
    </row>
    <row r="41" spans="3:26" s="10" customFormat="1" ht="15.95" customHeight="1" x14ac:dyDescent="0.25">
      <c r="N41" s="402"/>
      <c r="O41" s="402"/>
      <c r="P41" s="402"/>
      <c r="Q41" s="402"/>
      <c r="R41" s="402"/>
      <c r="S41" s="402"/>
      <c r="T41" s="402"/>
      <c r="U41" s="402"/>
      <c r="V41" s="402"/>
      <c r="W41" s="402"/>
      <c r="X41" s="402"/>
      <c r="Y41" s="313"/>
      <c r="Z41" s="313"/>
    </row>
    <row r="42" spans="3:26" s="10" customFormat="1" ht="15.95" customHeight="1" x14ac:dyDescent="0.25">
      <c r="N42" s="402"/>
      <c r="O42" s="402"/>
      <c r="P42" s="402"/>
      <c r="Q42" s="402"/>
      <c r="R42" s="402"/>
      <c r="S42" s="402"/>
      <c r="T42" s="402"/>
      <c r="U42" s="402"/>
      <c r="V42" s="402"/>
      <c r="W42" s="402"/>
      <c r="X42" s="402"/>
      <c r="Y42" s="313"/>
      <c r="Z42" s="313"/>
    </row>
    <row r="43" spans="3:26" ht="15.95" customHeight="1" x14ac:dyDescent="0.2"/>
    <row r="44" spans="3:26" ht="15.95" customHeight="1" x14ac:dyDescent="0.2"/>
    <row r="45" spans="3:26" ht="15.95" customHeight="1" x14ac:dyDescent="0.2"/>
    <row r="46" spans="3:26" ht="15.95" customHeight="1" x14ac:dyDescent="0.2"/>
    <row r="47" spans="3:26" ht="15.95" customHeight="1" x14ac:dyDescent="0.2"/>
    <row r="48" spans="3:26" ht="15.95" customHeight="1" x14ac:dyDescent="0.2"/>
    <row r="49" ht="15.95" customHeight="1" x14ac:dyDescent="0.2"/>
    <row r="50" ht="15.95" customHeight="1" x14ac:dyDescent="0.2"/>
    <row r="51" ht="15.95" customHeight="1" x14ac:dyDescent="0.2"/>
    <row r="52" ht="15.95" customHeight="1" x14ac:dyDescent="0.2"/>
  </sheetData>
  <customSheetViews>
    <customSheetView guid="{B2DDA8C4-3089-41F7-BA6E-A0E09596A2CA}" scale="80" showPageBreaks="1" fitToPage="1" printArea="1">
      <selection activeCell="B3" sqref="B3"/>
      <pageMargins left="0.75" right="1" top="0.85" bottom="0.8" header="0.5" footer="0.35"/>
      <printOptions horizontalCentered="1"/>
      <pageSetup scale="99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B3" sqref="B3"/>
      <pageMargins left="0.75" right="1" top="0.85" bottom="0.8" header="0.5" footer="0.35"/>
      <printOptions horizontalCentered="1"/>
      <pageSetup scale="98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3" sqref="B3"/>
      <pageMargins left="0.75" right="1" top="0.85" bottom="0.8" header="0.5" footer="0.35"/>
      <printOptions horizontalCentered="1"/>
      <pageSetup scale="98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3" sqref="B3"/>
      <pageMargins left="0.75" right="1" top="0.85" bottom="0.8" header="0.5" footer="0.35"/>
      <printOptions horizontalCentered="1"/>
      <pageSetup scale="98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3" sqref="B3"/>
      <pageMargins left="0.75" right="1" top="0.85" bottom="0.8" header="0.5" footer="0.35"/>
      <printOptions horizontalCentered="1"/>
      <pageSetup scale="99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7">
    <mergeCell ref="B20:G20"/>
    <mergeCell ref="D6:E6"/>
    <mergeCell ref="D7:E7"/>
    <mergeCell ref="D5:E5"/>
    <mergeCell ref="B14:G14"/>
    <mergeCell ref="B15:G15"/>
    <mergeCell ref="B17:G17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drawing r:id="rId7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0"/>
  <sheetViews>
    <sheetView zoomScale="70" zoomScaleNormal="70" workbookViewId="0"/>
  </sheetViews>
  <sheetFormatPr defaultRowHeight="12.75" x14ac:dyDescent="0.2"/>
  <cols>
    <col min="1" max="1" width="1.7109375" style="2" customWidth="1"/>
    <col min="2" max="4" width="4.7109375" style="2" customWidth="1"/>
    <col min="5" max="5" width="10" style="2" customWidth="1"/>
    <col min="6" max="6" width="11" style="2" customWidth="1"/>
    <col min="7" max="7" width="11.7109375" style="2" customWidth="1"/>
    <col min="8" max="8" width="10.7109375" style="2" customWidth="1"/>
    <col min="9" max="9" width="11.7109375" style="2" customWidth="1"/>
    <col min="10" max="10" width="9.140625" style="2"/>
    <col min="11" max="11" width="11.28515625" style="2" customWidth="1"/>
    <col min="12" max="12" width="2.7109375" style="2" customWidth="1"/>
    <col min="13" max="13" width="9.140625" style="2"/>
    <col min="14" max="14" width="2.7109375" style="2" customWidth="1"/>
    <col min="15" max="15" width="9.140625" style="2"/>
    <col min="16" max="16" width="2.7109375" style="2" customWidth="1"/>
    <col min="17" max="17" width="9.140625" style="2"/>
    <col min="18" max="18" width="2.7109375" style="2" customWidth="1"/>
    <col min="19" max="19" width="9.140625" style="2"/>
    <col min="20" max="20" width="2.7109375" style="2" customWidth="1"/>
    <col min="21" max="21" width="9.140625" style="2"/>
    <col min="22" max="22" width="2.7109375" style="2" customWidth="1"/>
    <col min="23" max="16384" width="9.140625" style="2"/>
  </cols>
  <sheetData>
    <row r="1" spans="2:11" ht="28.5" customHeight="1" x14ac:dyDescent="0.2"/>
    <row r="2" spans="2:11" ht="15.95" customHeight="1" x14ac:dyDescent="0.25">
      <c r="B2" s="353" t="s">
        <v>505</v>
      </c>
      <c r="C2" s="353"/>
      <c r="D2" s="353"/>
      <c r="E2" s="353"/>
      <c r="F2" s="353"/>
      <c r="G2" s="353"/>
      <c r="H2" s="353"/>
      <c r="I2" s="353"/>
      <c r="J2" s="353"/>
      <c r="K2" s="353"/>
    </row>
    <row r="3" spans="2:11" s="10" customFormat="1" ht="15.95" customHeight="1" x14ac:dyDescent="0.25"/>
    <row r="4" spans="2:11" s="10" customFormat="1" ht="15.95" customHeight="1" x14ac:dyDescent="0.25">
      <c r="B4" s="10" t="s">
        <v>1205</v>
      </c>
    </row>
    <row r="5" spans="2:11" s="10" customFormat="1" ht="15.95" customHeight="1" x14ac:dyDescent="0.25">
      <c r="B5" s="71" t="s">
        <v>1349</v>
      </c>
    </row>
    <row r="6" spans="2:11" s="10" customFormat="1" ht="15.95" customHeight="1" x14ac:dyDescent="0.25">
      <c r="B6" s="71" t="s">
        <v>1350</v>
      </c>
    </row>
    <row r="7" spans="2:11" s="10" customFormat="1" ht="15.95" customHeight="1" x14ac:dyDescent="0.25">
      <c r="B7" s="71" t="s">
        <v>1351</v>
      </c>
    </row>
    <row r="8" spans="2:11" s="10" customFormat="1" ht="15.95" customHeight="1" x14ac:dyDescent="0.25">
      <c r="B8" s="71" t="s">
        <v>1352</v>
      </c>
    </row>
    <row r="9" spans="2:11" s="10" customFormat="1" ht="15.95" customHeight="1" x14ac:dyDescent="0.25">
      <c r="B9" s="71" t="s">
        <v>1353</v>
      </c>
    </row>
    <row r="10" spans="2:11" s="10" customFormat="1" ht="15.95" customHeight="1" x14ac:dyDescent="0.25">
      <c r="B10" s="71" t="s">
        <v>1354</v>
      </c>
    </row>
    <row r="11" spans="2:11" s="10" customFormat="1" ht="15.95" customHeight="1" x14ac:dyDescent="0.25">
      <c r="B11" s="71" t="s">
        <v>1355</v>
      </c>
    </row>
    <row r="12" spans="2:11" s="10" customFormat="1" ht="15.95" customHeight="1" x14ac:dyDescent="0.25">
      <c r="B12" s="71" t="s">
        <v>1356</v>
      </c>
    </row>
    <row r="13" spans="2:11" s="10" customFormat="1" ht="15.95" customHeight="1" x14ac:dyDescent="0.25">
      <c r="B13" s="71" t="s">
        <v>1357</v>
      </c>
    </row>
    <row r="14" spans="2:11" s="10" customFormat="1" ht="15.95" customHeight="1" x14ac:dyDescent="0.25">
      <c r="B14" s="71" t="s">
        <v>1358</v>
      </c>
    </row>
    <row r="15" spans="2:11" s="10" customFormat="1" ht="15.95" customHeight="1" x14ac:dyDescent="0.25">
      <c r="B15" s="71" t="s">
        <v>1359</v>
      </c>
    </row>
    <row r="16" spans="2:11" s="10" customFormat="1" ht="15.95" customHeight="1" x14ac:dyDescent="0.25">
      <c r="B16" s="71" t="s">
        <v>1360</v>
      </c>
    </row>
    <row r="17" spans="2:4" s="10" customFormat="1" ht="15.95" customHeight="1" x14ac:dyDescent="0.25">
      <c r="B17" s="71" t="s">
        <v>1361</v>
      </c>
    </row>
    <row r="18" spans="2:4" s="10" customFormat="1" ht="15.95" customHeight="1" x14ac:dyDescent="0.25">
      <c r="B18" s="10" t="s">
        <v>209</v>
      </c>
    </row>
    <row r="19" spans="2:4" s="10" customFormat="1" ht="15.95" customHeight="1" x14ac:dyDescent="0.25">
      <c r="B19" s="10" t="s">
        <v>210</v>
      </c>
    </row>
    <row r="20" spans="2:4" s="10" customFormat="1" ht="15.95" customHeight="1" x14ac:dyDescent="0.25"/>
    <row r="21" spans="2:4" s="10" customFormat="1" ht="15.95" customHeight="1" x14ac:dyDescent="0.25">
      <c r="B21" s="10" t="s">
        <v>1204</v>
      </c>
    </row>
    <row r="22" spans="2:4" s="10" customFormat="1" ht="15.95" customHeight="1" x14ac:dyDescent="0.25">
      <c r="B22" s="11" t="s">
        <v>758</v>
      </c>
      <c r="C22" s="10" t="s">
        <v>1363</v>
      </c>
    </row>
    <row r="23" spans="2:4" s="10" customFormat="1" ht="5.0999999999999996" customHeight="1" x14ac:dyDescent="0.25">
      <c r="B23" s="11"/>
    </row>
    <row r="24" spans="2:4" s="10" customFormat="1" ht="15.95" customHeight="1" x14ac:dyDescent="0.25">
      <c r="C24" s="10" t="s">
        <v>147</v>
      </c>
      <c r="D24" s="10" t="s">
        <v>1362</v>
      </c>
    </row>
    <row r="25" spans="2:4" s="10" customFormat="1" ht="5.0999999999999996" customHeight="1" x14ac:dyDescent="0.25"/>
    <row r="26" spans="2:4" s="10" customFormat="1" ht="15.95" customHeight="1" x14ac:dyDescent="0.25">
      <c r="B26" s="10" t="s">
        <v>337</v>
      </c>
      <c r="D26" s="49" t="s">
        <v>695</v>
      </c>
    </row>
    <row r="27" spans="2:4" s="10" customFormat="1" ht="15.95" customHeight="1" x14ac:dyDescent="0.25">
      <c r="D27" s="10" t="s">
        <v>148</v>
      </c>
    </row>
    <row r="28" spans="2:4" s="10" customFormat="1" ht="5.0999999999999996" customHeight="1" x14ac:dyDescent="0.25"/>
    <row r="29" spans="2:4" s="10" customFormat="1" ht="15.95" customHeight="1" x14ac:dyDescent="0.25">
      <c r="D29" s="49" t="s">
        <v>696</v>
      </c>
    </row>
    <row r="30" spans="2:4" s="10" customFormat="1" ht="15.95" customHeight="1" x14ac:dyDescent="0.25">
      <c r="D30" s="10" t="s">
        <v>149</v>
      </c>
    </row>
    <row r="31" spans="2:4" s="10" customFormat="1" ht="5.0999999999999996" customHeight="1" x14ac:dyDescent="0.25"/>
    <row r="32" spans="2:4" s="10" customFormat="1" ht="15.95" customHeight="1" x14ac:dyDescent="0.25">
      <c r="D32" s="49" t="s">
        <v>697</v>
      </c>
    </row>
    <row r="33" spans="3:4" s="10" customFormat="1" ht="15.95" customHeight="1" x14ac:dyDescent="0.25">
      <c r="D33" s="10" t="s">
        <v>150</v>
      </c>
    </row>
    <row r="34" spans="3:4" s="10" customFormat="1" ht="9.9499999999999993" customHeight="1" x14ac:dyDescent="0.25"/>
    <row r="35" spans="3:4" s="10" customFormat="1" ht="15.95" customHeight="1" x14ac:dyDescent="0.25">
      <c r="C35" s="10" t="s">
        <v>151</v>
      </c>
      <c r="D35" s="10" t="s">
        <v>152</v>
      </c>
    </row>
    <row r="36" spans="3:4" s="10" customFormat="1" ht="5.0999999999999996" customHeight="1" x14ac:dyDescent="0.25"/>
    <row r="37" spans="3:4" s="10" customFormat="1" ht="15.95" customHeight="1" x14ac:dyDescent="0.25">
      <c r="D37" s="49" t="s">
        <v>1364</v>
      </c>
    </row>
    <row r="38" spans="3:4" s="10" customFormat="1" ht="15.95" customHeight="1" x14ac:dyDescent="0.25">
      <c r="D38" s="10" t="s">
        <v>1365</v>
      </c>
    </row>
    <row r="39" spans="3:4" s="10" customFormat="1" ht="5.0999999999999996" customHeight="1" x14ac:dyDescent="0.25"/>
    <row r="40" spans="3:4" s="10" customFormat="1" ht="15.95" customHeight="1" x14ac:dyDescent="0.25">
      <c r="D40" s="49" t="s">
        <v>698</v>
      </c>
    </row>
    <row r="41" spans="3:4" s="10" customFormat="1" ht="15.95" customHeight="1" x14ac:dyDescent="0.25">
      <c r="D41" s="10" t="s">
        <v>153</v>
      </c>
    </row>
    <row r="42" spans="3:4" s="10" customFormat="1" ht="5.0999999999999996" customHeight="1" x14ac:dyDescent="0.25"/>
    <row r="43" spans="3:4" s="10" customFormat="1" ht="15.95" customHeight="1" x14ac:dyDescent="0.25">
      <c r="D43" s="49" t="s">
        <v>1564</v>
      </c>
    </row>
    <row r="44" spans="3:4" ht="5.0999999999999996" customHeight="1" x14ac:dyDescent="0.2"/>
    <row r="45" spans="3:4" ht="15.95" customHeight="1" x14ac:dyDescent="0.2"/>
    <row r="46" spans="3:4" ht="15.95" customHeight="1" x14ac:dyDescent="0.2"/>
    <row r="47" spans="3:4" ht="15.95" customHeight="1" x14ac:dyDescent="0.2"/>
    <row r="48" spans="3:4" s="10" customFormat="1" ht="15.95" customHeight="1" x14ac:dyDescent="0.25"/>
    <row r="49" s="10" customFormat="1" ht="15.95" customHeight="1" x14ac:dyDescent="0.25"/>
    <row r="50" s="10" customFormat="1" ht="15.95" customHeight="1" x14ac:dyDescent="0.25"/>
    <row r="51" s="10" customFormat="1" ht="15.95" customHeight="1" x14ac:dyDescent="0.25"/>
    <row r="52" s="10" customFormat="1" ht="15.95" customHeight="1" x14ac:dyDescent="0.25"/>
    <row r="53" s="10" customFormat="1" ht="15.95" customHeight="1" x14ac:dyDescent="0.25"/>
    <row r="54" s="10" customFormat="1" ht="15.95" customHeight="1" x14ac:dyDescent="0.25"/>
    <row r="55" s="10" customFormat="1" ht="15" customHeight="1" x14ac:dyDescent="0.25"/>
    <row r="56" s="10" customFormat="1" ht="15" customHeight="1" x14ac:dyDescent="0.25"/>
    <row r="57" s="10" customFormat="1" ht="15" customHeight="1" x14ac:dyDescent="0.25"/>
    <row r="58" s="10" customFormat="1" ht="15" customHeight="1" x14ac:dyDescent="0.25"/>
    <row r="59" s="10" customFormat="1" ht="15" customHeight="1" x14ac:dyDescent="0.25"/>
    <row r="60" s="10" customFormat="1" ht="15" customHeight="1" x14ac:dyDescent="0.25"/>
  </sheetData>
  <customSheetViews>
    <customSheetView guid="{B2DDA8C4-3089-41F7-BA6E-A0E09596A2CA}" scale="80" showPageBreaks="1" fitToPage="1" printArea="1">
      <selection activeCell="B4" sqref="B4"/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AA17" sqref="AA17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4" sqref="B4"/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4" sqref="B4"/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4" sqref="B4"/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">
    <mergeCell ref="B2:K2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1"/>
  <sheetViews>
    <sheetView showGridLines="0" zoomScale="70" zoomScaleNormal="70" workbookViewId="0">
      <selection activeCell="B2" sqref="B2"/>
    </sheetView>
  </sheetViews>
  <sheetFormatPr defaultRowHeight="12.75" x14ac:dyDescent="0.2"/>
  <cols>
    <col min="1" max="1" width="1.7109375" style="2" customWidth="1"/>
    <col min="2" max="4" width="4.7109375" style="2" customWidth="1"/>
    <col min="5" max="5" width="9.140625" style="2"/>
    <col min="6" max="6" width="16.28515625" style="2" customWidth="1"/>
    <col min="7" max="7" width="4.7109375" style="2" customWidth="1"/>
    <col min="8" max="8" width="10.7109375" style="2" customWidth="1"/>
    <col min="9" max="9" width="12.7109375" style="2" customWidth="1"/>
    <col min="10" max="10" width="6.5703125" style="2" customWidth="1"/>
    <col min="11" max="11" width="4.5703125" style="2" customWidth="1"/>
    <col min="12" max="12" width="3.140625" style="2" customWidth="1"/>
    <col min="13" max="13" width="2.7109375" style="2" customWidth="1"/>
    <col min="14" max="14" width="8.7109375" style="2" customWidth="1"/>
    <col min="15" max="15" width="2.7109375" style="2" customWidth="1"/>
    <col min="16" max="16" width="8.7109375" style="312" customWidth="1"/>
    <col min="17" max="17" width="2.7109375" style="312" customWidth="1"/>
    <col min="18" max="18" width="8.7109375" style="407" hidden="1" customWidth="1"/>
    <col min="19" max="19" width="2.7109375" style="407" hidden="1" customWidth="1"/>
    <col min="20" max="20" width="8.7109375" style="407" hidden="1" customWidth="1"/>
    <col min="21" max="21" width="2.7109375" style="407" hidden="1" customWidth="1"/>
    <col min="22" max="22" width="8.7109375" style="407" hidden="1" customWidth="1"/>
    <col min="23" max="23" width="3.7109375" style="407" hidden="1" customWidth="1"/>
    <col min="24" max="24" width="8.28515625" style="407" hidden="1" customWidth="1"/>
    <col min="25" max="25" width="8.7109375" style="450" hidden="1" customWidth="1"/>
    <col min="26" max="26" width="2.7109375" style="450" hidden="1" customWidth="1"/>
    <col min="27" max="27" width="8.7109375" style="450" hidden="1" customWidth="1"/>
    <col min="28" max="28" width="2.7109375" style="407" hidden="1" customWidth="1"/>
    <col min="29" max="29" width="9.85546875" style="407" hidden="1" customWidth="1"/>
    <col min="30" max="30" width="2.7109375" style="407" hidden="1" customWidth="1"/>
    <col min="31" max="31" width="9.7109375" style="407" hidden="1" customWidth="1"/>
    <col min="32" max="32" width="0" style="407" hidden="1" customWidth="1"/>
    <col min="33" max="33" width="9.140625" style="312"/>
    <col min="34" max="16384" width="9.140625" style="2"/>
  </cols>
  <sheetData>
    <row r="1" spans="1:33" ht="20.25" customHeight="1" x14ac:dyDescent="0.2"/>
    <row r="2" spans="1:33" ht="15.95" customHeight="1" x14ac:dyDescent="0.25">
      <c r="B2" s="10" t="s">
        <v>638</v>
      </c>
    </row>
    <row r="3" spans="1:33" s="10" customFormat="1" ht="15.95" customHeight="1" x14ac:dyDescent="0.25">
      <c r="C3" s="10" t="s">
        <v>154</v>
      </c>
      <c r="D3" s="10" t="s">
        <v>155</v>
      </c>
      <c r="P3" s="313"/>
      <c r="Q3" s="313"/>
      <c r="R3" s="402"/>
      <c r="S3" s="402"/>
      <c r="T3" s="402"/>
      <c r="U3" s="402"/>
      <c r="V3" s="402"/>
      <c r="W3" s="402"/>
      <c r="X3" s="402"/>
      <c r="Y3" s="403"/>
      <c r="Z3" s="403"/>
      <c r="AA3" s="403"/>
      <c r="AB3" s="402"/>
      <c r="AC3" s="402"/>
      <c r="AD3" s="402"/>
      <c r="AE3" s="402"/>
      <c r="AF3" s="402"/>
      <c r="AG3" s="313"/>
    </row>
    <row r="4" spans="1:33" s="10" customFormat="1" ht="5.0999999999999996" customHeight="1" x14ac:dyDescent="0.25">
      <c r="P4" s="313"/>
      <c r="Q4" s="313"/>
      <c r="R4" s="402"/>
      <c r="S4" s="402"/>
      <c r="T4" s="402"/>
      <c r="U4" s="402"/>
      <c r="V4" s="402"/>
      <c r="W4" s="402"/>
      <c r="X4" s="402"/>
      <c r="Y4" s="403"/>
      <c r="Z4" s="403"/>
      <c r="AA4" s="403"/>
      <c r="AB4" s="402"/>
      <c r="AC4" s="402"/>
      <c r="AD4" s="402"/>
      <c r="AE4" s="402"/>
      <c r="AF4" s="402"/>
      <c r="AG4" s="313"/>
    </row>
    <row r="5" spans="1:33" s="10" customFormat="1" ht="15.95" customHeight="1" x14ac:dyDescent="0.25">
      <c r="D5" s="49" t="s">
        <v>1565</v>
      </c>
      <c r="P5" s="313"/>
      <c r="Q5" s="313"/>
      <c r="R5" s="402"/>
      <c r="S5" s="402"/>
      <c r="T5" s="402"/>
      <c r="U5" s="402"/>
      <c r="V5" s="402"/>
      <c r="W5" s="402"/>
      <c r="X5" s="402"/>
      <c r="Y5" s="403"/>
      <c r="Z5" s="403"/>
      <c r="AA5" s="403"/>
      <c r="AB5" s="402"/>
      <c r="AC5" s="402"/>
      <c r="AD5" s="402"/>
      <c r="AE5" s="402"/>
      <c r="AF5" s="402"/>
      <c r="AG5" s="313"/>
    </row>
    <row r="6" spans="1:33" s="10" customFormat="1" ht="15.95" customHeight="1" x14ac:dyDescent="0.25">
      <c r="D6" s="10" t="s">
        <v>156</v>
      </c>
      <c r="P6" s="313"/>
      <c r="Q6" s="313"/>
      <c r="R6" s="402"/>
      <c r="S6" s="402"/>
      <c r="T6" s="402"/>
      <c r="U6" s="402"/>
      <c r="V6" s="402"/>
      <c r="W6" s="402"/>
      <c r="X6" s="402"/>
      <c r="Y6" s="403"/>
      <c r="Z6" s="403"/>
      <c r="AA6" s="403"/>
      <c r="AB6" s="402"/>
      <c r="AC6" s="402"/>
      <c r="AD6" s="402"/>
      <c r="AE6" s="402"/>
      <c r="AF6" s="402"/>
      <c r="AG6" s="313"/>
    </row>
    <row r="7" spans="1:33" s="10" customFormat="1" ht="5.0999999999999996" customHeight="1" x14ac:dyDescent="0.25">
      <c r="P7" s="313"/>
      <c r="Q7" s="313"/>
      <c r="R7" s="402"/>
      <c r="S7" s="402"/>
      <c r="T7" s="402"/>
      <c r="U7" s="402"/>
      <c r="V7" s="402"/>
      <c r="W7" s="402"/>
      <c r="X7" s="402"/>
      <c r="Y7" s="403"/>
      <c r="Z7" s="403"/>
      <c r="AA7" s="403"/>
      <c r="AB7" s="402"/>
      <c r="AC7" s="402"/>
      <c r="AD7" s="402"/>
      <c r="AE7" s="402"/>
      <c r="AF7" s="402"/>
      <c r="AG7" s="313"/>
    </row>
    <row r="8" spans="1:33" s="10" customFormat="1" ht="15.95" customHeight="1" x14ac:dyDescent="0.25">
      <c r="D8" s="49" t="s">
        <v>732</v>
      </c>
      <c r="P8" s="313"/>
      <c r="Q8" s="313"/>
      <c r="R8" s="402"/>
      <c r="S8" s="402"/>
      <c r="T8" s="402"/>
      <c r="U8" s="402"/>
      <c r="V8" s="402"/>
      <c r="W8" s="402"/>
      <c r="X8" s="402"/>
      <c r="Y8" s="403"/>
      <c r="Z8" s="403"/>
      <c r="AA8" s="403"/>
      <c r="AB8" s="402"/>
      <c r="AC8" s="402"/>
      <c r="AD8" s="402"/>
      <c r="AE8" s="402"/>
      <c r="AF8" s="402"/>
      <c r="AG8" s="313"/>
    </row>
    <row r="9" spans="1:33" s="10" customFormat="1" ht="15.95" customHeight="1" x14ac:dyDescent="0.25">
      <c r="D9" s="10" t="s">
        <v>157</v>
      </c>
      <c r="P9" s="313"/>
      <c r="Q9" s="313"/>
      <c r="R9" s="402"/>
      <c r="S9" s="402"/>
      <c r="T9" s="402"/>
      <c r="U9" s="402"/>
      <c r="V9" s="402"/>
      <c r="W9" s="402"/>
      <c r="X9" s="402"/>
      <c r="Y9" s="403"/>
      <c r="Z9" s="403"/>
      <c r="AA9" s="403"/>
      <c r="AB9" s="402"/>
      <c r="AC9" s="402"/>
      <c r="AD9" s="402"/>
      <c r="AE9" s="402"/>
      <c r="AF9" s="402"/>
      <c r="AG9" s="313"/>
    </row>
    <row r="10" spans="1:33" s="10" customFormat="1" ht="6" customHeight="1" x14ac:dyDescent="0.25">
      <c r="P10" s="313"/>
      <c r="Q10" s="313"/>
      <c r="R10" s="402"/>
      <c r="S10" s="402"/>
      <c r="T10" s="402"/>
      <c r="U10" s="402"/>
      <c r="V10" s="402"/>
      <c r="W10" s="402"/>
      <c r="X10" s="402"/>
      <c r="Y10" s="403"/>
      <c r="Z10" s="403"/>
      <c r="AA10" s="403"/>
      <c r="AB10" s="402"/>
      <c r="AC10" s="402"/>
      <c r="AD10" s="402"/>
      <c r="AE10" s="402"/>
      <c r="AF10" s="402"/>
      <c r="AG10" s="313"/>
    </row>
    <row r="11" spans="1:33" s="10" customFormat="1" ht="15.95" customHeight="1" x14ac:dyDescent="0.25">
      <c r="A11" s="10">
        <v>2</v>
      </c>
      <c r="B11" s="11" t="s">
        <v>759</v>
      </c>
      <c r="C11" s="71" t="s">
        <v>158</v>
      </c>
      <c r="P11" s="313"/>
      <c r="Q11" s="313"/>
      <c r="R11" s="402"/>
      <c r="S11" s="402"/>
      <c r="T11" s="402"/>
      <c r="U11" s="402"/>
      <c r="V11" s="402"/>
      <c r="W11" s="402"/>
      <c r="X11" s="402"/>
      <c r="Y11" s="403"/>
      <c r="Z11" s="403"/>
      <c r="AA11" s="403"/>
      <c r="AB11" s="402"/>
      <c r="AC11" s="402"/>
      <c r="AD11" s="402"/>
      <c r="AE11" s="402"/>
      <c r="AF11" s="402"/>
      <c r="AG11" s="313"/>
    </row>
    <row r="12" spans="1:33" s="10" customFormat="1" ht="15.95" customHeight="1" x14ac:dyDescent="0.25">
      <c r="C12" s="71" t="s">
        <v>211</v>
      </c>
      <c r="P12" s="313"/>
      <c r="Q12" s="313"/>
      <c r="R12" s="402"/>
      <c r="S12" s="402"/>
      <c r="T12" s="402"/>
      <c r="U12" s="402"/>
      <c r="V12" s="402"/>
      <c r="W12" s="402"/>
      <c r="X12" s="402"/>
      <c r="Y12" s="403"/>
      <c r="Z12" s="403"/>
      <c r="AA12" s="403"/>
      <c r="AB12" s="402"/>
      <c r="AC12" s="402"/>
      <c r="AD12" s="402"/>
      <c r="AE12" s="402"/>
      <c r="AF12" s="402"/>
      <c r="AG12" s="313"/>
    </row>
    <row r="13" spans="1:33" s="10" customFormat="1" ht="15.95" customHeight="1" x14ac:dyDescent="0.25">
      <c r="C13" s="71" t="s">
        <v>212</v>
      </c>
      <c r="P13" s="313"/>
      <c r="Q13" s="313"/>
      <c r="R13" s="402"/>
      <c r="S13" s="402"/>
      <c r="T13" s="402"/>
      <c r="U13" s="402"/>
      <c r="V13" s="402"/>
      <c r="W13" s="402"/>
      <c r="X13" s="402"/>
      <c r="Y13" s="403"/>
      <c r="Z13" s="403"/>
      <c r="AA13" s="403"/>
      <c r="AB13" s="402"/>
      <c r="AC13" s="402"/>
      <c r="AD13" s="402"/>
      <c r="AE13" s="402"/>
      <c r="AF13" s="402"/>
      <c r="AG13" s="313"/>
    </row>
    <row r="14" spans="1:33" s="10" customFormat="1" ht="15.95" customHeight="1" x14ac:dyDescent="0.25">
      <c r="C14" s="71" t="s">
        <v>213</v>
      </c>
      <c r="P14" s="313"/>
      <c r="Q14" s="313"/>
      <c r="R14" s="402"/>
      <c r="S14" s="402"/>
      <c r="T14" s="402"/>
      <c r="U14" s="402"/>
      <c r="V14" s="402"/>
      <c r="W14" s="402"/>
      <c r="X14" s="402"/>
      <c r="Y14" s="403"/>
      <c r="Z14" s="403"/>
      <c r="AA14" s="403"/>
      <c r="AB14" s="402"/>
      <c r="AC14" s="402"/>
      <c r="AD14" s="402"/>
      <c r="AE14" s="402"/>
      <c r="AF14" s="402"/>
      <c r="AG14" s="313"/>
    </row>
    <row r="15" spans="1:33" s="10" customFormat="1" ht="15.95" customHeight="1" x14ac:dyDescent="0.25">
      <c r="C15" s="10" t="s">
        <v>214</v>
      </c>
      <c r="P15" s="313"/>
      <c r="Q15" s="313"/>
      <c r="R15" s="402"/>
      <c r="S15" s="402"/>
      <c r="T15" s="402"/>
      <c r="U15" s="402"/>
      <c r="V15" s="402"/>
      <c r="W15" s="402"/>
      <c r="X15" s="402"/>
      <c r="Y15" s="403"/>
      <c r="Z15" s="403"/>
      <c r="AA15" s="403"/>
      <c r="AB15" s="402"/>
      <c r="AC15" s="402"/>
      <c r="AD15" s="402"/>
      <c r="AE15" s="402"/>
      <c r="AF15" s="402"/>
      <c r="AG15" s="313"/>
    </row>
    <row r="16" spans="1:33" s="10" customFormat="1" ht="15.95" customHeight="1" x14ac:dyDescent="0.25">
      <c r="C16" s="10" t="s">
        <v>215</v>
      </c>
      <c r="P16" s="313"/>
      <c r="Q16" s="313"/>
      <c r="R16" s="402"/>
      <c r="S16" s="402"/>
      <c r="T16" s="402"/>
      <c r="U16" s="402"/>
      <c r="V16" s="402"/>
      <c r="W16" s="402"/>
      <c r="X16" s="402"/>
      <c r="Y16" s="403"/>
      <c r="Z16" s="403"/>
      <c r="AA16" s="403"/>
      <c r="AB16" s="402"/>
      <c r="AC16" s="402"/>
      <c r="AD16" s="402"/>
      <c r="AE16" s="402"/>
      <c r="AF16" s="402"/>
      <c r="AG16" s="313"/>
    </row>
    <row r="17" spans="2:33" s="10" customFormat="1" ht="15.95" customHeight="1" x14ac:dyDescent="0.25">
      <c r="C17" s="10" t="s">
        <v>216</v>
      </c>
      <c r="P17" s="313"/>
      <c r="Q17" s="313"/>
      <c r="R17" s="402"/>
      <c r="S17" s="402"/>
      <c r="T17" s="402"/>
      <c r="U17" s="402"/>
      <c r="V17" s="402"/>
      <c r="W17" s="402"/>
      <c r="X17" s="402"/>
      <c r="Y17" s="403"/>
      <c r="Z17" s="403"/>
      <c r="AA17" s="403"/>
      <c r="AB17" s="402"/>
      <c r="AC17" s="402"/>
      <c r="AD17" s="402"/>
      <c r="AE17" s="402"/>
      <c r="AF17" s="402"/>
      <c r="AG17" s="313"/>
    </row>
    <row r="18" spans="2:33" s="10" customFormat="1" ht="15.95" customHeight="1" x14ac:dyDescent="0.25">
      <c r="C18" s="10" t="s">
        <v>217</v>
      </c>
      <c r="P18" s="313"/>
      <c r="Q18" s="313"/>
      <c r="R18" s="402"/>
      <c r="S18" s="402"/>
      <c r="T18" s="402"/>
      <c r="U18" s="402"/>
      <c r="V18" s="402"/>
      <c r="W18" s="402"/>
      <c r="X18" s="402"/>
      <c r="Y18" s="403"/>
      <c r="Z18" s="403"/>
      <c r="AA18" s="403"/>
      <c r="AB18" s="402"/>
      <c r="AC18" s="402"/>
      <c r="AD18" s="402"/>
      <c r="AE18" s="402"/>
      <c r="AF18" s="402"/>
      <c r="AG18" s="313"/>
    </row>
    <row r="19" spans="2:33" s="10" customFormat="1" ht="9.75" customHeight="1" x14ac:dyDescent="0.25">
      <c r="P19" s="313"/>
      <c r="Q19" s="313"/>
      <c r="R19" s="402"/>
      <c r="S19" s="402"/>
      <c r="T19" s="402"/>
      <c r="U19" s="402"/>
      <c r="V19" s="402"/>
      <c r="W19" s="402"/>
      <c r="X19" s="402"/>
      <c r="Y19" s="403"/>
      <c r="Z19" s="403"/>
      <c r="AA19" s="403"/>
      <c r="AB19" s="402"/>
      <c r="AC19" s="402"/>
      <c r="AD19" s="402"/>
      <c r="AE19" s="402"/>
      <c r="AF19" s="402"/>
      <c r="AG19" s="313"/>
    </row>
    <row r="20" spans="2:33" s="10" customFormat="1" ht="15.95" customHeight="1" x14ac:dyDescent="0.25">
      <c r="B20" s="10" t="s">
        <v>1206</v>
      </c>
      <c r="P20" s="313"/>
      <c r="Q20" s="313"/>
      <c r="R20" s="402"/>
      <c r="S20" s="402"/>
      <c r="T20" s="402"/>
      <c r="U20" s="402"/>
      <c r="V20" s="402"/>
      <c r="W20" s="402"/>
      <c r="X20" s="402"/>
      <c r="Y20" s="403"/>
      <c r="Z20" s="403"/>
      <c r="AA20" s="403"/>
      <c r="AB20" s="402"/>
      <c r="AC20" s="402"/>
      <c r="AD20" s="402"/>
      <c r="AE20" s="402"/>
      <c r="AF20" s="402"/>
      <c r="AG20" s="313"/>
    </row>
    <row r="21" spans="2:33" s="10" customFormat="1" ht="15.95" customHeight="1" x14ac:dyDescent="0.25">
      <c r="B21" s="71" t="s">
        <v>218</v>
      </c>
      <c r="P21" s="313"/>
      <c r="Q21" s="313"/>
      <c r="R21" s="402"/>
      <c r="S21" s="402"/>
      <c r="T21" s="402"/>
      <c r="U21" s="402"/>
      <c r="V21" s="402"/>
      <c r="W21" s="402"/>
      <c r="X21" s="402"/>
      <c r="Y21" s="403"/>
      <c r="Z21" s="403"/>
      <c r="AA21" s="403"/>
      <c r="AB21" s="402"/>
      <c r="AC21" s="402"/>
      <c r="AD21" s="402"/>
      <c r="AE21" s="402"/>
      <c r="AF21" s="402"/>
      <c r="AG21" s="313"/>
    </row>
    <row r="22" spans="2:33" s="10" customFormat="1" ht="15.95" customHeight="1" x14ac:dyDescent="0.25">
      <c r="B22" s="71" t="s">
        <v>219</v>
      </c>
      <c r="P22" s="313"/>
      <c r="Q22" s="313"/>
      <c r="R22" s="402"/>
      <c r="S22" s="402"/>
      <c r="T22" s="402"/>
      <c r="U22" s="402"/>
      <c r="V22" s="402"/>
      <c r="W22" s="402"/>
      <c r="X22" s="402"/>
      <c r="Y22" s="403"/>
      <c r="Z22" s="403"/>
      <c r="AA22" s="403"/>
      <c r="AB22" s="402"/>
      <c r="AC22" s="402"/>
      <c r="AD22" s="402"/>
      <c r="AE22" s="402"/>
      <c r="AF22" s="402"/>
      <c r="AG22" s="313"/>
    </row>
    <row r="23" spans="2:33" s="10" customFormat="1" ht="15.95" customHeight="1" x14ac:dyDescent="0.25">
      <c r="B23" s="71" t="s">
        <v>220</v>
      </c>
      <c r="P23" s="313"/>
      <c r="Q23" s="313"/>
      <c r="R23" s="402"/>
      <c r="S23" s="402"/>
      <c r="T23" s="402"/>
      <c r="U23" s="402"/>
      <c r="V23" s="402"/>
      <c r="W23" s="402"/>
      <c r="X23" s="402"/>
      <c r="Y23" s="402"/>
      <c r="Z23" s="402"/>
      <c r="AA23" s="403"/>
      <c r="AB23" s="402"/>
      <c r="AC23" s="402"/>
      <c r="AD23" s="402"/>
      <c r="AE23" s="402"/>
      <c r="AF23" s="402"/>
      <c r="AG23" s="313"/>
    </row>
    <row r="24" spans="2:33" s="10" customFormat="1" ht="15.95" customHeight="1" x14ac:dyDescent="0.25">
      <c r="B24" s="71" t="s">
        <v>221</v>
      </c>
      <c r="P24" s="313"/>
      <c r="Q24" s="313"/>
      <c r="R24" s="402"/>
      <c r="S24" s="402"/>
      <c r="T24" s="402"/>
      <c r="U24" s="402"/>
      <c r="V24" s="402"/>
      <c r="W24" s="402"/>
      <c r="X24" s="402"/>
      <c r="Y24" s="403"/>
      <c r="Z24" s="403"/>
      <c r="AA24" s="403"/>
      <c r="AB24" s="402"/>
      <c r="AC24" s="402"/>
      <c r="AD24" s="402"/>
      <c r="AE24" s="402"/>
      <c r="AF24" s="402"/>
      <c r="AG24" s="313"/>
    </row>
    <row r="25" spans="2:33" s="10" customFormat="1" ht="15.95" customHeight="1" x14ac:dyDescent="0.25">
      <c r="B25" s="71" t="s">
        <v>222</v>
      </c>
      <c r="P25" s="313"/>
      <c r="Q25" s="313"/>
      <c r="R25" s="402"/>
      <c r="S25" s="402"/>
      <c r="T25" s="402"/>
      <c r="U25" s="402"/>
      <c r="V25" s="402"/>
      <c r="W25" s="402"/>
      <c r="X25" s="402"/>
      <c r="Y25" s="403"/>
      <c r="Z25" s="403"/>
      <c r="AA25" s="403"/>
      <c r="AB25" s="402"/>
      <c r="AC25" s="402"/>
      <c r="AD25" s="402"/>
      <c r="AE25" s="402"/>
      <c r="AF25" s="402"/>
      <c r="AG25" s="313"/>
    </row>
    <row r="26" spans="2:33" s="10" customFormat="1" ht="15.95" customHeight="1" x14ac:dyDescent="0.25">
      <c r="B26" s="71" t="s">
        <v>223</v>
      </c>
      <c r="P26" s="313"/>
      <c r="Q26" s="313"/>
      <c r="R26" s="402"/>
      <c r="S26" s="402"/>
      <c r="T26" s="402"/>
      <c r="U26" s="402"/>
      <c r="V26" s="402"/>
      <c r="W26" s="402"/>
      <c r="X26" s="402"/>
      <c r="Y26" s="403"/>
      <c r="Z26" s="403"/>
      <c r="AA26" s="403"/>
      <c r="AB26" s="402"/>
      <c r="AC26" s="402"/>
      <c r="AD26" s="402"/>
      <c r="AE26" s="402"/>
      <c r="AF26" s="402"/>
      <c r="AG26" s="313"/>
    </row>
    <row r="27" spans="2:33" s="10" customFormat="1" ht="15.95" customHeight="1" x14ac:dyDescent="0.25">
      <c r="B27" s="10" t="s">
        <v>224</v>
      </c>
      <c r="P27" s="313"/>
      <c r="Q27" s="313"/>
      <c r="R27" s="402"/>
      <c r="S27" s="402"/>
      <c r="T27" s="402"/>
      <c r="U27" s="402"/>
      <c r="V27" s="402"/>
      <c r="W27" s="402"/>
      <c r="X27" s="402"/>
      <c r="Y27" s="403"/>
      <c r="Z27" s="403"/>
      <c r="AA27" s="403"/>
      <c r="AB27" s="402"/>
      <c r="AC27" s="402"/>
      <c r="AD27" s="402"/>
      <c r="AE27" s="402"/>
      <c r="AF27" s="402"/>
      <c r="AG27" s="313"/>
    </row>
    <row r="28" spans="2:33" s="10" customFormat="1" ht="15.95" customHeight="1" x14ac:dyDescent="0.25">
      <c r="B28" s="10" t="s">
        <v>225</v>
      </c>
      <c r="P28" s="313"/>
      <c r="Q28" s="313"/>
      <c r="R28" s="402"/>
      <c r="S28" s="402"/>
      <c r="T28" s="402"/>
      <c r="U28" s="402"/>
      <c r="V28" s="402"/>
      <c r="W28" s="402"/>
      <c r="X28" s="402"/>
      <c r="Y28" s="403"/>
      <c r="Z28" s="403"/>
      <c r="AA28" s="403"/>
      <c r="AB28" s="402"/>
      <c r="AC28" s="402"/>
      <c r="AD28" s="402"/>
      <c r="AE28" s="402"/>
      <c r="AF28" s="402"/>
      <c r="AG28" s="313"/>
    </row>
    <row r="29" spans="2:33" s="10" customFormat="1" ht="15.95" customHeight="1" x14ac:dyDescent="0.25">
      <c r="B29" s="10" t="s">
        <v>226</v>
      </c>
      <c r="P29" s="313"/>
      <c r="Q29" s="313"/>
      <c r="R29" s="402"/>
      <c r="S29" s="402"/>
      <c r="T29" s="402"/>
      <c r="U29" s="402"/>
      <c r="V29" s="402"/>
      <c r="W29" s="402"/>
      <c r="X29" s="402"/>
      <c r="Y29" s="403"/>
      <c r="Z29" s="403"/>
      <c r="AA29" s="403"/>
      <c r="AB29" s="402"/>
      <c r="AC29" s="402"/>
      <c r="AD29" s="402"/>
      <c r="AE29" s="402"/>
      <c r="AF29" s="402"/>
      <c r="AG29" s="313"/>
    </row>
    <row r="30" spans="2:33" s="10" customFormat="1" ht="15.95" customHeight="1" x14ac:dyDescent="0.25">
      <c r="B30" s="10" t="s">
        <v>227</v>
      </c>
      <c r="P30" s="313"/>
      <c r="Q30" s="313"/>
      <c r="R30" s="402"/>
      <c r="S30" s="402"/>
      <c r="T30" s="402"/>
      <c r="U30" s="402"/>
      <c r="V30" s="402"/>
      <c r="W30" s="402"/>
      <c r="X30" s="402"/>
      <c r="Y30" s="402"/>
      <c r="Z30" s="402"/>
      <c r="AA30" s="402"/>
      <c r="AB30" s="402"/>
      <c r="AC30" s="403"/>
      <c r="AD30" s="466" t="s">
        <v>1681</v>
      </c>
      <c r="AE30" s="403"/>
      <c r="AF30" s="402"/>
      <c r="AG30" s="218"/>
    </row>
    <row r="31" spans="2:33" s="10" customFormat="1" ht="9.75" customHeight="1" x14ac:dyDescent="0.25">
      <c r="P31" s="313"/>
      <c r="Q31" s="313"/>
      <c r="R31" s="402"/>
      <c r="S31" s="402"/>
      <c r="T31" s="402"/>
      <c r="U31" s="402"/>
      <c r="V31" s="402"/>
      <c r="W31" s="402"/>
      <c r="X31" s="402"/>
      <c r="Y31" s="402"/>
      <c r="Z31" s="402"/>
      <c r="AA31" s="402"/>
      <c r="AB31" s="402"/>
      <c r="AC31" s="403"/>
      <c r="AD31" s="466"/>
      <c r="AE31" s="403"/>
      <c r="AF31" s="402"/>
      <c r="AG31" s="218"/>
    </row>
    <row r="32" spans="2:33" s="10" customFormat="1" ht="15.95" customHeight="1" x14ac:dyDescent="0.25">
      <c r="B32" s="10" t="s">
        <v>1207</v>
      </c>
      <c r="P32" s="313"/>
      <c r="Q32" s="313"/>
      <c r="R32" s="402"/>
      <c r="S32" s="412" t="s">
        <v>794</v>
      </c>
      <c r="T32" s="402"/>
      <c r="U32" s="412" t="s">
        <v>1427</v>
      </c>
      <c r="V32" s="402"/>
      <c r="W32" s="402"/>
      <c r="X32" s="402"/>
      <c r="Y32" s="402"/>
      <c r="Z32" s="402"/>
      <c r="AA32" s="402"/>
      <c r="AB32" s="402"/>
      <c r="AC32" s="467" t="s">
        <v>1148</v>
      </c>
      <c r="AD32" s="402"/>
      <c r="AE32" s="467" t="s">
        <v>1149</v>
      </c>
      <c r="AF32" s="402"/>
      <c r="AG32" s="218"/>
    </row>
    <row r="33" spans="2:33" s="10" customFormat="1" ht="15.95" customHeight="1" x14ac:dyDescent="0.25">
      <c r="B33" s="11" t="s">
        <v>758</v>
      </c>
      <c r="C33" s="10" t="s">
        <v>1146</v>
      </c>
      <c r="G33" s="14" t="s">
        <v>111</v>
      </c>
      <c r="H33" s="10" t="str">
        <f>CONCATENATE(TEXT(R33,"$#,##0"),S33,TEXT(T33,"$#,##0"),U33,TEXT(V33,"$#,##0"),W33,TEXT(X33,"$#,##0"),)</f>
        <v>$5,210 + $28,100 + $7,152 = $40,462</v>
      </c>
      <c r="K33" s="28"/>
      <c r="P33" s="313"/>
      <c r="Q33" s="313"/>
      <c r="R33" s="410">
        <f>AC33</f>
        <v>5210</v>
      </c>
      <c r="S33" s="410" t="s">
        <v>1588</v>
      </c>
      <c r="T33" s="410">
        <f>AC34</f>
        <v>28100</v>
      </c>
      <c r="U33" s="410" t="s">
        <v>1588</v>
      </c>
      <c r="V33" s="410">
        <f>AC35</f>
        <v>7152</v>
      </c>
      <c r="W33" s="410" t="s">
        <v>1587</v>
      </c>
      <c r="X33" s="410">
        <f>SUM(R33+T33+V33)</f>
        <v>40462</v>
      </c>
      <c r="Y33" s="402"/>
      <c r="Z33" s="402"/>
      <c r="AA33" s="402"/>
      <c r="AB33" s="405" t="s">
        <v>363</v>
      </c>
      <c r="AC33" s="409">
        <v>5210</v>
      </c>
      <c r="AD33" s="402"/>
      <c r="AE33" s="409">
        <v>4125</v>
      </c>
      <c r="AF33" s="402"/>
      <c r="AG33" s="218"/>
    </row>
    <row r="34" spans="2:33" s="10" customFormat="1" ht="15.95" customHeight="1" x14ac:dyDescent="0.25">
      <c r="B34" s="10" t="s">
        <v>337</v>
      </c>
      <c r="C34" s="10" t="s">
        <v>1147</v>
      </c>
      <c r="G34" s="14" t="s">
        <v>111</v>
      </c>
      <c r="H34" s="28">
        <f>AC41</f>
        <v>19655</v>
      </c>
      <c r="J34" s="28"/>
      <c r="P34" s="313"/>
      <c r="Q34" s="313"/>
      <c r="R34" s="410">
        <f>AC41</f>
        <v>19655</v>
      </c>
      <c r="S34" s="402"/>
      <c r="T34" s="402"/>
      <c r="U34" s="402"/>
      <c r="V34" s="402"/>
      <c r="W34" s="402"/>
      <c r="X34" s="402"/>
      <c r="Y34" s="402"/>
      <c r="Z34" s="402"/>
      <c r="AA34" s="402"/>
      <c r="AB34" s="405" t="s">
        <v>792</v>
      </c>
      <c r="AC34" s="409">
        <v>28100</v>
      </c>
      <c r="AD34" s="402"/>
      <c r="AE34" s="409">
        <v>32891</v>
      </c>
      <c r="AF34" s="402"/>
      <c r="AG34" s="218"/>
    </row>
    <row r="35" spans="2:33" s="10" customFormat="1" ht="15.95" customHeight="1" x14ac:dyDescent="0.25">
      <c r="C35" s="10" t="s">
        <v>1144</v>
      </c>
      <c r="G35" s="14" t="s">
        <v>111</v>
      </c>
      <c r="H35" s="10" t="str">
        <f>CONCATENATE(TEXT(R35,"$#,##0"),S35,TEXT(T35,"$#,##0"),U35,TEXT(V35,"$#,##0"),W35,TEXT(X35,"$#,##0"),)</f>
        <v>$4,125 + $32,891 + $7,853 = $44,869</v>
      </c>
      <c r="K35" s="28"/>
      <c r="P35" s="313"/>
      <c r="Q35" s="313"/>
      <c r="R35" s="410">
        <f>AE33</f>
        <v>4125</v>
      </c>
      <c r="S35" s="410" t="s">
        <v>1588</v>
      </c>
      <c r="T35" s="410">
        <f>AE34</f>
        <v>32891</v>
      </c>
      <c r="U35" s="410" t="s">
        <v>1588</v>
      </c>
      <c r="V35" s="410">
        <f>AE35</f>
        <v>7853</v>
      </c>
      <c r="W35" s="410" t="s">
        <v>1587</v>
      </c>
      <c r="X35" s="410">
        <f>SUM(R35+T35+V35)</f>
        <v>44869</v>
      </c>
      <c r="Y35" s="402"/>
      <c r="Z35" s="402"/>
      <c r="AA35" s="402"/>
      <c r="AB35" s="405" t="s">
        <v>375</v>
      </c>
      <c r="AC35" s="409">
        <v>7152</v>
      </c>
      <c r="AD35" s="402"/>
      <c r="AE35" s="409">
        <v>7853</v>
      </c>
      <c r="AF35" s="402"/>
      <c r="AG35" s="218"/>
    </row>
    <row r="36" spans="2:33" s="10" customFormat="1" ht="15.95" customHeight="1" x14ac:dyDescent="0.25">
      <c r="C36" s="10" t="s">
        <v>1145</v>
      </c>
      <c r="G36" s="14" t="s">
        <v>111</v>
      </c>
      <c r="H36" s="28">
        <f>AE41</f>
        <v>35483</v>
      </c>
      <c r="P36" s="313"/>
      <c r="Q36" s="313"/>
      <c r="R36" s="410">
        <f>AE41</f>
        <v>35483</v>
      </c>
      <c r="S36" s="402"/>
      <c r="T36" s="402"/>
      <c r="U36" s="402"/>
      <c r="V36" s="402"/>
      <c r="W36" s="402"/>
      <c r="X36" s="402"/>
      <c r="Y36" s="402"/>
      <c r="Z36" s="402"/>
      <c r="AA36" s="402"/>
      <c r="AB36" s="405" t="s">
        <v>1422</v>
      </c>
      <c r="AC36" s="409">
        <v>281152</v>
      </c>
      <c r="AD36" s="402"/>
      <c r="AE36" s="409">
        <v>285130</v>
      </c>
      <c r="AF36" s="402"/>
      <c r="AG36" s="218"/>
    </row>
    <row r="37" spans="2:33" s="10" customFormat="1" ht="4.5" customHeight="1" x14ac:dyDescent="0.25">
      <c r="P37" s="313"/>
      <c r="Q37" s="313"/>
      <c r="R37" s="402"/>
      <c r="S37" s="402"/>
      <c r="T37" s="402"/>
      <c r="U37" s="402"/>
      <c r="V37" s="402"/>
      <c r="W37" s="402"/>
      <c r="X37" s="402"/>
      <c r="Y37" s="402"/>
      <c r="Z37" s="402"/>
      <c r="AA37" s="402"/>
      <c r="AB37" s="402"/>
      <c r="AC37" s="402"/>
      <c r="AD37" s="402"/>
      <c r="AE37" s="402"/>
      <c r="AF37" s="402"/>
      <c r="AG37" s="218"/>
    </row>
    <row r="38" spans="2:33" s="10" customFormat="1" ht="15.95" customHeight="1" x14ac:dyDescent="0.25">
      <c r="C38" s="71" t="str">
        <f>CONCATENATE("Agency Rent-A-Car reported a current ratio of ",TEXT(V38,"#,##0.00")," (",TEXT(R38,"$#,##0"),S38,TEXT(T38,"$#,##0"),") in ")</f>
        <v xml:space="preserve">Agency Rent-A-Car reported a current ratio of 2.06 ($40,462 / $19,655) in </v>
      </c>
      <c r="P38" s="313"/>
      <c r="Q38" s="313"/>
      <c r="R38" s="410">
        <f>X33</f>
        <v>40462</v>
      </c>
      <c r="S38" s="410" t="s">
        <v>1314</v>
      </c>
      <c r="T38" s="410">
        <f>AC41</f>
        <v>19655</v>
      </c>
      <c r="U38" s="410" t="s">
        <v>1587</v>
      </c>
      <c r="V38" s="424">
        <f>SUM(R38/T38)</f>
        <v>2.0586110404477234</v>
      </c>
      <c r="W38" s="402"/>
      <c r="X38" s="402"/>
      <c r="Y38" s="402"/>
      <c r="Z38" s="402"/>
      <c r="AA38" s="402"/>
      <c r="AB38" s="405" t="s">
        <v>20</v>
      </c>
      <c r="AC38" s="409">
        <v>15250</v>
      </c>
      <c r="AD38" s="402"/>
      <c r="AE38" s="409">
        <v>9563</v>
      </c>
      <c r="AF38" s="402"/>
      <c r="AG38" s="218"/>
    </row>
    <row r="39" spans="2:33" s="10" customFormat="1" ht="15.95" customHeight="1" x14ac:dyDescent="0.25">
      <c r="C39" s="71" t="str">
        <f>CONCATENATE("2013 and a current ratio of ",TEXT(V39,"#,##0.00")," (",TEXT(R39,"$#,##0"),S39,TEXT(T39,"$#,##0"),") in 2012. Its working")</f>
        <v>2013 and a current ratio of 1.26 ($44,869 / $35,483) in 2012. Its working</v>
      </c>
      <c r="P39" s="313"/>
      <c r="Q39" s="313"/>
      <c r="R39" s="410">
        <f>X35</f>
        <v>44869</v>
      </c>
      <c r="S39" s="410" t="s">
        <v>1314</v>
      </c>
      <c r="T39" s="410">
        <f>AE41</f>
        <v>35483</v>
      </c>
      <c r="U39" s="410" t="s">
        <v>1587</v>
      </c>
      <c r="V39" s="424">
        <f>SUM(R39/T39)</f>
        <v>1.264521038243666</v>
      </c>
      <c r="W39" s="402"/>
      <c r="X39" s="402"/>
      <c r="Y39" s="402"/>
      <c r="Z39" s="402"/>
      <c r="AA39" s="402"/>
      <c r="AB39" s="468" t="s">
        <v>1687</v>
      </c>
      <c r="AC39" s="410">
        <f>AC33+AC34+AC35+AC36+AC38</f>
        <v>336864</v>
      </c>
      <c r="AD39" s="402"/>
      <c r="AE39" s="410">
        <f>AE33+AE34+AE35+AE36+AE38</f>
        <v>339562</v>
      </c>
      <c r="AF39" s="405" t="s">
        <v>1428</v>
      </c>
      <c r="AG39" s="218"/>
    </row>
    <row r="40" spans="2:33" s="10" customFormat="1" ht="15.95" customHeight="1" x14ac:dyDescent="0.25">
      <c r="C40" s="71" t="str">
        <f>CONCATENATE("capital is ",TEXT(V40,"$#,##0")," (",TEXT(R40,"$#,##0"),S40,TEXT(T40,"$#,##0"),") in 2013 and ",TEXT(V41,"$#,##0")," (",TEXT(R41,"$#,##0"),S41,TEXT(T41,"$#,##0"),")",)</f>
        <v>capital is $20,807 ($40,462 – $19,655) in 2013 and $9,386 ($44,869 – $35,483)</v>
      </c>
      <c r="P40" s="313"/>
      <c r="Q40" s="313"/>
      <c r="R40" s="410">
        <f>X33</f>
        <v>40462</v>
      </c>
      <c r="S40" s="410" t="s">
        <v>1589</v>
      </c>
      <c r="T40" s="410">
        <f>AC41</f>
        <v>19655</v>
      </c>
      <c r="U40" s="410" t="s">
        <v>1587</v>
      </c>
      <c r="V40" s="410">
        <f>SUM(R40-T40)</f>
        <v>20807</v>
      </c>
      <c r="W40" s="402"/>
      <c r="X40" s="402"/>
      <c r="Y40" s="402"/>
      <c r="Z40" s="402"/>
      <c r="AA40" s="402"/>
      <c r="AB40" s="405" t="s">
        <v>1423</v>
      </c>
      <c r="AC40" s="403"/>
      <c r="AD40" s="402"/>
      <c r="AE40" s="403"/>
      <c r="AF40" s="402"/>
      <c r="AG40" s="218"/>
    </row>
    <row r="41" spans="2:33" s="10" customFormat="1" ht="15.95" customHeight="1" x14ac:dyDescent="0.25">
      <c r="C41" s="10" t="s">
        <v>1150</v>
      </c>
      <c r="P41" s="313"/>
      <c r="Q41" s="313"/>
      <c r="R41" s="410">
        <f>X35</f>
        <v>44869</v>
      </c>
      <c r="S41" s="410" t="s">
        <v>1589</v>
      </c>
      <c r="T41" s="410">
        <f>AE41</f>
        <v>35483</v>
      </c>
      <c r="U41" s="410" t="s">
        <v>1587</v>
      </c>
      <c r="V41" s="410">
        <f>SUM(R41-T41)</f>
        <v>9386</v>
      </c>
      <c r="W41" s="402"/>
      <c r="X41" s="402"/>
      <c r="Y41" s="402"/>
      <c r="Z41" s="402"/>
      <c r="AA41" s="402"/>
      <c r="AB41" s="405" t="s">
        <v>787</v>
      </c>
      <c r="AC41" s="409">
        <v>19655</v>
      </c>
      <c r="AD41" s="402"/>
      <c r="AE41" s="409">
        <v>35483</v>
      </c>
      <c r="AF41" s="402"/>
      <c r="AG41" s="218"/>
    </row>
    <row r="42" spans="2:33" s="10" customFormat="1" ht="15.95" customHeight="1" x14ac:dyDescent="0.25">
      <c r="C42" s="10" t="s">
        <v>159</v>
      </c>
      <c r="P42" s="313"/>
      <c r="Q42" s="313"/>
      <c r="R42" s="402"/>
      <c r="S42" s="402"/>
      <c r="T42" s="402"/>
      <c r="U42" s="402"/>
      <c r="V42" s="402"/>
      <c r="W42" s="402"/>
      <c r="X42" s="402"/>
      <c r="Y42" s="402"/>
      <c r="Z42" s="402"/>
      <c r="AA42" s="402"/>
      <c r="AB42" s="405" t="s">
        <v>1424</v>
      </c>
      <c r="AC42" s="409">
        <v>144680</v>
      </c>
      <c r="AD42" s="402"/>
      <c r="AE42" s="409">
        <v>168260</v>
      </c>
      <c r="AF42" s="402"/>
      <c r="AG42" s="218"/>
    </row>
    <row r="43" spans="2:33" s="10" customFormat="1" ht="15.95" customHeight="1" x14ac:dyDescent="0.25">
      <c r="C43" s="10" t="s">
        <v>1151</v>
      </c>
      <c r="P43" s="313"/>
      <c r="Q43" s="313"/>
      <c r="R43" s="402"/>
      <c r="S43" s="402"/>
      <c r="T43" s="402"/>
      <c r="U43" s="402"/>
      <c r="V43" s="402"/>
      <c r="W43" s="402"/>
      <c r="X43" s="402"/>
      <c r="Y43" s="402"/>
      <c r="Z43" s="402"/>
      <c r="AA43" s="402"/>
      <c r="AB43" s="405" t="s">
        <v>1425</v>
      </c>
      <c r="AC43" s="409">
        <v>172529</v>
      </c>
      <c r="AD43" s="402"/>
      <c r="AE43" s="409">
        <v>135819</v>
      </c>
      <c r="AF43" s="402"/>
      <c r="AG43" s="218"/>
    </row>
    <row r="44" spans="2:33" s="10" customFormat="1" ht="6.75" customHeight="1" x14ac:dyDescent="0.25">
      <c r="P44" s="313"/>
      <c r="Q44" s="313"/>
      <c r="R44" s="402"/>
      <c r="S44" s="402"/>
      <c r="T44" s="402"/>
      <c r="U44" s="402"/>
      <c r="V44" s="402"/>
      <c r="W44" s="402"/>
      <c r="X44" s="402"/>
      <c r="Y44" s="402"/>
      <c r="Z44" s="402"/>
      <c r="AA44" s="402"/>
      <c r="AB44" s="405"/>
      <c r="AC44" s="402"/>
      <c r="AD44" s="402"/>
      <c r="AE44" s="402"/>
      <c r="AF44" s="402"/>
      <c r="AG44" s="218"/>
    </row>
    <row r="45" spans="2:33" s="10" customFormat="1" ht="15.95" customHeight="1" x14ac:dyDescent="0.25">
      <c r="B45" s="11" t="s">
        <v>759</v>
      </c>
      <c r="C45" s="10" t="s">
        <v>1318</v>
      </c>
      <c r="P45" s="313"/>
      <c r="Q45" s="313"/>
      <c r="R45" s="402"/>
      <c r="S45" s="402"/>
      <c r="T45" s="402"/>
      <c r="U45" s="402"/>
      <c r="V45" s="402"/>
      <c r="W45" s="402"/>
      <c r="X45" s="402"/>
      <c r="Y45" s="402"/>
      <c r="Z45" s="402"/>
      <c r="AA45" s="402"/>
      <c r="AB45" s="468" t="s">
        <v>1687</v>
      </c>
      <c r="AC45" s="410">
        <f>AC41+AC42+AC43</f>
        <v>336864</v>
      </c>
      <c r="AD45" s="402"/>
      <c r="AE45" s="410">
        <f>AE41+AE42+AE43</f>
        <v>339562</v>
      </c>
      <c r="AF45" s="402"/>
      <c r="AG45" s="218"/>
    </row>
    <row r="46" spans="2:33" s="10" customFormat="1" ht="15.95" customHeight="1" x14ac:dyDescent="0.25">
      <c r="C46" s="10" t="s">
        <v>1152</v>
      </c>
      <c r="P46" s="313"/>
      <c r="Q46" s="313"/>
      <c r="R46" s="402"/>
      <c r="S46" s="402"/>
      <c r="T46" s="402"/>
      <c r="U46" s="402"/>
      <c r="V46" s="402"/>
      <c r="W46" s="402"/>
      <c r="X46" s="402"/>
      <c r="Y46" s="402"/>
      <c r="Z46" s="402"/>
      <c r="AA46" s="402"/>
      <c r="AB46" s="405" t="s">
        <v>1426</v>
      </c>
      <c r="AC46" s="409">
        <v>21000</v>
      </c>
      <c r="AD46" s="403"/>
      <c r="AE46" s="403"/>
      <c r="AF46" s="402"/>
      <c r="AG46" s="218"/>
    </row>
    <row r="47" spans="2:33" s="10" customFormat="1" ht="5.0999999999999996" customHeight="1" x14ac:dyDescent="0.25">
      <c r="P47" s="313"/>
      <c r="Q47" s="313"/>
      <c r="R47" s="402"/>
      <c r="S47" s="402"/>
      <c r="T47" s="402"/>
      <c r="U47" s="402"/>
      <c r="V47" s="402"/>
      <c r="W47" s="402"/>
      <c r="X47" s="402"/>
      <c r="Y47" s="402"/>
      <c r="Z47" s="402"/>
      <c r="AA47" s="402"/>
      <c r="AB47" s="402"/>
      <c r="AC47" s="403"/>
      <c r="AD47" s="403"/>
      <c r="AE47" s="403"/>
      <c r="AF47" s="402"/>
      <c r="AG47" s="218"/>
    </row>
    <row r="48" spans="2:33" s="10" customFormat="1" ht="15.95" customHeight="1" x14ac:dyDescent="0.25">
      <c r="C48" s="10" t="str">
        <f>CONCATENATE(TEXT(R48,"$#,##0"),S48,TEXT(T48,"$#,##0"),U48,TEXT(V48,"$#,##0"),W48,TEXT(X48,"$#,##0"),)</f>
        <v>$172,529 – $135,819 + $21,000 = $57,710</v>
      </c>
      <c r="G48" s="14"/>
      <c r="H48" s="28"/>
      <c r="P48" s="313"/>
      <c r="Q48" s="313"/>
      <c r="R48" s="410">
        <f>AC43</f>
        <v>172529</v>
      </c>
      <c r="S48" s="410" t="s">
        <v>1589</v>
      </c>
      <c r="T48" s="410">
        <f>AE43</f>
        <v>135819</v>
      </c>
      <c r="U48" s="410" t="s">
        <v>1588</v>
      </c>
      <c r="V48" s="410">
        <f>AC46</f>
        <v>21000</v>
      </c>
      <c r="W48" s="410" t="s">
        <v>1587</v>
      </c>
      <c r="X48" s="410">
        <f>SUM(R48-T48+V48)</f>
        <v>57710</v>
      </c>
      <c r="Y48" s="402"/>
      <c r="Z48" s="402"/>
      <c r="AA48" s="402"/>
      <c r="AB48" s="402"/>
      <c r="AC48" s="403"/>
      <c r="AD48" s="403"/>
      <c r="AE48" s="403"/>
      <c r="AF48" s="402"/>
      <c r="AG48" s="218"/>
    </row>
    <row r="49" spans="2:33" s="10" customFormat="1" ht="5.0999999999999996" customHeight="1" x14ac:dyDescent="0.25">
      <c r="H49" s="28"/>
      <c r="P49" s="313"/>
      <c r="Q49" s="313"/>
      <c r="R49" s="402"/>
      <c r="S49" s="402"/>
      <c r="T49" s="402"/>
      <c r="U49" s="402"/>
      <c r="V49" s="402"/>
      <c r="W49" s="402"/>
      <c r="X49" s="402"/>
      <c r="Y49" s="402"/>
      <c r="Z49" s="402"/>
      <c r="AA49" s="402"/>
      <c r="AB49" s="402"/>
      <c r="AC49" s="403"/>
      <c r="AD49" s="403"/>
      <c r="AE49" s="403"/>
      <c r="AF49" s="402"/>
      <c r="AG49" s="218"/>
    </row>
    <row r="50" spans="2:33" s="10" customFormat="1" ht="15.95" customHeight="1" x14ac:dyDescent="0.25">
      <c r="B50" s="25" t="s">
        <v>748</v>
      </c>
      <c r="C50" s="29" t="str">
        <f>CONCATENATE("Beg. Stockholders’ Equity ",TEXT(R50,"$#,##0"),S50,"Net Income – Dividends ",TEXT(V50,"$#,##0"),)</f>
        <v>Beg. Stockholders’ Equity $135,819 + Net Income – Dividends $21,000</v>
      </c>
      <c r="H50" s="28"/>
      <c r="L50" s="29"/>
      <c r="M50" s="29"/>
      <c r="P50" s="313"/>
      <c r="Q50" s="313"/>
      <c r="R50" s="410">
        <f>AE43</f>
        <v>135819</v>
      </c>
      <c r="S50" s="410" t="s">
        <v>1588</v>
      </c>
      <c r="T50" s="410">
        <f>X48</f>
        <v>57710</v>
      </c>
      <c r="U50" s="410" t="s">
        <v>1589</v>
      </c>
      <c r="V50" s="410">
        <f>AC46</f>
        <v>21000</v>
      </c>
      <c r="W50" s="410" t="s">
        <v>1587</v>
      </c>
      <c r="X50" s="410">
        <f>SUM(R50+T50-V50)</f>
        <v>172529</v>
      </c>
      <c r="Y50" s="402"/>
      <c r="Z50" s="402"/>
      <c r="AA50" s="402"/>
      <c r="AB50" s="402"/>
      <c r="AC50" s="403"/>
      <c r="AD50" s="403"/>
      <c r="AE50" s="403"/>
      <c r="AF50" s="402"/>
      <c r="AG50" s="218"/>
    </row>
    <row r="51" spans="2:33" s="10" customFormat="1" ht="15.95" customHeight="1" x14ac:dyDescent="0.25">
      <c r="B51" s="25"/>
      <c r="C51" s="29" t="str">
        <f>CONCATENATE("= End. Stockholders’ Equity ",TEXT(X50,"$#,##0"),)</f>
        <v>= End. Stockholders’ Equity $172,529</v>
      </c>
      <c r="H51" s="28"/>
      <c r="L51" s="29"/>
      <c r="M51" s="29"/>
      <c r="P51" s="313"/>
      <c r="Q51" s="313"/>
      <c r="R51" s="402"/>
      <c r="S51" s="402"/>
      <c r="T51" s="402"/>
      <c r="U51" s="402"/>
      <c r="V51" s="402"/>
      <c r="W51" s="402"/>
      <c r="X51" s="402"/>
      <c r="Y51" s="402"/>
      <c r="Z51" s="402"/>
      <c r="AA51" s="402"/>
      <c r="AB51" s="402"/>
      <c r="AC51" s="403"/>
      <c r="AD51" s="403"/>
      <c r="AE51" s="403"/>
      <c r="AF51" s="402"/>
      <c r="AG51" s="313"/>
    </row>
    <row r="52" spans="2:33" s="10" customFormat="1" ht="5.0999999999999996" customHeight="1" x14ac:dyDescent="0.25">
      <c r="N52" s="13"/>
      <c r="P52" s="313"/>
      <c r="Q52" s="313"/>
      <c r="R52" s="402"/>
      <c r="S52" s="402"/>
      <c r="T52" s="402"/>
      <c r="U52" s="402"/>
      <c r="V52" s="402"/>
      <c r="W52" s="402"/>
      <c r="X52" s="402"/>
      <c r="Y52" s="403"/>
      <c r="Z52" s="403"/>
      <c r="AA52" s="403"/>
      <c r="AB52" s="402"/>
      <c r="AC52" s="402"/>
      <c r="AD52" s="402"/>
      <c r="AE52" s="402"/>
      <c r="AF52" s="402"/>
      <c r="AG52" s="313"/>
    </row>
    <row r="53" spans="2:33" ht="15.95" customHeight="1" x14ac:dyDescent="0.2">
      <c r="V53" s="402"/>
      <c r="W53" s="402"/>
      <c r="X53" s="402"/>
      <c r="Y53" s="403"/>
      <c r="Z53" s="403"/>
      <c r="AA53" s="403"/>
    </row>
    <row r="54" spans="2:33" ht="15.95" customHeight="1" x14ac:dyDescent="0.2">
      <c r="V54" s="402"/>
      <c r="W54" s="402"/>
      <c r="X54" s="402"/>
      <c r="Y54" s="403"/>
      <c r="Z54" s="403"/>
      <c r="AA54" s="403"/>
    </row>
    <row r="55" spans="2:33" ht="15.95" customHeight="1" x14ac:dyDescent="0.2">
      <c r="V55" s="402"/>
      <c r="W55" s="402"/>
      <c r="X55" s="402"/>
      <c r="Y55" s="403"/>
      <c r="Z55" s="403"/>
      <c r="AA55" s="403"/>
    </row>
    <row r="56" spans="2:33" ht="15.95" customHeight="1" x14ac:dyDescent="0.2">
      <c r="V56" s="402"/>
      <c r="W56" s="402"/>
      <c r="Y56" s="403"/>
      <c r="Z56" s="403"/>
      <c r="AA56" s="403"/>
    </row>
    <row r="57" spans="2:33" ht="15.95" customHeight="1" x14ac:dyDescent="0.2">
      <c r="Y57" s="403"/>
      <c r="Z57" s="403"/>
    </row>
    <row r="58" spans="2:33" ht="15.95" customHeight="1" x14ac:dyDescent="0.2">
      <c r="Y58" s="403"/>
      <c r="Z58" s="403"/>
    </row>
    <row r="59" spans="2:33" ht="15.95" customHeight="1" x14ac:dyDescent="0.2"/>
    <row r="60" spans="2:33" ht="15.95" customHeight="1" x14ac:dyDescent="0.2"/>
    <row r="61" spans="2:33" ht="15.95" customHeight="1" x14ac:dyDescent="0.2"/>
  </sheetData>
  <customSheetViews>
    <customSheetView guid="{B2DDA8C4-3089-41F7-BA6E-A0E09596A2CA}" scale="80" showPageBreaks="1" fitToPage="1" printArea="1">
      <selection activeCell="B31" sqref="B31"/>
      <pageMargins left="0.75" right="1" top="0.85" bottom="0.8" header="0.5" footer="0.35"/>
      <printOptions horizontalCentered="1"/>
      <pageSetup scale="91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2">
      <selection activeCell="B31" sqref="B31"/>
      <pageMargins left="0.75" right="1" top="0.85" bottom="0.8" header="0.5" footer="0.35"/>
      <printOptions horizontalCentered="1"/>
      <pageSetup scale="92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31" sqref="B31"/>
      <pageMargins left="0.75" right="1" top="0.85" bottom="0.8" header="0.5" footer="0.35"/>
      <printOptions horizontalCentered="1"/>
      <pageSetup scale="92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31" sqref="B31"/>
      <pageMargins left="0.75" right="1" top="0.85" bottom="0.8" header="0.5" footer="0.35"/>
      <printOptions horizontalCentered="1"/>
      <pageSetup scale="91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31" sqref="B31"/>
      <pageMargins left="0.75" right="1" top="0.85" bottom="0.8" header="0.5" footer="0.35"/>
      <printOptions horizontalCentered="1"/>
      <pageSetup scale="91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zoomScale="70" zoomScaleNormal="70" workbookViewId="0"/>
  </sheetViews>
  <sheetFormatPr defaultRowHeight="12.75" x14ac:dyDescent="0.2"/>
  <cols>
    <col min="1" max="1" width="1.7109375" style="119" customWidth="1"/>
    <col min="2" max="5" width="4.7109375" style="119" customWidth="1"/>
    <col min="6" max="6" width="10.7109375" style="119" customWidth="1"/>
    <col min="7" max="8" width="11.7109375" style="119" customWidth="1"/>
    <col min="9" max="9" width="10.7109375" style="119" customWidth="1"/>
    <col min="10" max="10" width="10.42578125" style="119" customWidth="1"/>
    <col min="11" max="11" width="9.85546875" style="119" customWidth="1"/>
    <col min="12" max="12" width="7.42578125" style="119" customWidth="1"/>
    <col min="13" max="13" width="2.7109375" style="119" customWidth="1"/>
    <col min="14" max="14" width="9.140625" style="119"/>
    <col min="15" max="15" width="2.7109375" style="119" customWidth="1"/>
    <col min="16" max="16" width="9.140625" style="119"/>
    <col min="17" max="17" width="2.7109375" style="119" customWidth="1"/>
    <col min="18" max="18" width="9.140625" style="119"/>
    <col min="19" max="19" width="2.7109375" style="119" customWidth="1"/>
    <col min="20" max="20" width="9.140625" style="119"/>
    <col min="21" max="21" width="2.7109375" style="119" customWidth="1"/>
    <col min="22" max="22" width="9.140625" style="119"/>
    <col min="23" max="23" width="2.7109375" style="119" customWidth="1"/>
    <col min="24" max="16384" width="9.140625" style="119"/>
  </cols>
  <sheetData>
    <row r="1" spans="2:4" ht="28.5" customHeight="1" x14ac:dyDescent="0.2"/>
    <row r="2" spans="2:4" s="10" customFormat="1" ht="15.95" customHeight="1" x14ac:dyDescent="0.25">
      <c r="B2" s="10" t="s">
        <v>1208</v>
      </c>
    </row>
    <row r="3" spans="2:4" s="10" customFormat="1" ht="15.95" customHeight="1" x14ac:dyDescent="0.25">
      <c r="B3" s="11" t="s">
        <v>758</v>
      </c>
      <c r="C3" s="10" t="s">
        <v>160</v>
      </c>
    </row>
    <row r="4" spans="2:4" s="10" customFormat="1" ht="5.0999999999999996" customHeight="1" x14ac:dyDescent="0.25">
      <c r="B4" s="11"/>
    </row>
    <row r="5" spans="2:4" s="10" customFormat="1" ht="15.95" customHeight="1" x14ac:dyDescent="0.25">
      <c r="B5" s="10" t="s">
        <v>337</v>
      </c>
      <c r="C5" s="10" t="s">
        <v>516</v>
      </c>
      <c r="D5" s="10" t="s">
        <v>1153</v>
      </c>
    </row>
    <row r="6" spans="2:4" s="10" customFormat="1" ht="5.0999999999999996" customHeight="1" x14ac:dyDescent="0.25"/>
    <row r="7" spans="2:4" s="10" customFormat="1" ht="15.95" customHeight="1" x14ac:dyDescent="0.25">
      <c r="C7" s="10" t="s">
        <v>517</v>
      </c>
      <c r="D7" s="10" t="s">
        <v>1366</v>
      </c>
    </row>
    <row r="8" spans="2:4" s="10" customFormat="1" ht="15.95" customHeight="1" x14ac:dyDescent="0.25">
      <c r="D8" s="10" t="s">
        <v>1367</v>
      </c>
    </row>
    <row r="9" spans="2:4" s="10" customFormat="1" ht="5.0999999999999996" customHeight="1" x14ac:dyDescent="0.25"/>
    <row r="10" spans="2:4" s="10" customFormat="1" ht="15.95" customHeight="1" x14ac:dyDescent="0.25">
      <c r="B10" s="10" t="s">
        <v>337</v>
      </c>
      <c r="C10" s="10" t="s">
        <v>519</v>
      </c>
      <c r="D10" s="10" t="s">
        <v>639</v>
      </c>
    </row>
    <row r="11" spans="2:4" s="10" customFormat="1" ht="15.95" customHeight="1" x14ac:dyDescent="0.25">
      <c r="D11" s="10" t="s">
        <v>1154</v>
      </c>
    </row>
    <row r="12" spans="2:4" s="10" customFormat="1" ht="9.9499999999999993" customHeight="1" x14ac:dyDescent="0.25"/>
    <row r="13" spans="2:4" s="10" customFormat="1" ht="15.95" customHeight="1" x14ac:dyDescent="0.25">
      <c r="B13" s="11" t="s">
        <v>759</v>
      </c>
      <c r="C13" s="71" t="s">
        <v>1368</v>
      </c>
    </row>
    <row r="14" spans="2:4" s="10" customFormat="1" ht="15.95" customHeight="1" x14ac:dyDescent="0.25">
      <c r="C14" s="71" t="s">
        <v>1369</v>
      </c>
    </row>
    <row r="15" spans="2:4" s="10" customFormat="1" ht="15.95" customHeight="1" x14ac:dyDescent="0.25">
      <c r="C15" s="71" t="s">
        <v>1370</v>
      </c>
    </row>
    <row r="16" spans="2:4" s="10" customFormat="1" ht="15.95" customHeight="1" x14ac:dyDescent="0.25">
      <c r="C16" s="71" t="s">
        <v>1371</v>
      </c>
    </row>
    <row r="17" spans="1:3" s="10" customFormat="1" ht="15.95" customHeight="1" x14ac:dyDescent="0.25">
      <c r="C17" s="71" t="s">
        <v>1372</v>
      </c>
    </row>
    <row r="18" spans="1:3" s="10" customFormat="1" ht="9.9499999999999993" customHeight="1" x14ac:dyDescent="0.25">
      <c r="C18" s="71"/>
    </row>
    <row r="19" spans="1:3" s="10" customFormat="1" ht="15.95" customHeight="1" x14ac:dyDescent="0.25">
      <c r="B19" s="11" t="s">
        <v>760</v>
      </c>
      <c r="C19" s="10" t="s">
        <v>1373</v>
      </c>
    </row>
    <row r="20" spans="1:3" s="10" customFormat="1" ht="15.95" customHeight="1" x14ac:dyDescent="0.25">
      <c r="A20" s="119"/>
      <c r="B20" s="10" t="s">
        <v>337</v>
      </c>
      <c r="C20" s="10" t="s">
        <v>1375</v>
      </c>
    </row>
    <row r="21" spans="1:3" s="10" customFormat="1" ht="15.95" customHeight="1" x14ac:dyDescent="0.25">
      <c r="C21" s="10" t="s">
        <v>1374</v>
      </c>
    </row>
    <row r="22" spans="1:3" s="10" customFormat="1" ht="15.95" customHeight="1" x14ac:dyDescent="0.25"/>
    <row r="23" spans="1:3" s="10" customFormat="1" ht="15.95" customHeight="1" x14ac:dyDescent="0.25">
      <c r="B23" s="10" t="s">
        <v>1209</v>
      </c>
    </row>
    <row r="24" spans="1:3" s="10" customFormat="1" ht="15.95" customHeight="1" x14ac:dyDescent="0.25">
      <c r="B24" s="71" t="s">
        <v>1053</v>
      </c>
      <c r="C24" s="71"/>
    </row>
    <row r="25" spans="1:3" s="10" customFormat="1" ht="15.95" customHeight="1" x14ac:dyDescent="0.25">
      <c r="B25" s="71" t="s">
        <v>1054</v>
      </c>
      <c r="C25" s="71"/>
    </row>
    <row r="26" spans="1:3" s="10" customFormat="1" ht="15.95" customHeight="1" x14ac:dyDescent="0.25">
      <c r="B26" s="71" t="s">
        <v>1055</v>
      </c>
      <c r="C26" s="71"/>
    </row>
    <row r="27" spans="1:3" s="10" customFormat="1" ht="15.95" customHeight="1" x14ac:dyDescent="0.25">
      <c r="B27" s="71" t="s">
        <v>1056</v>
      </c>
      <c r="C27" s="71"/>
    </row>
    <row r="28" spans="1:3" s="10" customFormat="1" ht="15.95" customHeight="1" x14ac:dyDescent="0.25">
      <c r="B28" s="71" t="s">
        <v>187</v>
      </c>
      <c r="C28" s="71"/>
    </row>
    <row r="29" spans="1:3" s="10" customFormat="1" ht="15.95" customHeight="1" x14ac:dyDescent="0.25">
      <c r="B29" s="71" t="s">
        <v>188</v>
      </c>
    </row>
    <row r="30" spans="1:3" s="10" customFormat="1" ht="15.95" customHeight="1" x14ac:dyDescent="0.25">
      <c r="B30" s="10" t="s">
        <v>189</v>
      </c>
    </row>
    <row r="31" spans="1:3" s="10" customFormat="1" ht="15.95" customHeight="1" x14ac:dyDescent="0.25">
      <c r="B31" s="10" t="s">
        <v>190</v>
      </c>
    </row>
    <row r="32" spans="1:3" s="10" customFormat="1" ht="15.95" customHeight="1" x14ac:dyDescent="0.25">
      <c r="B32" s="10" t="s">
        <v>640</v>
      </c>
    </row>
    <row r="33" spans="2:2" s="10" customFormat="1" ht="15.95" customHeight="1" x14ac:dyDescent="0.25">
      <c r="B33" s="10" t="s">
        <v>641</v>
      </c>
    </row>
    <row r="34" spans="2:2" s="10" customFormat="1" ht="5.0999999999999996" customHeight="1" x14ac:dyDescent="0.25"/>
    <row r="35" spans="2:2" s="10" customFormat="1" ht="15.95" customHeight="1" x14ac:dyDescent="0.25"/>
    <row r="36" spans="2:2" s="10" customFormat="1" ht="15.95" customHeight="1" x14ac:dyDescent="0.25"/>
    <row r="37" spans="2:2" ht="15.95" customHeight="1" x14ac:dyDescent="0.2"/>
    <row r="38" spans="2:2" ht="15.95" customHeight="1" x14ac:dyDescent="0.2"/>
    <row r="39" spans="2:2" ht="15.95" customHeight="1" x14ac:dyDescent="0.2"/>
    <row r="40" spans="2:2" ht="15.95" customHeight="1" x14ac:dyDescent="0.2"/>
    <row r="41" spans="2:2" ht="15.95" customHeight="1" x14ac:dyDescent="0.2"/>
    <row r="42" spans="2:2" ht="15.95" customHeight="1" x14ac:dyDescent="0.2"/>
    <row r="43" spans="2:2" ht="15.95" customHeight="1" x14ac:dyDescent="0.2"/>
    <row r="60" s="10" customFormat="1" ht="15" customHeight="1" x14ac:dyDescent="0.25"/>
    <row r="61" s="10" customFormat="1" ht="15" customHeight="1" x14ac:dyDescent="0.25"/>
    <row r="62" s="10" customFormat="1" ht="15" customHeight="1" x14ac:dyDescent="0.25"/>
    <row r="63" s="10" customFormat="1" ht="15" customHeight="1" x14ac:dyDescent="0.25"/>
    <row r="64" s="10" customFormat="1" ht="15" customHeight="1" x14ac:dyDescent="0.25"/>
    <row r="65" s="10" customFormat="1" ht="15" customHeight="1" x14ac:dyDescent="0.25"/>
    <row r="66" s="10" customFormat="1" ht="15" customHeight="1" x14ac:dyDescent="0.25"/>
    <row r="67" s="10" customFormat="1" ht="15" customHeight="1" x14ac:dyDescent="0.25"/>
    <row r="68" s="10" customFormat="1" ht="15" customHeight="1" x14ac:dyDescent="0.25"/>
    <row r="69" s="10" customFormat="1" ht="15" customHeight="1" x14ac:dyDescent="0.25"/>
    <row r="70" s="10" customFormat="1" ht="15" customHeight="1" x14ac:dyDescent="0.25"/>
    <row r="71" s="10" customFormat="1" ht="15" customHeight="1" x14ac:dyDescent="0.25"/>
    <row r="72" s="10" customFormat="1" ht="15" customHeight="1" x14ac:dyDescent="0.25"/>
    <row r="73" s="10" customFormat="1" ht="15" customHeight="1" x14ac:dyDescent="0.25"/>
    <row r="74" s="10" customFormat="1" ht="15" customHeight="1" x14ac:dyDescent="0.25"/>
    <row r="75" s="10" customFormat="1" ht="15" customHeight="1" x14ac:dyDescent="0.25"/>
  </sheetData>
  <customSheetViews>
    <customSheetView guid="{B2DDA8C4-3089-41F7-BA6E-A0E09596A2CA}" scale="80" showPageBreaks="1" fitToPage="1" printArea="1">
      <selection activeCell="B23" sqref="B23"/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34">
      <selection activeCell="B56" sqref="B56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23" sqref="B23"/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23" sqref="B23"/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23" sqref="B23"/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zoomScale="70" zoomScaleNormal="70" workbookViewId="0">
      <selection activeCell="F14" sqref="F14"/>
    </sheetView>
  </sheetViews>
  <sheetFormatPr defaultRowHeight="12.75" x14ac:dyDescent="0.2"/>
  <cols>
    <col min="1" max="1" width="1.7109375" style="2" customWidth="1"/>
    <col min="2" max="2" width="5.5703125" style="2" customWidth="1"/>
    <col min="3" max="3" width="1" style="2" customWidth="1"/>
    <col min="4" max="5" width="4.7109375" style="2" customWidth="1"/>
    <col min="6" max="6" width="10.7109375" style="2" customWidth="1"/>
    <col min="7" max="7" width="9.140625" style="2"/>
    <col min="8" max="9" width="10" style="2" customWidth="1"/>
    <col min="10" max="10" width="18.140625" style="2" customWidth="1"/>
    <col min="11" max="14" width="9.140625" style="2"/>
    <col min="15" max="15" width="0" style="407" hidden="1" customWidth="1"/>
    <col min="16" max="16" width="9.42578125" style="407" hidden="1" customWidth="1"/>
    <col min="17" max="17" width="4" style="407" hidden="1" customWidth="1"/>
    <col min="18" max="18" width="9.42578125" style="407" hidden="1" customWidth="1"/>
    <col min="19" max="19" width="3.85546875" style="407" hidden="1" customWidth="1"/>
    <col min="20" max="20" width="9.28515625" style="407" hidden="1" customWidth="1"/>
    <col min="21" max="21" width="3.42578125" style="407" hidden="1" customWidth="1"/>
    <col min="22" max="22" width="9.28515625" style="407" hidden="1" customWidth="1"/>
    <col min="23" max="23" width="3.5703125" style="407" hidden="1" customWidth="1"/>
    <col min="24" max="24" width="0" style="408" hidden="1" customWidth="1"/>
    <col min="25" max="16384" width="9.140625" style="2"/>
  </cols>
  <sheetData>
    <row r="1" spans="1:24" ht="28.5" customHeight="1" x14ac:dyDescent="0.25">
      <c r="A1" s="9"/>
      <c r="B1" s="9"/>
      <c r="C1" s="9"/>
      <c r="D1" s="9"/>
      <c r="E1" s="9"/>
      <c r="F1" s="9"/>
      <c r="G1" s="9"/>
      <c r="H1" s="9"/>
      <c r="I1" s="9"/>
      <c r="J1" s="9"/>
    </row>
    <row r="2" spans="1:24" ht="18" customHeight="1" x14ac:dyDescent="0.25">
      <c r="B2" s="3" t="s">
        <v>1480</v>
      </c>
      <c r="C2" s="5" t="s">
        <v>1481</v>
      </c>
      <c r="E2" s="4"/>
      <c r="F2" s="4"/>
      <c r="G2" s="4"/>
      <c r="H2" s="4"/>
      <c r="I2" s="4"/>
      <c r="J2" s="4"/>
      <c r="K2" s="4"/>
    </row>
    <row r="3" spans="1:24" ht="14.1" customHeight="1" x14ac:dyDescent="0.2">
      <c r="C3" s="5" t="s">
        <v>1482</v>
      </c>
      <c r="E3" s="4"/>
      <c r="F3" s="4"/>
      <c r="G3" s="4"/>
      <c r="H3" s="4"/>
      <c r="I3" s="4"/>
      <c r="J3" s="4"/>
      <c r="K3" s="4"/>
    </row>
    <row r="4" spans="1:24" ht="14.1" customHeight="1" x14ac:dyDescent="0.2">
      <c r="C4" s="5" t="s">
        <v>1483</v>
      </c>
      <c r="E4" s="4"/>
      <c r="F4" s="4"/>
      <c r="G4" s="4"/>
      <c r="H4" s="4"/>
      <c r="I4" s="4"/>
      <c r="J4" s="4"/>
      <c r="K4" s="4"/>
    </row>
    <row r="5" spans="1:24" ht="14.1" customHeight="1" x14ac:dyDescent="0.2">
      <c r="C5" s="5" t="s">
        <v>1229</v>
      </c>
      <c r="E5" s="4"/>
      <c r="F5" s="4"/>
      <c r="G5" s="4"/>
      <c r="H5" s="4"/>
      <c r="I5" s="4"/>
      <c r="J5" s="4"/>
      <c r="K5" s="4"/>
    </row>
    <row r="6" spans="1:24" ht="14.1" customHeight="1" x14ac:dyDescent="0.2">
      <c r="C6" s="5" t="s">
        <v>1484</v>
      </c>
      <c r="E6" s="4"/>
      <c r="F6" s="4"/>
      <c r="G6" s="4"/>
      <c r="H6" s="4"/>
      <c r="I6" s="4"/>
      <c r="J6" s="4"/>
      <c r="K6" s="4"/>
    </row>
    <row r="7" spans="1:24" ht="14.1" customHeight="1" x14ac:dyDescent="0.2">
      <c r="C7" s="5" t="s">
        <v>1485</v>
      </c>
      <c r="E7" s="4"/>
      <c r="F7" s="4"/>
      <c r="G7" s="4"/>
      <c r="H7" s="4"/>
      <c r="I7" s="4"/>
      <c r="J7" s="4"/>
      <c r="K7" s="4"/>
    </row>
    <row r="8" spans="1:24" ht="14.1" customHeight="1" x14ac:dyDescent="0.2">
      <c r="C8" s="5" t="s">
        <v>1486</v>
      </c>
      <c r="E8" s="4"/>
      <c r="F8" s="4"/>
      <c r="G8" s="4"/>
      <c r="H8" s="4"/>
      <c r="I8" s="4"/>
      <c r="J8" s="4"/>
      <c r="K8" s="4"/>
    </row>
    <row r="9" spans="1:24" ht="14.1" customHeight="1" x14ac:dyDescent="0.2">
      <c r="C9" s="5" t="s">
        <v>1487</v>
      </c>
      <c r="E9" s="4"/>
      <c r="F9" s="4"/>
      <c r="G9" s="4"/>
      <c r="H9" s="4"/>
      <c r="I9" s="4"/>
      <c r="J9" s="4"/>
      <c r="K9" s="4"/>
    </row>
    <row r="10" spans="1:24" ht="14.1" customHeight="1" x14ac:dyDescent="0.2">
      <c r="D10" s="4"/>
      <c r="E10" s="4"/>
      <c r="F10" s="4"/>
      <c r="G10" s="4"/>
      <c r="H10" s="4"/>
      <c r="I10" s="4"/>
      <c r="J10" s="4"/>
      <c r="K10" s="4"/>
    </row>
    <row r="11" spans="1:24" s="10" customFormat="1" ht="18" customHeight="1" x14ac:dyDescent="0.25">
      <c r="B11" s="353" t="s">
        <v>1261</v>
      </c>
      <c r="C11" s="353"/>
      <c r="D11" s="353"/>
      <c r="E11" s="353"/>
      <c r="F11" s="353"/>
      <c r="G11" s="353"/>
      <c r="H11" s="353"/>
      <c r="I11" s="353"/>
      <c r="J11" s="353"/>
      <c r="K11" s="353"/>
      <c r="L11" s="353"/>
      <c r="O11" s="402"/>
      <c r="P11" s="402"/>
      <c r="Q11" s="402"/>
      <c r="R11" s="402"/>
      <c r="S11" s="402"/>
      <c r="T11" s="402"/>
      <c r="U11" s="402"/>
      <c r="V11" s="402"/>
      <c r="W11" s="402"/>
      <c r="X11" s="406"/>
    </row>
    <row r="12" spans="1:24" s="10" customFormat="1" ht="9.9499999999999993" customHeight="1" x14ac:dyDescent="0.25">
      <c r="O12" s="402"/>
      <c r="P12" s="402"/>
      <c r="Q12" s="402"/>
      <c r="R12" s="402"/>
      <c r="S12" s="402"/>
      <c r="T12" s="402"/>
      <c r="U12" s="402"/>
      <c r="V12" s="402"/>
      <c r="W12" s="402"/>
      <c r="X12" s="406"/>
    </row>
    <row r="13" spans="1:24" s="10" customFormat="1" ht="15" customHeight="1" x14ac:dyDescent="0.25">
      <c r="B13" s="11" t="s">
        <v>272</v>
      </c>
      <c r="C13" s="11"/>
      <c r="D13" s="10" t="s">
        <v>1488</v>
      </c>
      <c r="O13" s="402"/>
      <c r="P13" s="402"/>
      <c r="Q13" s="402"/>
      <c r="R13" s="402"/>
      <c r="S13" s="402"/>
      <c r="T13" s="402"/>
      <c r="U13" s="402"/>
      <c r="V13" s="402"/>
      <c r="W13" s="402"/>
      <c r="X13" s="406"/>
    </row>
    <row r="14" spans="1:24" s="10" customFormat="1" ht="15" customHeight="1" x14ac:dyDescent="0.25">
      <c r="O14" s="402"/>
      <c r="P14" s="402"/>
      <c r="Q14" s="402"/>
      <c r="R14" s="402"/>
      <c r="S14" s="402"/>
      <c r="T14" s="402"/>
      <c r="U14" s="402"/>
      <c r="V14" s="402"/>
      <c r="W14" s="402"/>
      <c r="X14" s="406"/>
    </row>
    <row r="15" spans="1:24" s="10" customFormat="1" ht="15" customHeight="1" x14ac:dyDescent="0.25">
      <c r="B15" s="11" t="s">
        <v>273</v>
      </c>
      <c r="C15" s="11"/>
      <c r="D15" s="10" t="s">
        <v>1489</v>
      </c>
      <c r="O15" s="402"/>
      <c r="P15" s="402"/>
      <c r="Q15" s="402"/>
      <c r="R15" s="402"/>
      <c r="S15" s="402"/>
      <c r="T15" s="402"/>
      <c r="U15" s="402"/>
      <c r="V15" s="402"/>
      <c r="W15" s="402"/>
      <c r="X15" s="406"/>
    </row>
    <row r="16" spans="1:24" s="10" customFormat="1" ht="15" customHeight="1" x14ac:dyDescent="0.25">
      <c r="O16" s="402"/>
      <c r="P16" s="402"/>
      <c r="Q16" s="402"/>
      <c r="R16" s="402"/>
      <c r="S16" s="402"/>
      <c r="T16" s="402"/>
      <c r="U16" s="402"/>
      <c r="V16" s="402"/>
      <c r="W16" s="402"/>
      <c r="X16" s="406"/>
    </row>
    <row r="17" spans="2:24" s="10" customFormat="1" ht="15" customHeight="1" x14ac:dyDescent="0.25">
      <c r="B17" s="11" t="s">
        <v>274</v>
      </c>
      <c r="C17" s="11"/>
      <c r="D17" s="10" t="s">
        <v>1488</v>
      </c>
      <c r="E17" s="10" t="str">
        <f>CONCATENATE("(",TEXT(P17,"$#,##0"),Q17,TEXT(R17,"$#,##0"),")")</f>
        <v>($12,900 – $6,300)</v>
      </c>
      <c r="O17" s="402"/>
      <c r="P17" s="409">
        <v>12900</v>
      </c>
      <c r="Q17" s="410" t="s">
        <v>1589</v>
      </c>
      <c r="R17" s="409">
        <v>6300</v>
      </c>
      <c r="S17" s="410" t="s">
        <v>1587</v>
      </c>
      <c r="T17" s="410">
        <f>SUM(P17-R17)</f>
        <v>6600</v>
      </c>
      <c r="U17" s="402"/>
      <c r="V17" s="402"/>
      <c r="W17" s="403"/>
      <c r="X17" s="404"/>
    </row>
    <row r="18" spans="2:24" s="10" customFormat="1" ht="15" customHeight="1" x14ac:dyDescent="0.25">
      <c r="O18" s="402"/>
      <c r="P18" s="402"/>
      <c r="Q18" s="402"/>
      <c r="R18" s="402"/>
      <c r="S18" s="402"/>
      <c r="T18" s="402"/>
      <c r="U18" s="402"/>
      <c r="V18" s="402"/>
      <c r="W18" s="405"/>
      <c r="X18" s="406"/>
    </row>
    <row r="19" spans="2:24" s="10" customFormat="1" ht="15" customHeight="1" x14ac:dyDescent="0.25">
      <c r="B19" s="11" t="s">
        <v>275</v>
      </c>
      <c r="C19" s="11"/>
      <c r="D19" s="10" t="s">
        <v>1492</v>
      </c>
      <c r="O19" s="402"/>
      <c r="P19" s="402"/>
      <c r="Q19" s="402"/>
      <c r="R19" s="402"/>
      <c r="S19" s="402"/>
      <c r="T19" s="402"/>
      <c r="U19" s="402"/>
      <c r="V19" s="402"/>
      <c r="W19" s="405"/>
      <c r="X19" s="406"/>
    </row>
    <row r="20" spans="2:24" s="10" customFormat="1" ht="15" customHeight="1" x14ac:dyDescent="0.25">
      <c r="O20" s="402"/>
      <c r="P20" s="402"/>
      <c r="Q20" s="402"/>
      <c r="R20" s="402"/>
      <c r="S20" s="402"/>
      <c r="T20" s="402"/>
      <c r="U20" s="402"/>
      <c r="V20" s="402"/>
      <c r="W20" s="402"/>
      <c r="X20" s="406"/>
    </row>
    <row r="21" spans="2:24" s="10" customFormat="1" ht="15" customHeight="1" x14ac:dyDescent="0.25">
      <c r="B21" s="11" t="s">
        <v>276</v>
      </c>
      <c r="C21" s="11"/>
      <c r="D21" s="10" t="s">
        <v>1492</v>
      </c>
      <c r="O21" s="402"/>
      <c r="P21" s="402"/>
      <c r="Q21" s="402"/>
      <c r="R21" s="402"/>
      <c r="S21" s="402"/>
      <c r="T21" s="402"/>
      <c r="U21" s="402"/>
      <c r="V21" s="402"/>
      <c r="W21" s="402"/>
      <c r="X21" s="406"/>
    </row>
    <row r="22" spans="2:24" s="10" customFormat="1" ht="15" customHeight="1" x14ac:dyDescent="0.25">
      <c r="O22" s="402"/>
      <c r="P22" s="402"/>
      <c r="Q22" s="402"/>
      <c r="R22" s="402"/>
      <c r="S22" s="402"/>
      <c r="T22" s="402"/>
      <c r="U22" s="402"/>
      <c r="V22" s="402"/>
      <c r="W22" s="402"/>
      <c r="X22" s="406"/>
    </row>
    <row r="23" spans="2:24" s="10" customFormat="1" ht="15" customHeight="1" x14ac:dyDescent="0.25">
      <c r="B23" s="11" t="s">
        <v>277</v>
      </c>
      <c r="C23" s="11"/>
      <c r="D23" s="10" t="s">
        <v>1492</v>
      </c>
      <c r="O23" s="402"/>
      <c r="P23" s="402"/>
      <c r="Q23" s="402"/>
      <c r="R23" s="402"/>
      <c r="S23" s="402"/>
      <c r="T23" s="402"/>
      <c r="U23" s="402"/>
      <c r="V23" s="402"/>
      <c r="W23" s="403"/>
      <c r="X23" s="404"/>
    </row>
    <row r="24" spans="2:24" s="10" customFormat="1" ht="15" customHeight="1" x14ac:dyDescent="0.25">
      <c r="O24" s="402"/>
      <c r="P24" s="402"/>
      <c r="Q24" s="402"/>
      <c r="R24" s="402"/>
      <c r="S24" s="402"/>
      <c r="T24" s="402"/>
      <c r="U24" s="402"/>
      <c r="V24" s="402"/>
      <c r="W24" s="405"/>
      <c r="X24" s="406"/>
    </row>
    <row r="25" spans="2:24" s="10" customFormat="1" ht="15" customHeight="1" x14ac:dyDescent="0.25">
      <c r="B25" s="11" t="s">
        <v>278</v>
      </c>
      <c r="C25" s="11"/>
      <c r="D25" s="10" t="s">
        <v>1495</v>
      </c>
      <c r="E25" s="10" t="str">
        <f>CONCATENATE("(",TEXT(P25,"$#,##0"),Q25,TEXT(R25,"$#,##0"),S25,TEXT(T25,"$#,##0"),")")</f>
        <v>($7,500 + $3,900 + $3,100)</v>
      </c>
      <c r="O25" s="402"/>
      <c r="P25" s="409">
        <v>7500</v>
      </c>
      <c r="Q25" s="410" t="s">
        <v>1588</v>
      </c>
      <c r="R25" s="409">
        <v>3900</v>
      </c>
      <c r="S25" s="410" t="s">
        <v>1588</v>
      </c>
      <c r="T25" s="409">
        <v>3100</v>
      </c>
      <c r="U25" s="410" t="s">
        <v>1587</v>
      </c>
      <c r="V25" s="410">
        <f>SUM(P25+R25+T25)</f>
        <v>14500</v>
      </c>
      <c r="W25" s="405"/>
      <c r="X25" s="406"/>
    </row>
    <row r="26" spans="2:24" s="10" customFormat="1" ht="15" customHeight="1" x14ac:dyDescent="0.25">
      <c r="O26" s="402"/>
      <c r="P26" s="402"/>
      <c r="Q26" s="402"/>
      <c r="R26" s="402"/>
      <c r="S26" s="402"/>
      <c r="T26" s="402"/>
      <c r="U26" s="402"/>
      <c r="V26" s="402"/>
      <c r="W26" s="405"/>
      <c r="X26" s="406"/>
    </row>
    <row r="27" spans="2:24" s="10" customFormat="1" ht="15" customHeight="1" x14ac:dyDescent="0.25">
      <c r="B27" s="11" t="s">
        <v>279</v>
      </c>
      <c r="C27" s="11"/>
      <c r="D27" s="10" t="s">
        <v>1489</v>
      </c>
      <c r="E27" s="10" t="str">
        <f>CONCATENATE("(",TEXT(P27,"$#,##0"),Q27,TEXT(R27,"$#,##0"),")")</f>
        <v>($6,000 + $11,500)</v>
      </c>
      <c r="O27" s="402"/>
      <c r="P27" s="409">
        <v>6000</v>
      </c>
      <c r="Q27" s="410" t="s">
        <v>1588</v>
      </c>
      <c r="R27" s="409">
        <v>11500</v>
      </c>
      <c r="S27" s="410" t="s">
        <v>1587</v>
      </c>
      <c r="T27" s="410">
        <f>SUM(P27+R27)</f>
        <v>17500</v>
      </c>
      <c r="U27" s="402"/>
      <c r="V27" s="402"/>
      <c r="W27" s="402"/>
      <c r="X27" s="406"/>
    </row>
    <row r="28" spans="2:24" s="10" customFormat="1" ht="15" customHeight="1" x14ac:dyDescent="0.25">
      <c r="O28" s="402"/>
      <c r="P28" s="402"/>
      <c r="Q28" s="402"/>
      <c r="R28" s="402"/>
      <c r="S28" s="402"/>
      <c r="T28" s="402"/>
      <c r="U28" s="402"/>
      <c r="V28" s="402"/>
      <c r="W28" s="402"/>
      <c r="X28" s="406"/>
    </row>
    <row r="29" spans="2:24" s="10" customFormat="1" ht="15" customHeight="1" x14ac:dyDescent="0.25">
      <c r="B29" s="11" t="s">
        <v>280</v>
      </c>
      <c r="C29" s="11"/>
      <c r="D29" s="10" t="s">
        <v>1488</v>
      </c>
      <c r="O29" s="402"/>
      <c r="P29" s="402"/>
      <c r="Q29" s="402"/>
      <c r="R29" s="402"/>
      <c r="S29" s="402"/>
      <c r="T29" s="402"/>
      <c r="U29" s="402"/>
      <c r="V29" s="402"/>
      <c r="W29" s="403"/>
      <c r="X29" s="404"/>
    </row>
    <row r="30" spans="2:24" s="10" customFormat="1" ht="15" customHeight="1" x14ac:dyDescent="0.25">
      <c r="O30" s="402"/>
      <c r="P30" s="402"/>
      <c r="Q30" s="402"/>
      <c r="R30" s="402"/>
      <c r="S30" s="402"/>
      <c r="T30" s="402"/>
      <c r="U30" s="402"/>
      <c r="V30" s="402"/>
      <c r="W30" s="405"/>
      <c r="X30" s="406"/>
    </row>
    <row r="31" spans="2:24" s="10" customFormat="1" ht="15" customHeight="1" x14ac:dyDescent="0.25">
      <c r="B31" s="11" t="s">
        <v>281</v>
      </c>
      <c r="C31" s="11"/>
      <c r="D31" s="10" t="s">
        <v>1489</v>
      </c>
      <c r="E31" s="10" t="str">
        <f>CONCATENATE("(",TEXT(P31,"$#,##0"),Q31,TEXT(R31,"$#,##0"),S31,TEXT(T31,"$#,##0"),U31,TEXT(V31,"$#,##0"),")")</f>
        <v>($182,300 – $108,800 – $48,600 – $12,000)</v>
      </c>
      <c r="O31" s="402"/>
      <c r="P31" s="409">
        <v>182300</v>
      </c>
      <c r="Q31" s="410" t="s">
        <v>1589</v>
      </c>
      <c r="R31" s="409">
        <v>108800</v>
      </c>
      <c r="S31" s="410" t="s">
        <v>1589</v>
      </c>
      <c r="T31" s="409">
        <v>48600</v>
      </c>
      <c r="U31" s="410" t="s">
        <v>1589</v>
      </c>
      <c r="V31" s="409">
        <v>12000</v>
      </c>
      <c r="W31" s="410" t="s">
        <v>1587</v>
      </c>
      <c r="X31" s="411">
        <f>SUM(P31-R31-T31-V31)</f>
        <v>12900</v>
      </c>
    </row>
    <row r="32" spans="2:24" s="10" customFormat="1" ht="15" customHeight="1" x14ac:dyDescent="0.25">
      <c r="O32" s="402"/>
      <c r="P32" s="402"/>
      <c r="Q32" s="402"/>
      <c r="R32" s="402"/>
      <c r="S32" s="402"/>
      <c r="T32" s="402"/>
      <c r="U32" s="402"/>
      <c r="V32" s="402"/>
      <c r="W32" s="402"/>
      <c r="X32" s="406"/>
    </row>
    <row r="33" spans="2:24" s="10" customFormat="1" ht="15" customHeight="1" x14ac:dyDescent="0.25">
      <c r="B33" s="11" t="s">
        <v>282</v>
      </c>
      <c r="C33" s="11"/>
      <c r="D33" s="10" t="s">
        <v>1495</v>
      </c>
      <c r="O33" s="402"/>
      <c r="P33" s="402"/>
      <c r="Q33" s="402"/>
      <c r="R33" s="402"/>
      <c r="S33" s="402"/>
      <c r="T33" s="402"/>
      <c r="U33" s="402"/>
      <c r="V33" s="402"/>
      <c r="W33" s="402"/>
      <c r="X33" s="406"/>
    </row>
    <row r="34" spans="2:24" s="10" customFormat="1" ht="15" customHeight="1" x14ac:dyDescent="0.25">
      <c r="O34" s="402"/>
      <c r="P34" s="402"/>
      <c r="Q34" s="402"/>
      <c r="R34" s="402"/>
      <c r="S34" s="403"/>
      <c r="T34" s="403"/>
      <c r="U34" s="402"/>
      <c r="V34" s="402"/>
      <c r="W34" s="402"/>
      <c r="X34" s="406"/>
    </row>
    <row r="35" spans="2:24" s="10" customFormat="1" ht="15" customHeight="1" x14ac:dyDescent="0.25">
      <c r="B35" s="11" t="s">
        <v>283</v>
      </c>
      <c r="C35" s="11"/>
      <c r="D35" s="10" t="s">
        <v>1495</v>
      </c>
      <c r="O35" s="402"/>
      <c r="P35" s="402"/>
      <c r="Q35" s="402"/>
      <c r="R35" s="402"/>
      <c r="S35" s="405"/>
      <c r="T35" s="402"/>
      <c r="U35" s="402"/>
      <c r="V35" s="402"/>
      <c r="W35" s="402"/>
      <c r="X35" s="406"/>
    </row>
    <row r="36" spans="2:24" s="10" customFormat="1" ht="15" customHeight="1" x14ac:dyDescent="0.25">
      <c r="O36" s="402"/>
      <c r="P36" s="402"/>
      <c r="Q36" s="402"/>
      <c r="R36" s="402"/>
      <c r="S36" s="405"/>
      <c r="T36" s="402"/>
      <c r="U36" s="402"/>
      <c r="V36" s="402"/>
      <c r="W36" s="402"/>
      <c r="X36" s="406"/>
    </row>
    <row r="37" spans="2:24" s="10" customFormat="1" ht="15" customHeight="1" x14ac:dyDescent="0.25">
      <c r="B37" s="11" t="s">
        <v>284</v>
      </c>
      <c r="C37" s="11"/>
      <c r="D37" s="10" t="s">
        <v>1489</v>
      </c>
      <c r="O37" s="402"/>
      <c r="P37" s="402"/>
      <c r="Q37" s="402"/>
      <c r="R37" s="402"/>
      <c r="S37" s="405"/>
      <c r="T37" s="402"/>
      <c r="U37" s="402"/>
      <c r="V37" s="402"/>
      <c r="W37" s="402"/>
      <c r="X37" s="406"/>
    </row>
  </sheetData>
  <customSheetViews>
    <customSheetView guid="{B2DDA8C4-3089-41F7-BA6E-A0E09596A2CA}" scale="85" showPageBreaks="1" fitToPage="1" printArea="1">
      <selection activeCell="C6" sqref="C6"/>
      <pageMargins left="1" right="0.75" top="0.85" bottom="0.8" header="0.5" footer="0.35"/>
      <printOptions horizontalCentered="1"/>
      <pageSetup scale="93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C6" sqref="C6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C6" sqref="C6"/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5" showPageBreaks="1" fitToPage="1" printArea="1">
      <selection activeCell="C6" sqref="C6"/>
      <pageMargins left="1" right="0.75" top="0.85" bottom="0.8" header="0.5" footer="0.35"/>
      <printOptions horizontalCentered="1"/>
      <pageSetup scale="92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5" fitToPage="1" showRuler="0">
      <selection activeCell="C6" sqref="C6"/>
      <pageMargins left="1" right="0.75" top="0.85" bottom="0.8" header="0.5" footer="0.35"/>
      <printOptions horizontalCentered="1"/>
      <pageSetup scale="93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">
    <mergeCell ref="B11:L11"/>
  </mergeCell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zoomScale="70" zoomScaleNormal="70" workbookViewId="0"/>
  </sheetViews>
  <sheetFormatPr defaultRowHeight="12.75" x14ac:dyDescent="0.2"/>
  <cols>
    <col min="1" max="1" width="1.7109375" style="119" customWidth="1"/>
    <col min="2" max="5" width="4.7109375" style="119" customWidth="1"/>
    <col min="6" max="6" width="10.7109375" style="119" customWidth="1"/>
    <col min="7" max="7" width="8.5703125" style="119" customWidth="1"/>
    <col min="8" max="8" width="11.7109375" style="119" customWidth="1"/>
    <col min="9" max="10" width="10.7109375" style="119" customWidth="1"/>
    <col min="11" max="11" width="20.28515625" style="119" customWidth="1"/>
    <col min="12" max="12" width="2.7109375" style="119" customWidth="1"/>
    <col min="13" max="13" width="9.140625" style="119"/>
    <col min="14" max="14" width="2.7109375" style="119" customWidth="1"/>
    <col min="15" max="15" width="9.140625" style="119"/>
    <col min="16" max="16" width="2.7109375" style="119" customWidth="1"/>
    <col min="17" max="17" width="9.140625" style="119"/>
    <col min="18" max="18" width="2.7109375" style="119" customWidth="1"/>
    <col min="19" max="19" width="9.140625" style="119"/>
    <col min="20" max="20" width="2.7109375" style="119" customWidth="1"/>
    <col min="21" max="21" width="9.140625" style="119"/>
    <col min="22" max="22" width="2.7109375" style="119" customWidth="1"/>
    <col min="23" max="16384" width="9.140625" style="119"/>
  </cols>
  <sheetData>
    <row r="1" spans="2:2" ht="28.5" customHeight="1" x14ac:dyDescent="0.2"/>
    <row r="2" spans="2:2" ht="15.95" customHeight="1" x14ac:dyDescent="0.25">
      <c r="B2" s="10" t="s">
        <v>1210</v>
      </c>
    </row>
    <row r="3" spans="2:2" ht="15.95" customHeight="1" x14ac:dyDescent="0.25">
      <c r="B3" s="71" t="s">
        <v>1376</v>
      </c>
    </row>
    <row r="4" spans="2:2" ht="15.95" customHeight="1" x14ac:dyDescent="0.25">
      <c r="B4" s="71" t="s">
        <v>1377</v>
      </c>
    </row>
    <row r="5" spans="2:2" ht="15.95" customHeight="1" x14ac:dyDescent="0.25">
      <c r="B5" s="71" t="s">
        <v>1378</v>
      </c>
    </row>
    <row r="6" spans="2:2" ht="15.95" customHeight="1" x14ac:dyDescent="0.25">
      <c r="B6" s="71" t="s">
        <v>1379</v>
      </c>
    </row>
    <row r="7" spans="2:2" ht="15.95" customHeight="1" x14ac:dyDescent="0.25">
      <c r="B7" s="10" t="s">
        <v>1380</v>
      </c>
    </row>
    <row r="8" spans="2:2" ht="15.95" customHeight="1" x14ac:dyDescent="0.25">
      <c r="B8" s="10" t="s">
        <v>1381</v>
      </c>
    </row>
    <row r="9" spans="2:2" ht="15.95" customHeight="1" x14ac:dyDescent="0.25">
      <c r="B9" s="10" t="s">
        <v>1382</v>
      </c>
    </row>
    <row r="10" spans="2:2" ht="15.95" customHeight="1" x14ac:dyDescent="0.25">
      <c r="B10" s="10" t="s">
        <v>1383</v>
      </c>
    </row>
    <row r="11" spans="2:2" ht="15.95" customHeight="1" x14ac:dyDescent="0.25">
      <c r="B11" s="71" t="s">
        <v>1384</v>
      </c>
    </row>
    <row r="12" spans="2:2" ht="15.95" customHeight="1" x14ac:dyDescent="0.25">
      <c r="B12" s="71" t="s">
        <v>1385</v>
      </c>
    </row>
    <row r="13" spans="2:2" ht="15.95" customHeight="1" x14ac:dyDescent="0.25">
      <c r="B13" s="71" t="s">
        <v>1386</v>
      </c>
    </row>
    <row r="14" spans="2:2" ht="15.95" customHeight="1" x14ac:dyDescent="0.25">
      <c r="B14" s="71" t="s">
        <v>1387</v>
      </c>
    </row>
    <row r="15" spans="2:2" ht="15.95" customHeight="1" x14ac:dyDescent="0.25">
      <c r="B15" s="71" t="s">
        <v>1388</v>
      </c>
    </row>
    <row r="16" spans="2:2" ht="15.95" customHeight="1" x14ac:dyDescent="0.25">
      <c r="B16" s="71" t="s">
        <v>1389</v>
      </c>
    </row>
    <row r="17" spans="1:2" ht="15.95" customHeight="1" x14ac:dyDescent="0.25">
      <c r="B17" s="71" t="s">
        <v>1390</v>
      </c>
    </row>
    <row r="18" spans="1:2" ht="15.95" customHeight="1" x14ac:dyDescent="0.25">
      <c r="B18" s="10" t="s">
        <v>266</v>
      </c>
    </row>
    <row r="19" spans="1:2" ht="5.0999999999999996" customHeight="1" x14ac:dyDescent="0.2"/>
    <row r="20" spans="1:2" s="10" customFormat="1" ht="15.95" customHeight="1" x14ac:dyDescent="0.25"/>
    <row r="21" spans="1:2" s="10" customFormat="1" ht="15.95" customHeight="1" x14ac:dyDescent="0.25"/>
    <row r="22" spans="1:2" s="10" customFormat="1" ht="15.95" customHeight="1" x14ac:dyDescent="0.25"/>
    <row r="23" spans="1:2" s="10" customFormat="1" ht="15.95" customHeight="1" x14ac:dyDescent="0.25">
      <c r="A23" s="119"/>
    </row>
    <row r="24" spans="1:2" s="10" customFormat="1" ht="15.95" customHeight="1" x14ac:dyDescent="0.25"/>
    <row r="25" spans="1:2" s="10" customFormat="1" ht="15.95" customHeight="1" x14ac:dyDescent="0.25"/>
    <row r="26" spans="1:2" s="10" customFormat="1" ht="15.95" customHeight="1" x14ac:dyDescent="0.25"/>
    <row r="27" spans="1:2" s="10" customFormat="1" ht="15.95" customHeight="1" x14ac:dyDescent="0.25"/>
    <row r="28" spans="1:2" s="10" customFormat="1" ht="15.95" customHeight="1" x14ac:dyDescent="0.25"/>
    <row r="29" spans="1:2" s="10" customFormat="1" ht="15.95" customHeight="1" x14ac:dyDescent="0.25"/>
    <row r="30" spans="1:2" s="10" customFormat="1" ht="15.95" customHeight="1" x14ac:dyDescent="0.25"/>
    <row r="31" spans="1:2" s="10" customFormat="1" ht="15.95" customHeight="1" x14ac:dyDescent="0.25"/>
    <row r="32" spans="1:2" s="10" customFormat="1" ht="15.95" customHeight="1" x14ac:dyDescent="0.25"/>
    <row r="33" spans="2:6" s="10" customFormat="1" ht="15.95" customHeight="1" x14ac:dyDescent="0.25"/>
    <row r="34" spans="2:6" ht="15.95" customHeight="1" x14ac:dyDescent="0.25">
      <c r="D34" s="11"/>
      <c r="E34" s="11"/>
      <c r="F34" s="11"/>
    </row>
    <row r="35" spans="2:6" ht="15.95" customHeight="1" x14ac:dyDescent="0.25">
      <c r="D35" s="11"/>
      <c r="E35" s="11"/>
      <c r="F35" s="11"/>
    </row>
    <row r="36" spans="2:6" ht="15.95" customHeight="1" x14ac:dyDescent="0.25">
      <c r="D36" s="11"/>
      <c r="E36" s="11"/>
      <c r="F36" s="11"/>
    </row>
    <row r="37" spans="2:6" ht="15.95" customHeight="1" x14ac:dyDescent="0.25">
      <c r="D37" s="11"/>
      <c r="E37" s="11"/>
      <c r="F37" s="11"/>
    </row>
    <row r="38" spans="2:6" ht="15.95" customHeight="1" x14ac:dyDescent="0.25">
      <c r="D38" s="11"/>
      <c r="E38" s="11"/>
      <c r="F38" s="11"/>
    </row>
    <row r="39" spans="2:6" ht="15.95" customHeight="1" x14ac:dyDescent="0.25">
      <c r="D39" s="11"/>
      <c r="E39" s="11"/>
      <c r="F39" s="11"/>
    </row>
    <row r="40" spans="2:6" ht="15.95" customHeight="1" x14ac:dyDescent="0.25">
      <c r="D40" s="11"/>
      <c r="E40" s="11"/>
      <c r="F40" s="11"/>
    </row>
    <row r="41" spans="2:6" ht="15.95" customHeight="1" x14ac:dyDescent="0.25">
      <c r="D41" s="11"/>
      <c r="E41" s="11"/>
      <c r="F41" s="11"/>
    </row>
    <row r="42" spans="2:6" ht="15.95" customHeight="1" x14ac:dyDescent="0.25">
      <c r="D42" s="11"/>
      <c r="E42" s="11"/>
      <c r="F42" s="11"/>
    </row>
    <row r="43" spans="2:6" ht="15.95" customHeight="1" x14ac:dyDescent="0.25">
      <c r="B43" s="11"/>
      <c r="D43" s="11"/>
      <c r="E43" s="11"/>
      <c r="F43" s="11"/>
    </row>
    <row r="44" spans="2:6" ht="15.95" customHeight="1" x14ac:dyDescent="0.25">
      <c r="B44" s="11"/>
      <c r="C44" s="11"/>
      <c r="D44" s="11"/>
      <c r="E44" s="11"/>
      <c r="F44" s="11"/>
    </row>
    <row r="45" spans="2:6" ht="15.95" customHeight="1" x14ac:dyDescent="0.25">
      <c r="B45" s="11"/>
      <c r="C45" s="11"/>
      <c r="D45" s="11"/>
      <c r="E45" s="11"/>
      <c r="F45" s="11"/>
    </row>
    <row r="46" spans="2:6" ht="5.0999999999999996" customHeight="1" x14ac:dyDescent="0.25">
      <c r="B46" s="11"/>
      <c r="C46" s="11"/>
      <c r="D46" s="11"/>
      <c r="E46" s="11"/>
      <c r="F46" s="11"/>
    </row>
    <row r="47" spans="2:6" ht="15.95" customHeight="1" x14ac:dyDescent="0.25">
      <c r="B47" s="11"/>
      <c r="C47" s="11"/>
      <c r="D47" s="11"/>
      <c r="E47" s="11"/>
      <c r="F47" s="11"/>
    </row>
    <row r="48" spans="2:6" ht="15.95" customHeight="1" x14ac:dyDescent="0.25">
      <c r="B48" s="11"/>
      <c r="C48" s="11"/>
      <c r="D48" s="11"/>
      <c r="E48" s="11"/>
      <c r="F48" s="11"/>
    </row>
    <row r="49" spans="2:6" ht="15.95" customHeight="1" x14ac:dyDescent="0.25">
      <c r="B49" s="11"/>
      <c r="C49" s="11"/>
      <c r="D49" s="11"/>
      <c r="E49" s="11"/>
      <c r="F49" s="11"/>
    </row>
    <row r="50" spans="2:6" ht="15.95" customHeight="1" x14ac:dyDescent="0.25">
      <c r="B50" s="11"/>
      <c r="C50" s="11"/>
      <c r="D50" s="11"/>
      <c r="E50" s="11"/>
      <c r="F50" s="11"/>
    </row>
    <row r="51" spans="2:6" ht="15.95" customHeight="1" x14ac:dyDescent="0.25">
      <c r="B51" s="11"/>
      <c r="C51" s="11"/>
      <c r="D51" s="11"/>
      <c r="E51" s="11"/>
      <c r="F51" s="11"/>
    </row>
    <row r="52" spans="2:6" ht="15.95" customHeight="1" x14ac:dyDescent="0.25">
      <c r="B52" s="11"/>
      <c r="C52" s="11"/>
      <c r="D52" s="11"/>
      <c r="E52" s="11"/>
      <c r="F52" s="11"/>
    </row>
    <row r="53" spans="2:6" ht="15.95" customHeight="1" x14ac:dyDescent="0.25">
      <c r="B53" s="11"/>
      <c r="C53" s="11"/>
      <c r="D53" s="11"/>
      <c r="E53" s="11"/>
      <c r="F53" s="11"/>
    </row>
    <row r="54" spans="2:6" ht="15.95" customHeight="1" x14ac:dyDescent="0.25">
      <c r="B54" s="11"/>
      <c r="C54" s="11"/>
      <c r="D54" s="11"/>
      <c r="E54" s="11"/>
      <c r="F54" s="11"/>
    </row>
    <row r="55" spans="2:6" ht="15.95" customHeight="1" x14ac:dyDescent="0.25">
      <c r="B55" s="11"/>
      <c r="C55" s="11"/>
      <c r="D55" s="11"/>
      <c r="E55" s="11"/>
      <c r="F55" s="11"/>
    </row>
    <row r="56" spans="2:6" ht="15.95" customHeight="1" x14ac:dyDescent="0.25">
      <c r="B56" s="11"/>
      <c r="C56" s="11"/>
      <c r="D56" s="11"/>
      <c r="E56" s="11"/>
      <c r="F56" s="11"/>
    </row>
    <row r="57" spans="2:6" s="10" customFormat="1" ht="15.95" customHeight="1" x14ac:dyDescent="0.25">
      <c r="B57" s="11"/>
      <c r="C57" s="11"/>
      <c r="D57" s="11"/>
      <c r="E57" s="11"/>
      <c r="F57" s="11"/>
    </row>
    <row r="58" spans="2:6" s="10" customFormat="1" ht="15.95" customHeight="1" x14ac:dyDescent="0.25">
      <c r="B58" s="11"/>
      <c r="C58" s="11"/>
      <c r="D58" s="11"/>
      <c r="E58" s="11"/>
      <c r="F58" s="11"/>
    </row>
    <row r="59" spans="2:6" s="10" customFormat="1" ht="15.95" customHeight="1" x14ac:dyDescent="0.25">
      <c r="B59" s="11"/>
      <c r="C59" s="11"/>
      <c r="D59" s="11"/>
      <c r="E59" s="11"/>
      <c r="F59" s="11"/>
    </row>
    <row r="60" spans="2:6" s="10" customFormat="1" ht="15.95" customHeight="1" x14ac:dyDescent="0.25">
      <c r="B60" s="11"/>
      <c r="C60" s="11"/>
      <c r="D60" s="11"/>
      <c r="E60" s="11"/>
      <c r="F60" s="11"/>
    </row>
    <row r="61" spans="2:6" s="10" customFormat="1" ht="15.95" customHeight="1" x14ac:dyDescent="0.25">
      <c r="B61" s="11"/>
      <c r="C61" s="11"/>
      <c r="D61" s="11"/>
      <c r="E61" s="11"/>
      <c r="F61" s="11"/>
    </row>
    <row r="62" spans="2:6" s="10" customFormat="1" ht="15.95" customHeight="1" x14ac:dyDescent="0.25">
      <c r="B62" s="11"/>
      <c r="C62" s="11"/>
      <c r="D62" s="11"/>
      <c r="E62" s="11"/>
      <c r="F62" s="11"/>
    </row>
    <row r="63" spans="2:6" s="10" customFormat="1" ht="15.95" customHeight="1" x14ac:dyDescent="0.25">
      <c r="B63" s="11"/>
      <c r="C63" s="11"/>
      <c r="D63" s="11"/>
      <c r="E63" s="11"/>
      <c r="F63" s="11"/>
    </row>
    <row r="64" spans="2:6" s="10" customFormat="1" ht="15.95" customHeight="1" x14ac:dyDescent="0.25">
      <c r="B64" s="11"/>
      <c r="C64" s="11"/>
      <c r="D64" s="11"/>
      <c r="E64" s="11"/>
      <c r="F64" s="11"/>
    </row>
    <row r="65" spans="2:6" s="10" customFormat="1" ht="15.95" customHeight="1" x14ac:dyDescent="0.25">
      <c r="B65" s="11"/>
      <c r="C65" s="11"/>
      <c r="D65" s="11"/>
      <c r="E65" s="11"/>
      <c r="F65" s="11"/>
    </row>
    <row r="66" spans="2:6" s="10" customFormat="1" ht="15.95" customHeight="1" x14ac:dyDescent="0.25">
      <c r="B66" s="11"/>
      <c r="C66" s="11"/>
      <c r="D66" s="11"/>
      <c r="E66" s="11"/>
      <c r="F66" s="11"/>
    </row>
    <row r="67" spans="2:6" s="10" customFormat="1" ht="5.0999999999999996" customHeight="1" x14ac:dyDescent="0.25">
      <c r="B67" s="11"/>
      <c r="C67" s="11"/>
      <c r="D67" s="11"/>
      <c r="E67" s="11"/>
      <c r="F67" s="11"/>
    </row>
    <row r="68" spans="2:6" s="10" customFormat="1" ht="15.95" customHeight="1" x14ac:dyDescent="0.25">
      <c r="B68" s="11"/>
      <c r="C68" s="11"/>
      <c r="D68" s="11"/>
      <c r="E68" s="11"/>
      <c r="F68" s="11"/>
    </row>
    <row r="69" spans="2:6" s="10" customFormat="1" ht="15.95" customHeight="1" x14ac:dyDescent="0.25">
      <c r="B69" s="11"/>
      <c r="C69" s="11"/>
      <c r="D69" s="11"/>
      <c r="E69" s="11"/>
      <c r="F69" s="11"/>
    </row>
    <row r="70" spans="2:6" s="10" customFormat="1" ht="15.95" customHeight="1" x14ac:dyDescent="0.25">
      <c r="B70" s="11"/>
      <c r="C70" s="11"/>
      <c r="D70" s="11"/>
      <c r="E70" s="11"/>
      <c r="F70" s="11"/>
    </row>
    <row r="71" spans="2:6" s="10" customFormat="1" ht="15.95" customHeight="1" x14ac:dyDescent="0.25">
      <c r="B71" s="11"/>
      <c r="C71" s="11"/>
      <c r="D71" s="11"/>
      <c r="E71" s="11"/>
      <c r="F71" s="11"/>
    </row>
    <row r="72" spans="2:6" s="10" customFormat="1" ht="15.95" customHeight="1" x14ac:dyDescent="0.25">
      <c r="B72" s="11"/>
      <c r="C72" s="11"/>
      <c r="D72" s="11"/>
      <c r="E72" s="11"/>
      <c r="F72" s="11"/>
    </row>
    <row r="73" spans="2:6" ht="15.95" customHeight="1" x14ac:dyDescent="0.25">
      <c r="B73" s="11"/>
      <c r="C73" s="11"/>
      <c r="D73" s="11"/>
      <c r="E73" s="11"/>
      <c r="F73" s="11"/>
    </row>
    <row r="74" spans="2:6" ht="15.95" customHeight="1" x14ac:dyDescent="0.25">
      <c r="B74" s="11"/>
      <c r="C74" s="11"/>
      <c r="D74" s="11"/>
      <c r="E74" s="11"/>
      <c r="F74" s="11"/>
    </row>
    <row r="75" spans="2:6" ht="15.95" customHeight="1" x14ac:dyDescent="0.25">
      <c r="B75" s="11"/>
      <c r="C75" s="11"/>
      <c r="D75" s="11"/>
      <c r="E75" s="11"/>
      <c r="F75" s="11"/>
    </row>
    <row r="76" spans="2:6" ht="15.95" customHeight="1" x14ac:dyDescent="0.25">
      <c r="B76" s="11"/>
      <c r="C76" s="11"/>
      <c r="D76" s="11"/>
      <c r="E76" s="11"/>
      <c r="F76" s="11"/>
    </row>
    <row r="77" spans="2:6" ht="15.95" customHeight="1" x14ac:dyDescent="0.25">
      <c r="B77" s="11"/>
      <c r="C77" s="11"/>
      <c r="D77" s="11"/>
      <c r="E77" s="11"/>
      <c r="F77" s="11"/>
    </row>
    <row r="78" spans="2:6" ht="15.95" customHeight="1" x14ac:dyDescent="0.25">
      <c r="B78" s="11"/>
      <c r="C78" s="11"/>
      <c r="D78" s="11"/>
      <c r="E78" s="11"/>
      <c r="F78" s="11"/>
    </row>
    <row r="79" spans="2:6" ht="15.95" customHeight="1" x14ac:dyDescent="0.25">
      <c r="B79" s="11"/>
      <c r="C79" s="11"/>
      <c r="D79" s="11"/>
      <c r="E79" s="11"/>
      <c r="F79" s="11"/>
    </row>
    <row r="80" spans="2:6" ht="15.95" customHeight="1" x14ac:dyDescent="0.25">
      <c r="B80" s="11"/>
      <c r="C80" s="11"/>
      <c r="D80" s="11"/>
      <c r="E80" s="11"/>
      <c r="F80" s="11"/>
    </row>
    <row r="81" spans="2:6" ht="15.95" customHeight="1" x14ac:dyDescent="0.25">
      <c r="B81" s="11"/>
      <c r="C81" s="11"/>
      <c r="D81" s="11"/>
      <c r="E81" s="11"/>
      <c r="F81" s="11"/>
    </row>
    <row r="82" spans="2:6" ht="15.95" customHeight="1" x14ac:dyDescent="0.25">
      <c r="B82" s="11"/>
      <c r="C82" s="11"/>
      <c r="D82" s="11"/>
      <c r="E82" s="11"/>
      <c r="F82" s="11"/>
    </row>
    <row r="83" spans="2:6" ht="15.95" customHeight="1" x14ac:dyDescent="0.25">
      <c r="B83" s="11"/>
      <c r="C83" s="11"/>
      <c r="D83" s="11"/>
      <c r="E83" s="11"/>
      <c r="F83" s="11"/>
    </row>
    <row r="84" spans="2:6" ht="15.95" customHeight="1" x14ac:dyDescent="0.25">
      <c r="B84" s="11"/>
      <c r="C84" s="11"/>
      <c r="D84" s="11"/>
      <c r="E84" s="11"/>
      <c r="F84" s="11"/>
    </row>
    <row r="85" spans="2:6" ht="15.95" customHeight="1" x14ac:dyDescent="0.25">
      <c r="B85" s="11"/>
      <c r="C85" s="11"/>
      <c r="D85" s="11"/>
      <c r="E85" s="11"/>
      <c r="F85" s="11"/>
    </row>
    <row r="86" spans="2:6" ht="15.95" customHeight="1" x14ac:dyDescent="0.25">
      <c r="B86" s="11"/>
      <c r="C86" s="11"/>
      <c r="D86" s="11"/>
      <c r="E86" s="11"/>
      <c r="F86" s="11"/>
    </row>
    <row r="87" spans="2:6" ht="15.75" x14ac:dyDescent="0.25">
      <c r="C87" s="11"/>
    </row>
    <row r="88" spans="2:6" ht="15.75" x14ac:dyDescent="0.25">
      <c r="C88" s="11"/>
    </row>
    <row r="89" spans="2:6" ht="15.75" x14ac:dyDescent="0.25">
      <c r="C89" s="11"/>
    </row>
    <row r="90" spans="2:6" ht="15.75" x14ac:dyDescent="0.25">
      <c r="C90" s="11"/>
    </row>
    <row r="91" spans="2:6" ht="15.75" x14ac:dyDescent="0.25">
      <c r="C91" s="11"/>
    </row>
    <row r="92" spans="2:6" ht="15.75" x14ac:dyDescent="0.25">
      <c r="C92" s="11"/>
    </row>
    <row r="93" spans="2:6" ht="15.75" x14ac:dyDescent="0.25">
      <c r="C93" s="11"/>
    </row>
    <row r="94" spans="2:6" ht="15.75" x14ac:dyDescent="0.25">
      <c r="C94" s="11"/>
    </row>
    <row r="95" spans="2:6" ht="15.75" x14ac:dyDescent="0.25">
      <c r="C95" s="11"/>
    </row>
    <row r="96" spans="2:6" ht="15.75" x14ac:dyDescent="0.25">
      <c r="C96" s="11"/>
    </row>
    <row r="97" spans="3:3" ht="15.75" x14ac:dyDescent="0.25">
      <c r="C97" s="11"/>
    </row>
    <row r="98" spans="3:3" ht="15.75" x14ac:dyDescent="0.25">
      <c r="C98" s="11"/>
    </row>
    <row r="99" spans="3:3" ht="15.75" x14ac:dyDescent="0.25">
      <c r="C99" s="11"/>
    </row>
    <row r="100" spans="3:3" ht="15.75" x14ac:dyDescent="0.25">
      <c r="C100" s="11"/>
    </row>
    <row r="101" spans="3:3" ht="15.75" x14ac:dyDescent="0.25">
      <c r="C101" s="11"/>
    </row>
    <row r="102" spans="3:3" ht="15.75" x14ac:dyDescent="0.25">
      <c r="C102" s="11"/>
    </row>
    <row r="103" spans="3:3" ht="15.75" x14ac:dyDescent="0.25">
      <c r="C103" s="11"/>
    </row>
  </sheetData>
  <customSheetViews>
    <customSheetView guid="{B2DDA8C4-3089-41F7-BA6E-A0E09596A2CA}" scale="80" showPageBreaks="1" fitToPage="1" printArea="1">
      <selection activeCell="B2" sqref="B2"/>
      <pageMargins left="0.75" right="1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31">
      <selection activeCell="B32" sqref="B32"/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2" sqref="B2"/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2" sqref="B2"/>
      <pageMargins left="0.75" right="1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2" sqref="B2"/>
      <pageMargins left="0.75" right="1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showGridLines="0" zoomScale="70" zoomScaleNormal="70" workbookViewId="0">
      <selection activeCell="B1" sqref="B1"/>
    </sheetView>
  </sheetViews>
  <sheetFormatPr defaultRowHeight="12.75" x14ac:dyDescent="0.2"/>
  <cols>
    <col min="1" max="1" width="1.7109375" style="119" customWidth="1"/>
    <col min="2" max="5" width="4.7109375" style="119" customWidth="1"/>
    <col min="6" max="6" width="10.7109375" style="119" customWidth="1"/>
    <col min="7" max="8" width="11.7109375" style="119" customWidth="1"/>
    <col min="9" max="9" width="9.85546875" style="119" customWidth="1"/>
    <col min="10" max="10" width="11.28515625" style="119" customWidth="1"/>
    <col min="11" max="11" width="9.85546875" style="119" customWidth="1"/>
    <col min="12" max="12" width="7.42578125" style="119" customWidth="1"/>
    <col min="13" max="13" width="2.7109375" style="312" customWidth="1"/>
    <col min="14" max="14" width="8.7109375" style="407" hidden="1" customWidth="1"/>
    <col min="15" max="15" width="2.7109375" style="407" hidden="1" customWidth="1"/>
    <col min="16" max="16" width="9.28515625" style="407" hidden="1" customWidth="1"/>
    <col min="17" max="17" width="2.7109375" style="407" hidden="1" customWidth="1"/>
    <col min="18" max="18" width="9.28515625" style="407" hidden="1" customWidth="1"/>
    <col min="19" max="19" width="17.7109375" style="407" hidden="1" customWidth="1"/>
    <col min="20" max="20" width="9.42578125" style="407" hidden="1" customWidth="1"/>
    <col min="21" max="21" width="0.85546875" style="407" hidden="1" customWidth="1"/>
    <col min="22" max="22" width="8.85546875" style="407" hidden="1" customWidth="1"/>
    <col min="23" max="23" width="2.7109375" style="312" customWidth="1"/>
    <col min="24" max="24" width="9.140625" style="312"/>
    <col min="25" max="25" width="2.7109375" style="119" customWidth="1"/>
    <col min="26" max="26" width="9.140625" style="119"/>
    <col min="27" max="27" width="2.7109375" style="119" customWidth="1"/>
    <col min="28" max="16384" width="9.140625" style="119"/>
  </cols>
  <sheetData>
    <row r="1" spans="1:24" ht="28.5" customHeight="1" x14ac:dyDescent="0.2">
      <c r="A1" s="210"/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24" s="10" customFormat="1" ht="15.95" customHeight="1" x14ac:dyDescent="0.25">
      <c r="A2" s="94"/>
      <c r="B2" s="94" t="s">
        <v>1211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313"/>
      <c r="N2" s="402"/>
      <c r="O2" s="402"/>
      <c r="P2" s="402"/>
      <c r="Q2" s="402"/>
      <c r="R2" s="402"/>
      <c r="S2" s="402"/>
      <c r="T2" s="402"/>
      <c r="U2" s="402"/>
      <c r="V2" s="402"/>
      <c r="W2" s="313"/>
      <c r="X2" s="313"/>
    </row>
    <row r="3" spans="1:24" s="10" customFormat="1" ht="15.95" customHeight="1" x14ac:dyDescent="0.25">
      <c r="A3" s="94"/>
      <c r="B3" s="160" t="s">
        <v>758</v>
      </c>
      <c r="C3" s="161" t="s">
        <v>1168</v>
      </c>
      <c r="D3" s="94"/>
      <c r="E3" s="94"/>
      <c r="F3" s="94"/>
      <c r="G3" s="94"/>
      <c r="H3" s="94"/>
      <c r="I3" s="94"/>
      <c r="J3" s="94"/>
      <c r="K3" s="94"/>
      <c r="L3" s="94"/>
      <c r="M3" s="313"/>
      <c r="N3" s="402"/>
      <c r="O3" s="402"/>
      <c r="P3" s="402"/>
      <c r="Q3" s="402"/>
      <c r="R3" s="402"/>
      <c r="S3" s="402"/>
      <c r="T3" s="402"/>
      <c r="U3" s="402"/>
      <c r="V3" s="402"/>
      <c r="W3" s="313"/>
      <c r="X3" s="313"/>
    </row>
    <row r="4" spans="1:24" s="10" customFormat="1" ht="15.95" customHeight="1" x14ac:dyDescent="0.25">
      <c r="A4" s="94"/>
      <c r="B4" s="94"/>
      <c r="C4" s="161" t="s">
        <v>352</v>
      </c>
      <c r="D4" s="94"/>
      <c r="E4" s="94"/>
      <c r="F4" s="94"/>
      <c r="G4" s="94"/>
      <c r="H4" s="94"/>
      <c r="I4" s="94"/>
      <c r="J4" s="94"/>
      <c r="K4" s="94"/>
      <c r="L4" s="94"/>
      <c r="M4" s="313"/>
      <c r="N4" s="402"/>
      <c r="O4" s="402"/>
      <c r="P4" s="402"/>
      <c r="Q4" s="402"/>
      <c r="R4" s="402"/>
      <c r="S4" s="402"/>
      <c r="T4" s="402"/>
      <c r="U4" s="402"/>
      <c r="V4" s="402"/>
      <c r="W4" s="313"/>
      <c r="X4" s="313"/>
    </row>
    <row r="5" spans="1:24" s="10" customFormat="1" ht="15.95" customHeight="1" x14ac:dyDescent="0.25">
      <c r="A5" s="94"/>
      <c r="B5" s="94"/>
      <c r="C5" s="161" t="s">
        <v>353</v>
      </c>
      <c r="D5" s="94"/>
      <c r="E5" s="94"/>
      <c r="F5" s="94"/>
      <c r="G5" s="94"/>
      <c r="H5" s="94"/>
      <c r="I5" s="94"/>
      <c r="J5" s="94"/>
      <c r="K5" s="94"/>
      <c r="L5" s="94"/>
      <c r="M5" s="313"/>
      <c r="N5" s="402"/>
      <c r="O5" s="402"/>
      <c r="P5" s="402"/>
      <c r="Q5" s="402"/>
      <c r="R5" s="402"/>
      <c r="S5" s="402"/>
      <c r="T5" s="402"/>
      <c r="U5" s="402"/>
      <c r="V5" s="402"/>
      <c r="W5" s="313"/>
      <c r="X5" s="313"/>
    </row>
    <row r="6" spans="1:24" s="10" customFormat="1" ht="15.95" customHeight="1" x14ac:dyDescent="0.25">
      <c r="A6" s="94"/>
      <c r="B6" s="94"/>
      <c r="C6" s="161" t="s">
        <v>354</v>
      </c>
      <c r="D6" s="94"/>
      <c r="E6" s="94"/>
      <c r="F6" s="94"/>
      <c r="G6" s="94"/>
      <c r="H6" s="94"/>
      <c r="I6" s="94"/>
      <c r="J6" s="94"/>
      <c r="K6" s="94"/>
      <c r="L6" s="94"/>
      <c r="M6" s="313"/>
      <c r="N6" s="402"/>
      <c r="O6" s="402"/>
      <c r="P6" s="402"/>
      <c r="Q6" s="402"/>
      <c r="R6" s="402"/>
      <c r="S6" s="402"/>
      <c r="T6" s="402"/>
      <c r="U6" s="402"/>
      <c r="V6" s="402"/>
      <c r="W6" s="313"/>
      <c r="X6" s="313"/>
    </row>
    <row r="7" spans="1:24" s="10" customFormat="1" ht="9.9499999999999993" customHeight="1" x14ac:dyDescent="0.25">
      <c r="A7" s="94"/>
      <c r="B7" s="94"/>
      <c r="C7" s="161"/>
      <c r="D7" s="94"/>
      <c r="E7" s="94"/>
      <c r="F7" s="94"/>
      <c r="G7" s="94"/>
      <c r="H7" s="94"/>
      <c r="I7" s="94"/>
      <c r="J7" s="94"/>
      <c r="K7" s="94"/>
      <c r="L7" s="94"/>
      <c r="M7" s="313"/>
      <c r="N7" s="402"/>
      <c r="O7" s="402"/>
      <c r="P7" s="402"/>
      <c r="Q7" s="402"/>
      <c r="R7" s="402"/>
      <c r="S7" s="402"/>
      <c r="T7" s="402"/>
      <c r="U7" s="402"/>
      <c r="V7" s="402"/>
      <c r="W7" s="313"/>
      <c r="X7" s="313"/>
    </row>
    <row r="8" spans="1:24" s="10" customFormat="1" ht="15.95" customHeight="1" x14ac:dyDescent="0.25">
      <c r="A8" s="94"/>
      <c r="B8" s="160" t="s">
        <v>759</v>
      </c>
      <c r="C8" s="94" t="s">
        <v>642</v>
      </c>
      <c r="D8" s="94"/>
      <c r="E8" s="94"/>
      <c r="F8" s="94"/>
      <c r="G8" s="94"/>
      <c r="H8" s="94"/>
      <c r="I8" s="94"/>
      <c r="J8" s="94"/>
      <c r="K8" s="94"/>
      <c r="L8" s="94"/>
      <c r="M8" s="313"/>
      <c r="N8" s="402"/>
      <c r="O8" s="402"/>
      <c r="P8" s="402"/>
      <c r="Q8" s="402"/>
      <c r="R8" s="402"/>
      <c r="S8" s="402"/>
      <c r="T8" s="402"/>
      <c r="U8" s="402"/>
      <c r="V8" s="402"/>
      <c r="W8" s="313"/>
      <c r="X8" s="313"/>
    </row>
    <row r="9" spans="1:24" s="10" customFormat="1" ht="15.95" customHeight="1" x14ac:dyDescent="0.25">
      <c r="A9" s="94"/>
      <c r="B9" s="94"/>
      <c r="C9" s="94" t="s">
        <v>355</v>
      </c>
      <c r="D9" s="94"/>
      <c r="E9" s="94"/>
      <c r="F9" s="94"/>
      <c r="G9" s="94"/>
      <c r="H9" s="94"/>
      <c r="I9" s="94"/>
      <c r="J9" s="94"/>
      <c r="K9" s="94"/>
      <c r="L9" s="94"/>
      <c r="M9" s="313"/>
      <c r="N9" s="402"/>
      <c r="O9" s="402"/>
      <c r="P9" s="402"/>
      <c r="Q9" s="402"/>
      <c r="R9" s="402"/>
      <c r="S9" s="402"/>
      <c r="T9" s="402"/>
      <c r="U9" s="402"/>
      <c r="V9" s="402"/>
      <c r="W9" s="313"/>
      <c r="X9" s="313"/>
    </row>
    <row r="10" spans="1:24" s="10" customFormat="1" ht="9.9499999999999993" customHeight="1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313"/>
      <c r="N10" s="402"/>
      <c r="O10" s="402"/>
      <c r="P10" s="402"/>
      <c r="Q10" s="402"/>
      <c r="R10" s="402"/>
      <c r="S10" s="402"/>
      <c r="T10" s="402"/>
      <c r="U10" s="402"/>
      <c r="V10" s="402"/>
      <c r="W10" s="313"/>
      <c r="X10" s="313"/>
    </row>
    <row r="11" spans="1:24" s="10" customFormat="1" ht="15.95" customHeight="1" x14ac:dyDescent="0.25">
      <c r="A11" s="94"/>
      <c r="B11" s="160" t="s">
        <v>760</v>
      </c>
      <c r="C11" s="94" t="s">
        <v>356</v>
      </c>
      <c r="D11" s="94"/>
      <c r="E11" s="94"/>
      <c r="F11" s="94"/>
      <c r="G11" s="94"/>
      <c r="H11" s="94"/>
      <c r="I11" s="94"/>
      <c r="J11" s="94"/>
      <c r="K11" s="94"/>
      <c r="L11" s="94"/>
      <c r="M11" s="313"/>
      <c r="N11" s="402"/>
      <c r="O11" s="402"/>
      <c r="P11" s="402"/>
      <c r="Q11" s="402"/>
      <c r="R11" s="402"/>
      <c r="S11" s="402"/>
      <c r="T11" s="467"/>
      <c r="U11" s="410" t="s">
        <v>1432</v>
      </c>
      <c r="V11" s="467"/>
      <c r="W11" s="313"/>
      <c r="X11" s="313"/>
    </row>
    <row r="12" spans="1:24" s="10" customFormat="1" ht="5.0999999999999996" customHeight="1" x14ac:dyDescent="0.25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313"/>
      <c r="N12" s="402"/>
      <c r="O12" s="402"/>
      <c r="P12" s="402"/>
      <c r="Q12" s="402"/>
      <c r="R12" s="402"/>
      <c r="S12" s="402"/>
      <c r="T12" s="402"/>
      <c r="U12" s="402"/>
      <c r="V12" s="402"/>
      <c r="W12" s="313"/>
      <c r="X12" s="313"/>
    </row>
    <row r="13" spans="1:24" s="10" customFormat="1" ht="15.95" customHeight="1" x14ac:dyDescent="0.25">
      <c r="A13" s="94"/>
      <c r="B13" s="94" t="s">
        <v>337</v>
      </c>
      <c r="C13" s="94" t="s">
        <v>147</v>
      </c>
      <c r="D13" s="161" t="str">
        <f>CONCATENATE("For ",T13,", Apple reported total assets of ",TEXT((T14*1000000),"$#,##0"),", total liabilities")</f>
        <v>For 2011, Apple reported total assets of $116,371,000,000, total liabilities</v>
      </c>
      <c r="E13" s="161"/>
      <c r="F13" s="161"/>
      <c r="G13" s="161"/>
      <c r="H13" s="161"/>
      <c r="I13" s="161"/>
      <c r="J13" s="161"/>
      <c r="K13" s="94"/>
      <c r="L13" s="94"/>
      <c r="M13" s="313"/>
      <c r="N13" s="402"/>
      <c r="O13" s="402"/>
      <c r="P13" s="402"/>
      <c r="Q13" s="402"/>
      <c r="R13" s="402"/>
      <c r="S13" s="402"/>
      <c r="T13" s="458">
        <v>2011</v>
      </c>
      <c r="U13" s="459"/>
      <c r="V13" s="458">
        <v>2010</v>
      </c>
      <c r="W13" s="313"/>
      <c r="X13" s="313"/>
    </row>
    <row r="14" spans="1:24" s="10" customFormat="1" ht="15.95" customHeight="1" x14ac:dyDescent="0.25">
      <c r="A14" s="94"/>
      <c r="B14" s="94"/>
      <c r="C14" s="94"/>
      <c r="D14" s="161" t="str">
        <f>CONCATENATE("of ",TEXT((T16*1000000),"$#,##0"),", and total stockholders’ equity of ",TEXT((T17*1000000),"$#,##0"),".")</f>
        <v>of $39,756,000,000, and total stockholders’ equity of $76,615,000,000.</v>
      </c>
      <c r="E14" s="161"/>
      <c r="F14" s="161"/>
      <c r="G14" s="161"/>
      <c r="H14" s="161"/>
      <c r="I14" s="161"/>
      <c r="J14" s="161"/>
      <c r="K14" s="94"/>
      <c r="L14" s="94"/>
      <c r="M14" s="313"/>
      <c r="N14" s="402"/>
      <c r="O14" s="402"/>
      <c r="P14" s="402"/>
      <c r="Q14" s="402"/>
      <c r="R14" s="402"/>
      <c r="S14" s="405" t="s">
        <v>1428</v>
      </c>
      <c r="T14" s="409">
        <v>116371</v>
      </c>
      <c r="U14" s="402"/>
      <c r="V14" s="409">
        <v>75183</v>
      </c>
      <c r="W14" s="313"/>
      <c r="X14" s="313"/>
    </row>
    <row r="15" spans="1:24" s="10" customFormat="1" ht="5.0999999999999996" customHeight="1" x14ac:dyDescent="0.25">
      <c r="A15" s="94"/>
      <c r="B15" s="94"/>
      <c r="C15" s="94"/>
      <c r="D15" s="161"/>
      <c r="E15" s="161"/>
      <c r="F15" s="161"/>
      <c r="G15" s="161"/>
      <c r="H15" s="161"/>
      <c r="I15" s="161"/>
      <c r="J15" s="161"/>
      <c r="K15" s="94"/>
      <c r="L15" s="94"/>
      <c r="M15" s="313"/>
      <c r="N15" s="402"/>
      <c r="O15" s="402"/>
      <c r="P15" s="402"/>
      <c r="Q15" s="402"/>
      <c r="R15" s="402"/>
      <c r="S15" s="402"/>
      <c r="T15" s="402"/>
      <c r="U15" s="402"/>
      <c r="V15" s="402"/>
      <c r="W15" s="313"/>
      <c r="X15" s="313"/>
    </row>
    <row r="16" spans="1:24" ht="15.95" customHeight="1" x14ac:dyDescent="0.25">
      <c r="A16" s="162"/>
      <c r="B16" s="162"/>
      <c r="C16" s="94" t="s">
        <v>58</v>
      </c>
      <c r="D16" s="161" t="s">
        <v>357</v>
      </c>
      <c r="E16" s="219"/>
      <c r="F16" s="219"/>
      <c r="G16" s="219"/>
      <c r="H16" s="219"/>
      <c r="I16" s="219"/>
      <c r="J16" s="219"/>
      <c r="K16" s="162"/>
      <c r="L16" s="162"/>
      <c r="S16" s="405" t="s">
        <v>933</v>
      </c>
      <c r="T16" s="409">
        <v>39756</v>
      </c>
      <c r="U16" s="402"/>
      <c r="V16" s="409">
        <v>27392</v>
      </c>
    </row>
    <row r="17" spans="1:24" ht="15.95" customHeight="1" x14ac:dyDescent="0.25">
      <c r="A17" s="162"/>
      <c r="B17" s="162"/>
      <c r="C17" s="94"/>
      <c r="D17" s="161" t="str">
        <f>CONCATENATE("year. For ",V13,", Apple reported total assets of ",TEXT((V14*1000000),"$#,##0"),", total")</f>
        <v>year. For 2010, Apple reported total assets of $75,183,000,000, total</v>
      </c>
      <c r="E17" s="219"/>
      <c r="F17" s="219"/>
      <c r="G17" s="219"/>
      <c r="H17" s="219"/>
      <c r="I17" s="219"/>
      <c r="J17" s="219"/>
      <c r="K17" s="162"/>
      <c r="L17" s="162"/>
      <c r="S17" s="405" t="s">
        <v>1429</v>
      </c>
      <c r="T17" s="409">
        <v>76615</v>
      </c>
      <c r="U17" s="402"/>
      <c r="V17" s="409">
        <v>47791</v>
      </c>
    </row>
    <row r="18" spans="1:24" ht="15.95" customHeight="1" x14ac:dyDescent="0.25">
      <c r="A18" s="162"/>
      <c r="B18" s="162"/>
      <c r="C18" s="94"/>
      <c r="D18" s="161" t="str">
        <f>CONCATENATE("liabilities of ",TEXT((V16*1000000),"$#,##0"),", and total stockholders’ equity of ")</f>
        <v xml:space="preserve">liabilities of $27,392,000,000, and total stockholders’ equity of </v>
      </c>
      <c r="E18" s="219"/>
      <c r="F18" s="219"/>
      <c r="G18" s="219"/>
      <c r="H18" s="219"/>
      <c r="I18" s="219"/>
      <c r="J18" s="219"/>
      <c r="K18" s="162"/>
      <c r="L18" s="162"/>
      <c r="S18" s="405" t="s">
        <v>1430</v>
      </c>
      <c r="T18" s="409">
        <v>44988</v>
      </c>
      <c r="U18" s="402"/>
      <c r="V18" s="409">
        <v>41678</v>
      </c>
    </row>
    <row r="19" spans="1:24" ht="15.95" customHeight="1" x14ac:dyDescent="0.25">
      <c r="A19" s="162"/>
      <c r="B19" s="162"/>
      <c r="C19" s="94"/>
      <c r="D19" s="161" t="str">
        <f>CONCATENATE(TEXT((V17*1000000),"$#,##0"),". This represented an increase in total assets of ")</f>
        <v xml:space="preserve">$47,791,000,000. This represented an increase in total assets of </v>
      </c>
      <c r="E19" s="219"/>
      <c r="F19" s="219"/>
      <c r="G19" s="219"/>
      <c r="H19" s="219"/>
      <c r="I19" s="219"/>
      <c r="J19" s="219"/>
      <c r="K19" s="162"/>
      <c r="L19" s="162"/>
      <c r="O19" s="412" t="s">
        <v>794</v>
      </c>
      <c r="S19" s="405" t="s">
        <v>1431</v>
      </c>
      <c r="T19" s="409">
        <v>27970</v>
      </c>
      <c r="U19" s="402"/>
      <c r="V19" s="409">
        <v>20722</v>
      </c>
    </row>
    <row r="20" spans="1:24" ht="15.95" customHeight="1" x14ac:dyDescent="0.25">
      <c r="A20" s="210"/>
      <c r="B20" s="162"/>
      <c r="C20" s="94"/>
      <c r="D20" s="161" t="str">
        <f>CONCATENATE(TEXT((R20*1000000),"$#,##0")," (",TEXT((N20*1000000),"$#,##0"),O20,TEXT((P20*1000000),"$#,##0"),"), an increase in total")</f>
        <v>$41,188,000,000 ($116,371,000,000 – $75,183,000,000), an increase in total</v>
      </c>
      <c r="E20" s="219"/>
      <c r="F20" s="219"/>
      <c r="G20" s="219"/>
      <c r="H20" s="219"/>
      <c r="I20" s="219"/>
      <c r="J20" s="219"/>
      <c r="K20" s="162"/>
      <c r="L20" s="162"/>
      <c r="N20" s="410">
        <f>T14</f>
        <v>116371</v>
      </c>
      <c r="O20" s="410" t="s">
        <v>1589</v>
      </c>
      <c r="P20" s="410">
        <f>V14</f>
        <v>75183</v>
      </c>
      <c r="Q20" s="410" t="s">
        <v>1587</v>
      </c>
      <c r="R20" s="410">
        <f>SUM(N20-P20)</f>
        <v>41188</v>
      </c>
      <c r="S20" s="405" t="s">
        <v>1594</v>
      </c>
      <c r="T20" s="409">
        <v>108249</v>
      </c>
      <c r="U20" s="402"/>
      <c r="V20" s="409">
        <v>65225</v>
      </c>
    </row>
    <row r="21" spans="1:24" ht="15.95" customHeight="1" x14ac:dyDescent="0.25">
      <c r="A21" s="162"/>
      <c r="B21" s="162"/>
      <c r="C21" s="94"/>
      <c r="D21" s="161" t="str">
        <f>CONCATENATE("liabilities of ",TEXT((R21*1000000),"$#,##0")," (",TEXT((N21*1000000),"$#,##0"),O21,TEXT((P21*1000000),"$#,##0"),"), and an")</f>
        <v>liabilities of $12,364,000,000 ($39,756,000,000 – $27,392,000,000), and an</v>
      </c>
      <c r="E21" s="219"/>
      <c r="F21" s="219"/>
      <c r="G21" s="219"/>
      <c r="H21" s="219"/>
      <c r="I21" s="219"/>
      <c r="J21" s="219"/>
      <c r="K21" s="162"/>
      <c r="L21" s="162"/>
      <c r="N21" s="410">
        <f>T16</f>
        <v>39756</v>
      </c>
      <c r="O21" s="410" t="s">
        <v>1589</v>
      </c>
      <c r="P21" s="410">
        <f>V16</f>
        <v>27392</v>
      </c>
      <c r="Q21" s="410" t="s">
        <v>1587</v>
      </c>
      <c r="R21" s="410">
        <f>SUM(N21-P21)</f>
        <v>12364</v>
      </c>
      <c r="S21" s="405" t="s">
        <v>1605</v>
      </c>
    </row>
    <row r="22" spans="1:24" ht="15.95" customHeight="1" x14ac:dyDescent="0.25">
      <c r="A22" s="162"/>
      <c r="B22" s="162"/>
      <c r="C22" s="94"/>
      <c r="D22" s="161" t="str">
        <f>CONCATENATE("increase in total stockholders’ equity of ",TEXT((R23*1000000),"$#,##0")," (",TEXT((N23*1000000),"$#,##0"),O23,)</f>
        <v xml:space="preserve">increase in total stockholders’ equity of $28,824,000,000 ($76,615,000,000 – </v>
      </c>
      <c r="E22" s="219"/>
      <c r="F22" s="219"/>
      <c r="G22" s="219"/>
      <c r="H22" s="219"/>
      <c r="I22" s="219"/>
      <c r="J22" s="219"/>
      <c r="K22" s="162"/>
      <c r="L22" s="162"/>
      <c r="S22" s="405"/>
      <c r="T22" s="409">
        <v>64431</v>
      </c>
      <c r="U22" s="402"/>
      <c r="V22" s="410"/>
      <c r="W22" s="316"/>
      <c r="X22" s="316"/>
    </row>
    <row r="23" spans="1:24" ht="15.95" customHeight="1" x14ac:dyDescent="0.25">
      <c r="A23" s="162"/>
      <c r="B23" s="162"/>
      <c r="C23" s="94"/>
      <c r="D23" s="161" t="str">
        <f>CONCATENATE(TEXT((P23*1000000),"$#,##0"),"). Apple experienced significant growth in its resources",)</f>
        <v>$47,791,000,000). Apple experienced significant growth in its resources</v>
      </c>
      <c r="E23" s="219"/>
      <c r="F23" s="219"/>
      <c r="G23" s="219"/>
      <c r="H23" s="219"/>
      <c r="I23" s="219"/>
      <c r="J23" s="219"/>
      <c r="K23" s="162"/>
      <c r="L23" s="162"/>
      <c r="N23" s="410">
        <f>T17</f>
        <v>76615</v>
      </c>
      <c r="O23" s="410" t="s">
        <v>1589</v>
      </c>
      <c r="P23" s="410">
        <f>V17</f>
        <v>47791</v>
      </c>
      <c r="Q23" s="410" t="s">
        <v>1587</v>
      </c>
      <c r="R23" s="410">
        <f>SUM(N23-P23)</f>
        <v>28824</v>
      </c>
      <c r="S23" s="445" t="s">
        <v>1504</v>
      </c>
      <c r="T23" s="409">
        <v>10028</v>
      </c>
      <c r="U23" s="402"/>
      <c r="V23" s="410"/>
      <c r="W23" s="316"/>
      <c r="X23" s="316"/>
    </row>
    <row r="24" spans="1:24" ht="15.95" customHeight="1" x14ac:dyDescent="0.25">
      <c r="A24" s="162"/>
      <c r="B24" s="162"/>
      <c r="C24" s="94"/>
      <c r="D24" s="161" t="str">
        <f>CONCATENATE("and claims against those resources during ",T13,".")</f>
        <v>and claims against those resources during 2011.</v>
      </c>
      <c r="E24" s="219"/>
      <c r="F24" s="219"/>
      <c r="G24" s="219"/>
      <c r="H24" s="219"/>
      <c r="I24" s="219"/>
      <c r="J24" s="219"/>
      <c r="K24" s="162"/>
      <c r="L24" s="162"/>
      <c r="S24" s="445" t="s">
        <v>1504</v>
      </c>
      <c r="T24" s="409">
        <v>8283</v>
      </c>
      <c r="U24" s="402"/>
      <c r="V24" s="410"/>
      <c r="W24" s="316"/>
      <c r="X24" s="316"/>
    </row>
    <row r="25" spans="1:24" ht="5.0999999999999996" customHeight="1" x14ac:dyDescent="0.25">
      <c r="A25" s="162"/>
      <c r="B25" s="162"/>
      <c r="C25" s="94"/>
      <c r="D25" s="161"/>
      <c r="E25" s="219"/>
      <c r="F25" s="219"/>
      <c r="G25" s="219"/>
      <c r="H25" s="219"/>
      <c r="I25" s="219"/>
      <c r="J25" s="219"/>
      <c r="K25" s="162"/>
      <c r="L25" s="162"/>
      <c r="W25" s="316"/>
      <c r="X25" s="316"/>
    </row>
    <row r="26" spans="1:24" ht="15.95" customHeight="1" x14ac:dyDescent="0.25">
      <c r="A26" s="162"/>
      <c r="B26" s="162"/>
      <c r="C26" s="94" t="s">
        <v>154</v>
      </c>
      <c r="D26" s="161" t="str">
        <f>CONCATENATE("For ",T13,", Apple reported current assets of ",TEXT((T18*1000000),"$#,##0")," and current")</f>
        <v>For 2011, Apple reported current assets of $44,988,000,000 and current</v>
      </c>
      <c r="E26" s="219"/>
      <c r="F26" s="219"/>
      <c r="G26" s="219"/>
      <c r="H26" s="219"/>
      <c r="I26" s="219"/>
      <c r="J26" s="219"/>
      <c r="K26" s="162"/>
      <c r="L26" s="162"/>
      <c r="S26" s="445" t="s">
        <v>329</v>
      </c>
      <c r="T26" s="409">
        <v>415</v>
      </c>
      <c r="U26" s="402"/>
      <c r="V26" s="410"/>
      <c r="W26" s="316"/>
      <c r="X26" s="316"/>
    </row>
    <row r="27" spans="1:24" ht="15.95" customHeight="1" x14ac:dyDescent="0.25">
      <c r="A27" s="162"/>
      <c r="B27" s="162"/>
      <c r="C27" s="94"/>
      <c r="D27" s="161" t="str">
        <f>CONCATENATE("liabilities of ",TEXT((T19*1000000),"$#,##0"),". For ",V13,", Apple reported current assets of ")</f>
        <v xml:space="preserve">liabilities of $27,970,000,000. For 2010, Apple reported current assets of </v>
      </c>
      <c r="E27" s="219"/>
      <c r="F27" s="219"/>
      <c r="G27" s="219"/>
      <c r="H27" s="219"/>
      <c r="I27" s="219"/>
      <c r="J27" s="219"/>
      <c r="K27" s="162"/>
      <c r="L27" s="162"/>
      <c r="S27" s="468" t="s">
        <v>1687</v>
      </c>
      <c r="T27" s="410">
        <f>SUM(T22+T23+T24-T26)</f>
        <v>82327</v>
      </c>
      <c r="V27" s="410"/>
      <c r="W27" s="316"/>
      <c r="X27" s="316"/>
    </row>
    <row r="28" spans="1:24" ht="15.95" customHeight="1" x14ac:dyDescent="0.25">
      <c r="A28" s="162"/>
      <c r="B28" s="162"/>
      <c r="C28" s="94"/>
      <c r="D28" s="161" t="str">
        <f>CONCATENATE(TEXT((V18*1000000),"$#,##0")," and current liabilities of ",TEXT((V19*1000000),"$#,##0"),".")</f>
        <v>$41,678,000,000 and current liabilities of $20,722,000,000.</v>
      </c>
      <c r="E28" s="219"/>
      <c r="F28" s="219"/>
      <c r="G28" s="219"/>
      <c r="H28" s="219"/>
      <c r="I28" s="219"/>
      <c r="J28" s="219"/>
      <c r="K28" s="162"/>
      <c r="L28" s="162"/>
      <c r="O28" s="412" t="s">
        <v>794</v>
      </c>
      <c r="W28" s="316"/>
      <c r="X28" s="316"/>
    </row>
    <row r="29" spans="1:24" ht="5.0999999999999996" customHeight="1" x14ac:dyDescent="0.25">
      <c r="A29" s="162"/>
      <c r="B29" s="162"/>
      <c r="C29" s="94"/>
      <c r="D29" s="161"/>
      <c r="E29" s="219"/>
      <c r="F29" s="219"/>
      <c r="G29" s="219"/>
      <c r="H29" s="219"/>
      <c r="I29" s="219"/>
      <c r="J29" s="219"/>
      <c r="K29" s="162"/>
      <c r="L29" s="162"/>
    </row>
    <row r="30" spans="1:24" ht="15.95" customHeight="1" x14ac:dyDescent="0.25">
      <c r="A30" s="162"/>
      <c r="B30" s="162"/>
      <c r="C30" s="94" t="s">
        <v>1442</v>
      </c>
      <c r="D30" s="161" t="str">
        <f>CONCATENATE("Apple reported working capital of ",TEXT((R30*1000000),"$#,##0")," (",TEXT((N30*1000000),"$#,##0"),O30,)</f>
        <v xml:space="preserve">Apple reported working capital of $17,018,000,000 ($44,988,000,000 – </v>
      </c>
      <c r="E30" s="219"/>
      <c r="F30" s="219"/>
      <c r="G30" s="219"/>
      <c r="H30" s="219"/>
      <c r="I30" s="219"/>
      <c r="J30" s="219"/>
      <c r="K30" s="162"/>
      <c r="L30" s="162"/>
      <c r="N30" s="410">
        <f>T18</f>
        <v>44988</v>
      </c>
      <c r="O30" s="410" t="s">
        <v>1589</v>
      </c>
      <c r="P30" s="410">
        <f>T19</f>
        <v>27970</v>
      </c>
      <c r="Q30" s="410" t="s">
        <v>1587</v>
      </c>
      <c r="R30" s="410">
        <f>SUM(N30-P30)</f>
        <v>17018</v>
      </c>
      <c r="U30" s="405" t="s">
        <v>1437</v>
      </c>
      <c r="V30" s="409">
        <v>37529</v>
      </c>
    </row>
    <row r="31" spans="1:24" ht="15.95" customHeight="1" x14ac:dyDescent="0.25">
      <c r="A31" s="162"/>
      <c r="B31" s="162"/>
      <c r="C31" s="94"/>
      <c r="D31" s="161" t="str">
        <f>CONCATENATE(TEXT((P30*1000000),"$#,##0"),") for ",T13," and working capital of ",TEXT((R32*1000000),"$#,##0"),)</f>
        <v>$27,970,000,000) for 2011 and working capital of $20,956,000,000</v>
      </c>
      <c r="E31" s="219"/>
      <c r="F31" s="219"/>
      <c r="G31" s="219"/>
      <c r="H31" s="219"/>
      <c r="I31" s="219"/>
      <c r="J31" s="219"/>
      <c r="K31" s="162"/>
      <c r="L31" s="162"/>
      <c r="U31" s="405" t="s">
        <v>1436</v>
      </c>
      <c r="V31" s="409">
        <v>40419</v>
      </c>
    </row>
    <row r="32" spans="1:24" ht="15.95" customHeight="1" x14ac:dyDescent="0.25">
      <c r="A32" s="162"/>
      <c r="B32" s="162"/>
      <c r="C32" s="94"/>
      <c r="D32" s="161" t="str">
        <f>CONCATENATE("(",TEXT((N32*1000000),"$#,##0"),O32,TEXT((P32*1000000),"$#,##0"),") for ",V13,". Apple’s current ratio was")</f>
        <v>($41,678,000,000 – $20,722,000,000) for 2010. Apple’s current ratio was</v>
      </c>
      <c r="E32" s="219"/>
      <c r="F32" s="219"/>
      <c r="G32" s="219"/>
      <c r="H32" s="219"/>
      <c r="I32" s="219"/>
      <c r="J32" s="219"/>
      <c r="K32" s="162"/>
      <c r="L32" s="162"/>
      <c r="N32" s="410">
        <f>V18</f>
        <v>41678</v>
      </c>
      <c r="O32" s="410" t="s">
        <v>1589</v>
      </c>
      <c r="P32" s="410">
        <f>V19</f>
        <v>20722</v>
      </c>
      <c r="Q32" s="410" t="s">
        <v>1587</v>
      </c>
      <c r="R32" s="410">
        <f>SUM(N32-P32)</f>
        <v>20956</v>
      </c>
      <c r="U32" s="405" t="s">
        <v>1438</v>
      </c>
      <c r="V32" s="409">
        <v>1444</v>
      </c>
    </row>
    <row r="33" spans="1:27" ht="15.95" customHeight="1" x14ac:dyDescent="0.25">
      <c r="A33" s="162"/>
      <c r="B33" s="162"/>
      <c r="C33" s="94"/>
      <c r="D33" s="161" t="str">
        <f>CONCATENATE(TEXT(R33,"#,##0.00")," (",TEXT((N33*1000000),"$#,##0"),O33,TEXT((P33*1000000),"$#,##0"),") for ",T13," and ",TEXT(R34,"#,##0.00"),)</f>
        <v>1.61 ($44,988,000,000 / $27,970,000,000) for 2011 and 2.01</v>
      </c>
      <c r="E33" s="219"/>
      <c r="F33" s="219"/>
      <c r="G33" s="219"/>
      <c r="H33" s="219"/>
      <c r="I33" s="219"/>
      <c r="J33" s="219"/>
      <c r="K33" s="162"/>
      <c r="L33" s="162"/>
      <c r="N33" s="410">
        <f>T18</f>
        <v>44988</v>
      </c>
      <c r="O33" s="410" t="s">
        <v>1314</v>
      </c>
      <c r="P33" s="410">
        <f>T19</f>
        <v>27970</v>
      </c>
      <c r="Q33" s="410" t="s">
        <v>1587</v>
      </c>
      <c r="R33" s="424">
        <f>SUM(N33/P33)</f>
        <v>1.6084376117268502</v>
      </c>
      <c r="U33" s="405" t="s">
        <v>1439</v>
      </c>
      <c r="V33" s="409">
        <v>4260</v>
      </c>
    </row>
    <row r="34" spans="1:27" ht="15.95" customHeight="1" x14ac:dyDescent="0.25">
      <c r="A34" s="162"/>
      <c r="B34" s="162"/>
      <c r="C34" s="94"/>
      <c r="D34" s="161" t="str">
        <f>CONCATENATE("(",TEXT((N34*1000000),"$#,##0"),O34,TEXT((P34*1000000),"$#,##0"),") for ",V13,". Apple’s current assets are")</f>
        <v>($41,678,000,000 / $20,722,000,000) for 2010. Apple’s current assets are</v>
      </c>
      <c r="E34" s="219"/>
      <c r="F34" s="219"/>
      <c r="G34" s="219"/>
      <c r="H34" s="219"/>
      <c r="I34" s="219"/>
      <c r="J34" s="219"/>
      <c r="K34" s="162"/>
      <c r="L34" s="162"/>
      <c r="N34" s="410">
        <f>V18</f>
        <v>41678</v>
      </c>
      <c r="O34" s="410" t="s">
        <v>1314</v>
      </c>
      <c r="P34" s="410">
        <f>V19</f>
        <v>20722</v>
      </c>
      <c r="Q34" s="410" t="s">
        <v>1587</v>
      </c>
      <c r="R34" s="424">
        <f>SUM(N34/P34)</f>
        <v>2.0112923462986196</v>
      </c>
    </row>
    <row r="35" spans="1:27" ht="15.95" customHeight="1" x14ac:dyDescent="0.25">
      <c r="A35" s="162"/>
      <c r="B35" s="162"/>
      <c r="C35" s="94"/>
      <c r="D35" s="161" t="s">
        <v>1443</v>
      </c>
      <c r="E35" s="219"/>
      <c r="F35" s="219"/>
      <c r="G35" s="219"/>
      <c r="H35" s="219"/>
      <c r="I35" s="219"/>
      <c r="J35" s="219"/>
      <c r="K35" s="162"/>
      <c r="L35" s="162"/>
    </row>
    <row r="36" spans="1:27" ht="15.95" customHeight="1" x14ac:dyDescent="0.25">
      <c r="A36" s="162"/>
      <c r="B36" s="162"/>
      <c r="C36" s="94"/>
      <c r="D36" s="161" t="s">
        <v>1444</v>
      </c>
      <c r="E36" s="219"/>
      <c r="F36" s="219"/>
      <c r="G36" s="219"/>
      <c r="H36" s="219"/>
      <c r="I36" s="219"/>
      <c r="J36" s="219"/>
      <c r="K36" s="162"/>
      <c r="L36" s="162"/>
    </row>
    <row r="37" spans="1:27" ht="15.95" customHeight="1" x14ac:dyDescent="0.25">
      <c r="A37" s="162"/>
      <c r="B37" s="162"/>
      <c r="C37" s="94"/>
      <c r="D37" s="71" t="s">
        <v>228</v>
      </c>
      <c r="E37" s="219"/>
      <c r="F37" s="219"/>
      <c r="G37" s="219"/>
      <c r="H37" s="219"/>
      <c r="I37" s="219"/>
      <c r="J37" s="219"/>
      <c r="K37" s="162"/>
      <c r="L37" s="272"/>
      <c r="M37" s="338"/>
      <c r="W37" s="338"/>
      <c r="X37" s="338"/>
      <c r="Y37" s="249"/>
      <c r="Z37" s="249"/>
      <c r="AA37" s="249"/>
    </row>
    <row r="38" spans="1:27" ht="15.75" customHeight="1" x14ac:dyDescent="0.25">
      <c r="A38" s="162"/>
      <c r="B38" s="162"/>
      <c r="C38" s="94"/>
      <c r="D38" s="161" t="s">
        <v>229</v>
      </c>
      <c r="E38" s="219"/>
      <c r="F38" s="219"/>
      <c r="G38" s="219"/>
      <c r="H38" s="219"/>
      <c r="I38" s="219"/>
      <c r="J38" s="219"/>
      <c r="K38" s="162"/>
      <c r="L38" s="162"/>
    </row>
    <row r="39" spans="1:27" s="10" customFormat="1" ht="15.75" customHeight="1" x14ac:dyDescent="0.25">
      <c r="A39" s="94"/>
      <c r="B39" s="94"/>
      <c r="C39" s="94"/>
      <c r="D39" s="161" t="s">
        <v>230</v>
      </c>
      <c r="E39" s="161"/>
      <c r="F39" s="161"/>
      <c r="G39" s="161"/>
      <c r="H39" s="161"/>
      <c r="I39" s="161"/>
      <c r="J39" s="161"/>
      <c r="K39" s="94"/>
      <c r="L39" s="94"/>
      <c r="M39" s="313"/>
      <c r="N39" s="402"/>
      <c r="O39" s="402"/>
      <c r="P39" s="402"/>
      <c r="Q39" s="402"/>
      <c r="R39" s="402"/>
      <c r="S39" s="402"/>
      <c r="T39" s="402"/>
      <c r="U39" s="402"/>
      <c r="V39" s="402"/>
      <c r="W39" s="313"/>
      <c r="X39" s="313"/>
    </row>
    <row r="40" spans="1:27" s="10" customFormat="1" ht="15.95" customHeight="1" x14ac:dyDescent="0.25">
      <c r="A40" s="94"/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313"/>
      <c r="N40" s="402"/>
      <c r="O40" s="402"/>
      <c r="P40" s="402"/>
      <c r="Q40" s="402"/>
      <c r="R40" s="402"/>
      <c r="S40" s="402"/>
      <c r="T40" s="402"/>
      <c r="U40" s="402"/>
      <c r="V40" s="402"/>
      <c r="W40" s="313"/>
      <c r="X40" s="313"/>
    </row>
    <row r="41" spans="1:27" s="10" customFormat="1" ht="15.95" customHeight="1" x14ac:dyDescent="0.25">
      <c r="M41" s="313"/>
      <c r="N41" s="402"/>
      <c r="O41" s="402"/>
      <c r="P41" s="402"/>
      <c r="Q41" s="402"/>
      <c r="R41" s="402"/>
      <c r="S41" s="402"/>
      <c r="T41" s="402"/>
      <c r="U41" s="402"/>
      <c r="V41" s="402"/>
      <c r="W41" s="313"/>
      <c r="X41" s="313"/>
    </row>
    <row r="42" spans="1:27" s="10" customFormat="1" ht="15.95" customHeight="1" x14ac:dyDescent="0.25">
      <c r="M42" s="313"/>
      <c r="N42" s="402"/>
      <c r="O42" s="402"/>
      <c r="P42" s="402"/>
      <c r="Q42" s="402"/>
      <c r="R42" s="402"/>
      <c r="S42" s="402"/>
      <c r="T42" s="402"/>
      <c r="U42" s="402"/>
      <c r="V42" s="402"/>
      <c r="W42" s="313"/>
      <c r="X42" s="313"/>
    </row>
    <row r="43" spans="1:27" s="10" customFormat="1" ht="15.95" customHeight="1" x14ac:dyDescent="0.25">
      <c r="M43" s="313"/>
      <c r="N43" s="402"/>
      <c r="O43" s="402"/>
      <c r="P43" s="402"/>
      <c r="Q43" s="402"/>
      <c r="R43" s="402"/>
      <c r="S43" s="402"/>
      <c r="T43" s="402"/>
      <c r="U43" s="402"/>
      <c r="V43" s="402"/>
      <c r="W43" s="313"/>
      <c r="X43" s="313"/>
    </row>
    <row r="44" spans="1:27" s="10" customFormat="1" ht="15.95" customHeight="1" x14ac:dyDescent="0.25">
      <c r="M44" s="313"/>
      <c r="N44" s="402"/>
      <c r="O44" s="402"/>
      <c r="P44" s="402"/>
      <c r="Q44" s="402"/>
      <c r="R44" s="402"/>
      <c r="S44" s="402"/>
      <c r="T44" s="402"/>
      <c r="U44" s="402"/>
      <c r="V44" s="402"/>
      <c r="W44" s="313"/>
      <c r="X44" s="313"/>
    </row>
    <row r="45" spans="1:27" s="10" customFormat="1" ht="15.95" customHeight="1" x14ac:dyDescent="0.25">
      <c r="M45" s="313"/>
      <c r="N45" s="402"/>
      <c r="O45" s="402"/>
      <c r="P45" s="402"/>
      <c r="Q45" s="402"/>
      <c r="R45" s="402"/>
      <c r="S45" s="402"/>
      <c r="T45" s="402"/>
      <c r="U45" s="402"/>
      <c r="V45" s="402"/>
      <c r="W45" s="313"/>
      <c r="X45" s="313"/>
    </row>
    <row r="46" spans="1:27" s="10" customFormat="1" ht="15.95" customHeight="1" x14ac:dyDescent="0.25">
      <c r="M46" s="313"/>
      <c r="N46" s="402"/>
      <c r="O46" s="402"/>
      <c r="P46" s="402"/>
      <c r="Q46" s="402"/>
      <c r="R46" s="402"/>
      <c r="S46" s="402"/>
      <c r="T46" s="402"/>
      <c r="U46" s="402"/>
      <c r="V46" s="402"/>
      <c r="W46" s="313"/>
      <c r="X46" s="313"/>
    </row>
    <row r="47" spans="1:27" s="10" customFormat="1" ht="15.95" customHeight="1" x14ac:dyDescent="0.25">
      <c r="M47" s="313"/>
      <c r="N47" s="402"/>
      <c r="O47" s="402"/>
      <c r="P47" s="402"/>
      <c r="Q47" s="402"/>
      <c r="R47" s="402"/>
      <c r="S47" s="402"/>
      <c r="T47" s="402"/>
      <c r="U47" s="402"/>
      <c r="V47" s="402"/>
      <c r="W47" s="313"/>
      <c r="X47" s="313"/>
    </row>
    <row r="48" spans="1:27" s="10" customFormat="1" ht="15.95" customHeight="1" x14ac:dyDescent="0.25">
      <c r="M48" s="313"/>
      <c r="N48" s="402"/>
      <c r="O48" s="402"/>
      <c r="P48" s="402"/>
      <c r="Q48" s="402"/>
      <c r="R48" s="402"/>
      <c r="S48" s="402"/>
      <c r="T48" s="402"/>
      <c r="U48" s="402"/>
      <c r="V48" s="402"/>
      <c r="W48" s="313"/>
      <c r="X48" s="313"/>
    </row>
    <row r="49" spans="13:24" s="10" customFormat="1" ht="15.95" customHeight="1" x14ac:dyDescent="0.25">
      <c r="M49" s="313"/>
      <c r="N49" s="402"/>
      <c r="O49" s="402"/>
      <c r="P49" s="402"/>
      <c r="Q49" s="402"/>
      <c r="R49" s="402"/>
      <c r="S49" s="402"/>
      <c r="T49" s="402"/>
      <c r="U49" s="402"/>
      <c r="V49" s="402"/>
      <c r="W49" s="313"/>
      <c r="X49" s="313"/>
    </row>
    <row r="50" spans="13:24" s="10" customFormat="1" ht="15" customHeight="1" x14ac:dyDescent="0.25">
      <c r="M50" s="313"/>
      <c r="N50" s="402"/>
      <c r="O50" s="402"/>
      <c r="P50" s="402"/>
      <c r="Q50" s="402"/>
      <c r="R50" s="402"/>
      <c r="S50" s="402"/>
      <c r="T50" s="402"/>
      <c r="U50" s="402"/>
      <c r="V50" s="402"/>
      <c r="W50" s="313"/>
      <c r="X50" s="313"/>
    </row>
    <row r="51" spans="13:24" s="10" customFormat="1" ht="15" customHeight="1" x14ac:dyDescent="0.25">
      <c r="M51" s="313"/>
      <c r="N51" s="402"/>
      <c r="O51" s="402"/>
      <c r="P51" s="402"/>
      <c r="Q51" s="402"/>
      <c r="R51" s="402"/>
      <c r="S51" s="402"/>
      <c r="T51" s="402"/>
      <c r="U51" s="402"/>
      <c r="V51" s="402"/>
      <c r="W51" s="313"/>
      <c r="X51" s="313"/>
    </row>
    <row r="52" spans="13:24" s="10" customFormat="1" ht="15" customHeight="1" x14ac:dyDescent="0.25">
      <c r="M52" s="313"/>
      <c r="N52" s="402"/>
      <c r="O52" s="402"/>
      <c r="P52" s="402"/>
      <c r="Q52" s="402"/>
      <c r="R52" s="402"/>
      <c r="S52" s="402"/>
      <c r="T52" s="402"/>
      <c r="U52" s="402"/>
      <c r="V52" s="402"/>
      <c r="W52" s="313"/>
      <c r="X52" s="313"/>
    </row>
    <row r="53" spans="13:24" s="10" customFormat="1" ht="15" customHeight="1" x14ac:dyDescent="0.25">
      <c r="M53" s="313"/>
      <c r="N53" s="402"/>
      <c r="O53" s="402"/>
      <c r="P53" s="402"/>
      <c r="Q53" s="402"/>
      <c r="R53" s="402"/>
      <c r="S53" s="402"/>
      <c r="T53" s="402"/>
      <c r="U53" s="402"/>
      <c r="V53" s="402"/>
      <c r="W53" s="313"/>
      <c r="X53" s="313"/>
    </row>
    <row r="54" spans="13:24" s="10" customFormat="1" ht="15" customHeight="1" x14ac:dyDescent="0.25">
      <c r="M54" s="313"/>
      <c r="N54" s="402"/>
      <c r="O54" s="402"/>
      <c r="P54" s="402"/>
      <c r="Q54" s="402"/>
      <c r="R54" s="402"/>
      <c r="S54" s="402"/>
      <c r="T54" s="402"/>
      <c r="U54" s="402"/>
      <c r="V54" s="402"/>
      <c r="W54" s="313"/>
      <c r="X54" s="313"/>
    </row>
  </sheetData>
  <customSheetViews>
    <customSheetView guid="{B2DDA8C4-3089-41F7-BA6E-A0E09596A2CA}" scale="80" showPageBreaks="1" fitToPage="1" printArea="1">
      <selection activeCell="B2" sqref="B2"/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23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 topLeftCell="A23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2" sqref="B2"/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zoomScale="70" zoomScaleNormal="70" workbookViewId="0">
      <selection activeCell="B1" sqref="B1"/>
    </sheetView>
  </sheetViews>
  <sheetFormatPr defaultRowHeight="12.75" x14ac:dyDescent="0.2"/>
  <cols>
    <col min="1" max="1" width="1.7109375" style="119" customWidth="1"/>
    <col min="2" max="5" width="4.7109375" style="119" customWidth="1"/>
    <col min="6" max="6" width="9.140625" style="119"/>
    <col min="7" max="7" width="10.7109375" style="119" customWidth="1"/>
    <col min="8" max="8" width="9.140625" style="119"/>
    <col min="9" max="9" width="10" style="119" customWidth="1"/>
    <col min="10" max="10" width="9.85546875" style="119" customWidth="1"/>
    <col min="11" max="11" width="10.7109375" style="119" customWidth="1"/>
    <col min="12" max="12" width="12.85546875" style="119" customWidth="1"/>
    <col min="13" max="13" width="2.7109375" style="119" customWidth="1"/>
    <col min="14" max="14" width="9.42578125" style="407" hidden="1" customWidth="1"/>
    <col min="15" max="15" width="2.7109375" style="407" hidden="1" customWidth="1"/>
    <col min="16" max="16" width="10.5703125" style="407" hidden="1" customWidth="1"/>
    <col min="17" max="17" width="2.7109375" style="407" hidden="1" customWidth="1"/>
    <col min="18" max="18" width="9.28515625" style="407" hidden="1" customWidth="1"/>
    <col min="19" max="19" width="20.5703125" style="407" hidden="1" customWidth="1"/>
    <col min="20" max="20" width="9.42578125" style="407" hidden="1" customWidth="1"/>
    <col min="21" max="21" width="2.7109375" style="407" hidden="1" customWidth="1"/>
    <col min="22" max="22" width="9.28515625" style="407" hidden="1" customWidth="1"/>
    <col min="23" max="23" width="2.7109375" style="321" customWidth="1"/>
    <col min="24" max="24" width="9.140625" style="321"/>
    <col min="25" max="25" width="2.7109375" style="119" customWidth="1"/>
    <col min="26" max="16384" width="9.140625" style="119"/>
  </cols>
  <sheetData>
    <row r="1" spans="1:24" ht="28.5" customHeight="1" x14ac:dyDescent="0.2">
      <c r="A1" s="210"/>
    </row>
    <row r="2" spans="1:24" ht="15.95" customHeight="1" x14ac:dyDescent="0.25">
      <c r="B2" s="10" t="s">
        <v>643</v>
      </c>
      <c r="U2" s="412" t="s">
        <v>1433</v>
      </c>
    </row>
    <row r="3" spans="1:24" s="10" customFormat="1" ht="15.95" customHeight="1" x14ac:dyDescent="0.25">
      <c r="B3" s="11" t="s">
        <v>270</v>
      </c>
      <c r="C3" s="10" t="s">
        <v>1445</v>
      </c>
      <c r="N3" s="402"/>
      <c r="O3" s="402"/>
      <c r="P3" s="402"/>
      <c r="Q3" s="402"/>
      <c r="R3" s="402"/>
      <c r="S3" s="402"/>
      <c r="T3" s="467"/>
      <c r="U3" s="410" t="s">
        <v>1432</v>
      </c>
      <c r="V3" s="467"/>
      <c r="W3" s="339"/>
      <c r="X3" s="339"/>
    </row>
    <row r="4" spans="1:24" s="10" customFormat="1" ht="5.0999999999999996" customHeight="1" x14ac:dyDescent="0.25">
      <c r="N4" s="402"/>
      <c r="O4" s="402"/>
      <c r="P4" s="402"/>
      <c r="Q4" s="402"/>
      <c r="R4" s="402"/>
      <c r="S4" s="402"/>
      <c r="T4" s="402"/>
      <c r="U4" s="402"/>
      <c r="V4" s="402"/>
      <c r="W4" s="339"/>
      <c r="X4" s="339"/>
    </row>
    <row r="5" spans="1:24" s="10" customFormat="1" ht="15.95" customHeight="1" x14ac:dyDescent="0.25">
      <c r="A5" s="10" t="s">
        <v>337</v>
      </c>
      <c r="C5" s="10" t="s">
        <v>147</v>
      </c>
      <c r="D5" s="10" t="s">
        <v>1169</v>
      </c>
      <c r="N5" s="407"/>
      <c r="O5" s="412" t="s">
        <v>794</v>
      </c>
      <c r="P5" s="407"/>
      <c r="Q5" s="407"/>
      <c r="R5" s="407"/>
      <c r="S5" s="402"/>
      <c r="T5" s="458">
        <v>2011</v>
      </c>
      <c r="U5" s="459"/>
      <c r="V5" s="458">
        <v>2010</v>
      </c>
      <c r="W5" s="339"/>
      <c r="X5" s="339"/>
    </row>
    <row r="6" spans="1:24" s="10" customFormat="1" ht="15.95" customHeight="1" x14ac:dyDescent="0.25">
      <c r="D6" s="10" t="s">
        <v>1170</v>
      </c>
      <c r="N6" s="410">
        <f>T18</f>
        <v>64431</v>
      </c>
      <c r="O6" s="410" t="s">
        <v>1588</v>
      </c>
      <c r="P6" s="410">
        <f>T19</f>
        <v>10028</v>
      </c>
      <c r="Q6" s="410" t="s">
        <v>1588</v>
      </c>
      <c r="R6" s="410">
        <f>T20</f>
        <v>8283</v>
      </c>
      <c r="S6" s="405" t="s">
        <v>1428</v>
      </c>
      <c r="T6" s="410">
        <f>'1-51'!T14</f>
        <v>116371</v>
      </c>
      <c r="U6" s="402"/>
      <c r="V6" s="410">
        <f>'1-51'!V14</f>
        <v>75183</v>
      </c>
      <c r="W6" s="339"/>
      <c r="X6" s="339"/>
    </row>
    <row r="7" spans="1:24" s="10" customFormat="1" ht="15.95" customHeight="1" x14ac:dyDescent="0.25">
      <c r="D7" s="10" t="s">
        <v>1260</v>
      </c>
      <c r="N7" s="402"/>
      <c r="O7" s="410" t="s">
        <v>1589</v>
      </c>
      <c r="P7" s="410">
        <f>T22</f>
        <v>415</v>
      </c>
      <c r="Q7" s="410" t="s">
        <v>1587</v>
      </c>
      <c r="R7" s="410">
        <f>T24</f>
        <v>82327</v>
      </c>
      <c r="S7" s="405" t="s">
        <v>933</v>
      </c>
      <c r="T7" s="410">
        <f>'1-51'!T16</f>
        <v>39756</v>
      </c>
      <c r="U7" s="402"/>
      <c r="V7" s="410">
        <f>'1-51'!V16</f>
        <v>27392</v>
      </c>
      <c r="W7" s="339"/>
      <c r="X7" s="339"/>
    </row>
    <row r="8" spans="1:24" s="10" customFormat="1" ht="15.95" customHeight="1" x14ac:dyDescent="0.25">
      <c r="D8" s="121" t="s">
        <v>497</v>
      </c>
      <c r="N8" s="402"/>
      <c r="O8" s="402"/>
      <c r="P8" s="402"/>
      <c r="Q8" s="402"/>
      <c r="R8" s="402"/>
      <c r="S8" s="405" t="s">
        <v>1429</v>
      </c>
      <c r="T8" s="410">
        <f>'1-51'!T17</f>
        <v>76615</v>
      </c>
      <c r="U8" s="402"/>
      <c r="V8" s="410">
        <f>'1-51'!V17</f>
        <v>47791</v>
      </c>
      <c r="W8" s="339"/>
      <c r="X8" s="339"/>
    </row>
    <row r="9" spans="1:24" s="10" customFormat="1" ht="15.95" customHeight="1" x14ac:dyDescent="0.25">
      <c r="D9" s="122" t="s">
        <v>1171</v>
      </c>
      <c r="E9" s="121"/>
      <c r="F9" s="121"/>
      <c r="N9" s="410">
        <f>T12</f>
        <v>108249</v>
      </c>
      <c r="O9" s="410" t="s">
        <v>1589</v>
      </c>
      <c r="P9" s="410">
        <f>R7</f>
        <v>82327</v>
      </c>
      <c r="Q9" s="410" t="s">
        <v>1587</v>
      </c>
      <c r="R9" s="410">
        <f>SUM(N9-P9)</f>
        <v>25922</v>
      </c>
      <c r="S9" s="405" t="s">
        <v>1430</v>
      </c>
      <c r="T9" s="410">
        <f>'1-51'!T18</f>
        <v>44988</v>
      </c>
      <c r="U9" s="402"/>
      <c r="V9" s="410">
        <f>'1-51'!V18</f>
        <v>41678</v>
      </c>
      <c r="W9" s="339"/>
      <c r="X9" s="339"/>
    </row>
    <row r="10" spans="1:24" s="10" customFormat="1" ht="5.0999999999999996" customHeight="1" x14ac:dyDescent="0.25">
      <c r="D10" s="123"/>
      <c r="N10" s="402"/>
      <c r="O10" s="402"/>
      <c r="P10" s="402"/>
      <c r="Q10" s="402"/>
      <c r="R10" s="402"/>
      <c r="S10" s="402"/>
      <c r="T10" s="402"/>
      <c r="U10" s="402"/>
      <c r="V10" s="402"/>
      <c r="W10" s="339"/>
      <c r="X10" s="339"/>
    </row>
    <row r="11" spans="1:24" s="10" customFormat="1" ht="15.95" customHeight="1" x14ac:dyDescent="0.25">
      <c r="A11" s="10" t="s">
        <v>337</v>
      </c>
      <c r="C11" s="10" t="s">
        <v>151</v>
      </c>
      <c r="D11" s="71" t="s">
        <v>644</v>
      </c>
      <c r="N11" s="402"/>
      <c r="O11" s="402"/>
      <c r="P11" s="402"/>
      <c r="Q11" s="402"/>
      <c r="R11" s="402"/>
      <c r="S11" s="405" t="s">
        <v>1431</v>
      </c>
      <c r="T11" s="410">
        <f>'1-51'!T19</f>
        <v>27970</v>
      </c>
      <c r="U11" s="402"/>
      <c r="V11" s="410">
        <f>'1-51'!V19</f>
        <v>20722</v>
      </c>
      <c r="W11" s="339"/>
      <c r="X11" s="339"/>
    </row>
    <row r="12" spans="1:24" s="10" customFormat="1" ht="15.95" customHeight="1" x14ac:dyDescent="0.25">
      <c r="D12" s="273" t="s">
        <v>231</v>
      </c>
      <c r="N12" s="402"/>
      <c r="O12" s="402"/>
      <c r="P12" s="402"/>
      <c r="Q12" s="402"/>
      <c r="R12" s="402"/>
      <c r="S12" s="405" t="s">
        <v>1594</v>
      </c>
      <c r="T12" s="410">
        <f>'1-51'!T20</f>
        <v>108249</v>
      </c>
      <c r="U12" s="402"/>
      <c r="V12" s="410"/>
      <c r="W12" s="339"/>
      <c r="X12" s="339"/>
    </row>
    <row r="13" spans="1:24" s="10" customFormat="1" ht="15.95" customHeight="1" x14ac:dyDescent="0.25">
      <c r="D13" s="273" t="s">
        <v>232</v>
      </c>
      <c r="N13" s="402"/>
      <c r="O13" s="402"/>
      <c r="P13" s="402"/>
      <c r="Q13" s="402"/>
      <c r="R13" s="402"/>
      <c r="S13" s="405"/>
      <c r="T13" s="410"/>
      <c r="U13" s="402"/>
      <c r="V13" s="410"/>
      <c r="W13" s="339"/>
      <c r="X13" s="339"/>
    </row>
    <row r="14" spans="1:24" s="10" customFormat="1" ht="15.95" customHeight="1" x14ac:dyDescent="0.25">
      <c r="D14" s="273" t="s">
        <v>233</v>
      </c>
      <c r="N14" s="402"/>
      <c r="O14" s="402"/>
      <c r="P14" s="402"/>
      <c r="Q14" s="402"/>
      <c r="R14" s="402"/>
      <c r="S14" s="405"/>
      <c r="T14" s="410"/>
      <c r="U14" s="402"/>
      <c r="V14" s="410"/>
      <c r="W14" s="339"/>
      <c r="X14" s="339"/>
    </row>
    <row r="15" spans="1:24" s="10" customFormat="1" ht="15.95" customHeight="1" x14ac:dyDescent="0.25">
      <c r="D15" s="273" t="s">
        <v>234</v>
      </c>
      <c r="N15" s="402"/>
      <c r="O15" s="402"/>
      <c r="P15" s="402"/>
      <c r="Q15" s="402"/>
      <c r="R15" s="402"/>
      <c r="S15" s="405"/>
      <c r="T15" s="410"/>
      <c r="U15" s="402"/>
      <c r="V15" s="410"/>
      <c r="W15" s="339"/>
      <c r="X15" s="339"/>
    </row>
    <row r="16" spans="1:24" s="10" customFormat="1" ht="15.95" customHeight="1" x14ac:dyDescent="0.25">
      <c r="D16" s="273" t="s">
        <v>235</v>
      </c>
      <c r="N16" s="402"/>
      <c r="O16" s="402"/>
      <c r="P16" s="402"/>
      <c r="Q16" s="402"/>
      <c r="R16" s="402"/>
      <c r="S16" s="405"/>
      <c r="T16" s="410"/>
      <c r="U16" s="402"/>
      <c r="V16" s="410"/>
      <c r="W16" s="339"/>
      <c r="X16" s="339"/>
    </row>
    <row r="17" spans="1:24" s="10" customFormat="1" ht="15.95" customHeight="1" x14ac:dyDescent="0.25">
      <c r="D17" s="71" t="s">
        <v>645</v>
      </c>
      <c r="N17" s="402"/>
      <c r="O17" s="402"/>
      <c r="P17" s="402"/>
      <c r="Q17" s="402"/>
      <c r="R17" s="402"/>
      <c r="S17" s="405" t="s">
        <v>1435</v>
      </c>
      <c r="T17" s="407"/>
      <c r="U17" s="407"/>
      <c r="V17" s="407"/>
      <c r="W17" s="339"/>
      <c r="X17" s="339"/>
    </row>
    <row r="18" spans="1:24" s="10" customFormat="1" ht="15.95" customHeight="1" x14ac:dyDescent="0.25">
      <c r="D18" s="10" t="s">
        <v>236</v>
      </c>
      <c r="N18" s="402"/>
      <c r="O18" s="402"/>
      <c r="P18" s="402"/>
      <c r="Q18" s="402"/>
      <c r="R18" s="402"/>
      <c r="S18" s="407"/>
      <c r="T18" s="410">
        <f>'1-51'!T22</f>
        <v>64431</v>
      </c>
      <c r="U18" s="402"/>
      <c r="V18" s="410"/>
      <c r="W18" s="339"/>
      <c r="X18" s="339"/>
    </row>
    <row r="19" spans="1:24" s="10" customFormat="1" ht="15.95" customHeight="1" x14ac:dyDescent="0.25">
      <c r="D19" s="10" t="s">
        <v>646</v>
      </c>
      <c r="N19" s="402"/>
      <c r="O19" s="402"/>
      <c r="P19" s="402"/>
      <c r="Q19" s="402"/>
      <c r="R19" s="402"/>
      <c r="S19" s="445" t="s">
        <v>1504</v>
      </c>
      <c r="T19" s="410">
        <f>'1-51'!T23</f>
        <v>10028</v>
      </c>
      <c r="U19" s="402"/>
      <c r="V19" s="410"/>
      <c r="W19" s="339"/>
      <c r="X19" s="339"/>
    </row>
    <row r="20" spans="1:24" s="10" customFormat="1" ht="15.95" customHeight="1" x14ac:dyDescent="0.25">
      <c r="N20" s="402"/>
      <c r="O20" s="402"/>
      <c r="P20" s="402"/>
      <c r="Q20" s="402"/>
      <c r="R20" s="402"/>
      <c r="S20" s="445" t="s">
        <v>1504</v>
      </c>
      <c r="T20" s="410">
        <f>'1-51'!T24</f>
        <v>8283</v>
      </c>
      <c r="U20" s="402"/>
      <c r="V20" s="410"/>
      <c r="W20" s="339"/>
      <c r="X20" s="339"/>
    </row>
    <row r="21" spans="1:24" s="10" customFormat="1" ht="9.9499999999999993" customHeight="1" x14ac:dyDescent="0.25">
      <c r="N21" s="402"/>
      <c r="O21" s="402"/>
      <c r="P21" s="402"/>
      <c r="Q21" s="402"/>
      <c r="R21" s="402"/>
      <c r="S21" s="407"/>
      <c r="T21" s="402"/>
      <c r="U21" s="407"/>
      <c r="V21" s="407"/>
      <c r="W21" s="339"/>
      <c r="X21" s="339"/>
    </row>
    <row r="22" spans="1:24" s="10" customFormat="1" ht="15.95" customHeight="1" x14ac:dyDescent="0.25">
      <c r="B22" s="11" t="s">
        <v>1012</v>
      </c>
      <c r="C22" s="10" t="s">
        <v>1446</v>
      </c>
      <c r="N22" s="402"/>
      <c r="O22" s="402"/>
      <c r="P22" s="402"/>
      <c r="Q22" s="402"/>
      <c r="R22" s="402"/>
      <c r="S22" s="445" t="s">
        <v>329</v>
      </c>
      <c r="T22" s="410">
        <f>'1-51'!T26</f>
        <v>415</v>
      </c>
      <c r="U22" s="402"/>
      <c r="V22" s="410"/>
      <c r="W22" s="339"/>
      <c r="X22" s="339"/>
    </row>
    <row r="23" spans="1:24" s="10" customFormat="1" ht="5.0999999999999996" customHeight="1" x14ac:dyDescent="0.25">
      <c r="N23" s="402"/>
      <c r="O23" s="402"/>
      <c r="P23" s="402"/>
      <c r="Q23" s="402"/>
      <c r="R23" s="402"/>
      <c r="S23" s="407"/>
      <c r="T23" s="402"/>
      <c r="U23" s="402"/>
      <c r="V23" s="402"/>
      <c r="W23" s="339"/>
      <c r="X23" s="339"/>
    </row>
    <row r="24" spans="1:24" s="10" customFormat="1" ht="15.95" customHeight="1" x14ac:dyDescent="0.25">
      <c r="A24" s="10" t="s">
        <v>337</v>
      </c>
      <c r="C24" s="10" t="s">
        <v>147</v>
      </c>
      <c r="D24" s="10" t="str">
        <f>CONCATENATE("For ",T5,", Apple reported a net cash inflow from operating activities ")</f>
        <v xml:space="preserve">For 2011, Apple reported a net cash inflow from operating activities </v>
      </c>
      <c r="N24" s="402"/>
      <c r="O24" s="402"/>
      <c r="P24" s="402"/>
      <c r="Q24" s="402"/>
      <c r="R24" s="402"/>
      <c r="S24" s="405" t="s">
        <v>1434</v>
      </c>
      <c r="T24" s="410">
        <f>SUM(T18+T19+T20-T22)</f>
        <v>82327</v>
      </c>
      <c r="U24" s="407"/>
      <c r="V24" s="410"/>
      <c r="W24" s="339"/>
      <c r="X24" s="339"/>
    </row>
    <row r="25" spans="1:24" s="10" customFormat="1" ht="15.95" customHeight="1" x14ac:dyDescent="0.25">
      <c r="D25" s="11" t="str">
        <f>CONCATENATE("of ",TEXT((T26*1000000),"$#,##0"),", a net cash outflow from investing activities of ")</f>
        <v xml:space="preserve">of $37,529,000,000, a net cash outflow from investing activities of </v>
      </c>
      <c r="N25" s="402"/>
      <c r="O25" s="402"/>
      <c r="P25" s="402"/>
      <c r="Q25" s="402"/>
      <c r="R25" s="402"/>
      <c r="S25" s="405"/>
      <c r="T25" s="402"/>
      <c r="U25" s="402"/>
      <c r="V25" s="402"/>
      <c r="W25" s="339"/>
      <c r="X25" s="339"/>
    </row>
    <row r="26" spans="1:24" s="10" customFormat="1" ht="15.95" customHeight="1" x14ac:dyDescent="0.25">
      <c r="D26" s="10" t="str">
        <f>CONCATENATE(TEXT((T27*1000000),"$#,##0"),", and a net cash inflow from financing activities of ")</f>
        <v xml:space="preserve">$40,419,000,000, and a net cash inflow from financing activities of </v>
      </c>
      <c r="N26" s="402"/>
      <c r="O26" s="402"/>
      <c r="P26" s="402"/>
      <c r="Q26" s="402"/>
      <c r="R26" s="402"/>
      <c r="S26" s="405" t="s">
        <v>1437</v>
      </c>
      <c r="T26" s="410">
        <f>'1-51'!V30</f>
        <v>37529</v>
      </c>
      <c r="U26" s="402"/>
      <c r="V26" s="410"/>
      <c r="W26" s="339"/>
      <c r="X26" s="339"/>
    </row>
    <row r="27" spans="1:24" s="10" customFormat="1" ht="15.95" customHeight="1" x14ac:dyDescent="0.25">
      <c r="D27" s="11" t="str">
        <f>CONCATENATE(TEXT((T29*1000000),"$#,##0"),").")</f>
        <v>$1,444,000,000).</v>
      </c>
      <c r="N27" s="402"/>
      <c r="O27" s="402"/>
      <c r="P27" s="402"/>
      <c r="Q27" s="402"/>
      <c r="R27" s="402"/>
      <c r="S27" s="405" t="s">
        <v>1436</v>
      </c>
      <c r="T27" s="410">
        <f>'1-51'!V31</f>
        <v>40419</v>
      </c>
      <c r="U27" s="402"/>
      <c r="V27" s="410"/>
      <c r="W27" s="339"/>
      <c r="X27" s="339"/>
    </row>
    <row r="28" spans="1:24" s="10" customFormat="1" ht="5.0999999999999996" customHeight="1" x14ac:dyDescent="0.25">
      <c r="N28" s="402"/>
      <c r="O28" s="402"/>
      <c r="P28" s="402"/>
      <c r="Q28" s="402"/>
      <c r="R28" s="402"/>
      <c r="S28" s="405"/>
      <c r="T28" s="402"/>
      <c r="U28" s="402"/>
      <c r="V28" s="402"/>
      <c r="W28" s="339"/>
      <c r="X28" s="339"/>
    </row>
    <row r="29" spans="1:24" s="10" customFormat="1" ht="15.95" customHeight="1" x14ac:dyDescent="0.25">
      <c r="A29" s="10" t="s">
        <v>337</v>
      </c>
      <c r="C29" s="10" t="s">
        <v>151</v>
      </c>
      <c r="D29" s="10" t="str">
        <f>CONCATENATE("In ",T5,", Apple paid ",TEXT((T30*1000000),"$#,##0")," for the acquisition of property, plant, ")</f>
        <v xml:space="preserve">In 2011, Apple paid $4,260,000,000 for the acquisition of property, plant, </v>
      </c>
      <c r="N29" s="402"/>
      <c r="O29" s="402"/>
      <c r="P29" s="402"/>
      <c r="Q29" s="402"/>
      <c r="R29" s="402"/>
      <c r="S29" s="405" t="s">
        <v>1438</v>
      </c>
      <c r="T29" s="410">
        <f>'1-51'!V32</f>
        <v>1444</v>
      </c>
      <c r="U29" s="402"/>
      <c r="V29" s="410"/>
      <c r="W29" s="339"/>
      <c r="X29" s="339"/>
    </row>
    <row r="30" spans="1:24" s="10" customFormat="1" ht="15.95" customHeight="1" x14ac:dyDescent="0.25">
      <c r="D30" s="10" t="s">
        <v>1447</v>
      </c>
      <c r="N30" s="402"/>
      <c r="O30" s="402"/>
      <c r="P30" s="402"/>
      <c r="Q30" s="402"/>
      <c r="R30" s="402"/>
      <c r="S30" s="405" t="s">
        <v>1439</v>
      </c>
      <c r="T30" s="410">
        <f>'1-51'!V33</f>
        <v>4260</v>
      </c>
      <c r="U30" s="402"/>
      <c r="V30" s="410"/>
      <c r="W30" s="339"/>
      <c r="X30" s="339"/>
    </row>
    <row r="31" spans="1:24" s="10" customFormat="1" ht="9.9499999999999993" customHeight="1" x14ac:dyDescent="0.25">
      <c r="N31" s="402"/>
      <c r="O31" s="402"/>
      <c r="P31" s="402"/>
      <c r="Q31" s="402"/>
      <c r="R31" s="402"/>
      <c r="S31" s="405"/>
      <c r="T31" s="402"/>
      <c r="U31" s="402"/>
      <c r="V31" s="402"/>
      <c r="W31" s="339"/>
      <c r="X31" s="339"/>
    </row>
    <row r="32" spans="1:24" s="10" customFormat="1" ht="15.95" customHeight="1" x14ac:dyDescent="0.25">
      <c r="B32" s="11" t="s">
        <v>1014</v>
      </c>
      <c r="C32" s="10" t="s">
        <v>1448</v>
      </c>
      <c r="N32" s="402"/>
      <c r="O32" s="402"/>
      <c r="P32" s="402"/>
      <c r="Q32" s="402"/>
      <c r="R32" s="402"/>
      <c r="S32" s="402"/>
      <c r="T32" s="402"/>
      <c r="U32" s="402"/>
      <c r="V32" s="402"/>
      <c r="W32" s="339"/>
      <c r="X32" s="339"/>
    </row>
    <row r="33" spans="1:24" s="10" customFormat="1" ht="5.0999999999999996" customHeight="1" x14ac:dyDescent="0.25">
      <c r="N33" s="402"/>
      <c r="O33" s="402"/>
      <c r="P33" s="402"/>
      <c r="Q33" s="402"/>
      <c r="R33" s="402"/>
      <c r="S33" s="402"/>
      <c r="T33" s="402"/>
      <c r="U33" s="402"/>
      <c r="V33" s="402"/>
      <c r="W33" s="339"/>
      <c r="X33" s="339"/>
    </row>
    <row r="34" spans="1:24" s="10" customFormat="1" ht="15.95" customHeight="1" x14ac:dyDescent="0.25">
      <c r="A34" s="210"/>
      <c r="B34" s="10" t="s">
        <v>337</v>
      </c>
      <c r="C34" s="10" t="s">
        <v>147</v>
      </c>
      <c r="D34" s="71" t="s">
        <v>1449</v>
      </c>
      <c r="N34" s="402"/>
      <c r="O34" s="402"/>
      <c r="P34" s="402"/>
      <c r="Q34" s="402"/>
      <c r="R34" s="402"/>
      <c r="S34" s="402"/>
      <c r="T34" s="402"/>
      <c r="U34" s="402"/>
      <c r="V34" s="402"/>
      <c r="W34" s="339"/>
      <c r="X34" s="339"/>
    </row>
    <row r="35" spans="1:24" s="10" customFormat="1" ht="15.95" customHeight="1" x14ac:dyDescent="0.25">
      <c r="D35" s="71" t="s">
        <v>1450</v>
      </c>
      <c r="N35" s="402"/>
      <c r="O35" s="402"/>
      <c r="P35" s="402"/>
      <c r="Q35" s="402"/>
      <c r="R35" s="402"/>
      <c r="S35" s="402"/>
      <c r="T35" s="402"/>
      <c r="U35" s="402"/>
      <c r="V35" s="402"/>
      <c r="W35" s="339"/>
      <c r="X35" s="339"/>
    </row>
    <row r="36" spans="1:24" s="10" customFormat="1" ht="15.95" customHeight="1" x14ac:dyDescent="0.25">
      <c r="D36" s="71" t="s">
        <v>1451</v>
      </c>
      <c r="N36" s="402"/>
      <c r="O36" s="402"/>
      <c r="P36" s="402"/>
      <c r="Q36" s="402"/>
      <c r="R36" s="402"/>
      <c r="S36" s="402"/>
      <c r="T36" s="402"/>
      <c r="U36" s="402"/>
      <c r="V36" s="402"/>
      <c r="W36" s="339"/>
      <c r="X36" s="339"/>
    </row>
    <row r="37" spans="1:24" ht="15.95" customHeight="1" x14ac:dyDescent="0.25">
      <c r="B37" s="10"/>
      <c r="C37" s="10"/>
      <c r="D37" s="71" t="s">
        <v>1452</v>
      </c>
    </row>
    <row r="38" spans="1:24" ht="15.95" customHeight="1" x14ac:dyDescent="0.25">
      <c r="B38" s="10"/>
      <c r="C38" s="10"/>
      <c r="D38" s="71" t="s">
        <v>572</v>
      </c>
    </row>
    <row r="39" spans="1:24" ht="15.95" customHeight="1" x14ac:dyDescent="0.25">
      <c r="B39" s="10"/>
      <c r="C39" s="10"/>
      <c r="D39" s="71" t="s">
        <v>1453</v>
      </c>
    </row>
    <row r="40" spans="1:24" ht="15.95" customHeight="1" x14ac:dyDescent="0.25">
      <c r="B40" s="10"/>
      <c r="C40" s="10"/>
      <c r="D40" s="71" t="s">
        <v>1454</v>
      </c>
    </row>
    <row r="41" spans="1:24" ht="15.95" customHeight="1" x14ac:dyDescent="0.25">
      <c r="B41" s="10"/>
      <c r="C41" s="10"/>
      <c r="D41" s="71" t="s">
        <v>1455</v>
      </c>
    </row>
    <row r="42" spans="1:24" ht="5.0999999999999996" customHeight="1" x14ac:dyDescent="0.25">
      <c r="B42" s="10"/>
      <c r="C42" s="10"/>
      <c r="D42" s="71"/>
    </row>
    <row r="43" spans="1:24" ht="15.95" customHeight="1" x14ac:dyDescent="0.25">
      <c r="B43" s="10"/>
      <c r="C43" s="10" t="s">
        <v>151</v>
      </c>
      <c r="D43" s="71" t="s">
        <v>1456</v>
      </c>
    </row>
    <row r="44" spans="1:24" ht="15.95" customHeight="1" x14ac:dyDescent="0.25">
      <c r="B44" s="10"/>
      <c r="C44" s="10"/>
      <c r="D44" s="71" t="s">
        <v>1457</v>
      </c>
    </row>
    <row r="45" spans="1:24" ht="15.95" customHeight="1" x14ac:dyDescent="0.25">
      <c r="B45" s="10"/>
      <c r="C45" s="10"/>
      <c r="D45" s="71" t="s">
        <v>1458</v>
      </c>
    </row>
    <row r="46" spans="1:24" ht="15.95" customHeight="1" x14ac:dyDescent="0.25">
      <c r="B46" s="10"/>
      <c r="C46" s="10"/>
      <c r="D46" s="71" t="s">
        <v>1459</v>
      </c>
    </row>
    <row r="47" spans="1:24" ht="15.95" customHeight="1" x14ac:dyDescent="0.25">
      <c r="B47" s="10"/>
      <c r="C47" s="10"/>
      <c r="D47" s="71" t="s">
        <v>1460</v>
      </c>
    </row>
    <row r="48" spans="1:24" ht="9.9499999999999993" customHeight="1" x14ac:dyDescent="0.25">
      <c r="B48" s="10"/>
      <c r="C48" s="10"/>
      <c r="D48" s="71"/>
    </row>
    <row r="49" spans="2:4" ht="15.95" customHeight="1" x14ac:dyDescent="0.25">
      <c r="B49" s="11" t="s">
        <v>1403</v>
      </c>
      <c r="C49" s="10" t="s">
        <v>1172</v>
      </c>
      <c r="D49" s="10"/>
    </row>
    <row r="50" spans="2:4" ht="15.95" customHeight="1" x14ac:dyDescent="0.25">
      <c r="B50" s="10"/>
      <c r="C50" s="10"/>
      <c r="D50" s="10"/>
    </row>
    <row r="51" spans="2:4" ht="5.0999999999999996" customHeight="1" x14ac:dyDescent="0.2"/>
    <row r="52" spans="2:4" ht="15.95" customHeight="1" x14ac:dyDescent="0.2"/>
    <row r="53" spans="2:4" ht="15.95" customHeight="1" x14ac:dyDescent="0.2"/>
    <row r="54" spans="2:4" ht="15.95" customHeight="1" x14ac:dyDescent="0.2"/>
    <row r="55" spans="2:4" ht="15.95" customHeight="1" x14ac:dyDescent="0.2"/>
    <row r="56" spans="2:4" ht="15.95" customHeight="1" x14ac:dyDescent="0.2"/>
  </sheetData>
  <customSheetViews>
    <customSheetView guid="{B2DDA8C4-3089-41F7-BA6E-A0E09596A2CA}" scale="80" showPageBreaks="1" fitToPage="1" printArea="1">
      <selection activeCell="L14" sqref="L14"/>
      <pageMargins left="0.75" right="1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34">
      <selection activeCell="I61" sqref="I61"/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 topLeftCell="A19">
      <selection activeCell="B2" sqref="B2"/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L14" sqref="L14"/>
      <pageMargins left="0.75" right="1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L14" sqref="L14"/>
      <pageMargins left="0.75" right="1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6"/>
  <sheetViews>
    <sheetView zoomScale="70" zoomScaleNormal="70" workbookViewId="0">
      <selection activeCell="C1" sqref="C1"/>
    </sheetView>
  </sheetViews>
  <sheetFormatPr defaultRowHeight="12.75" x14ac:dyDescent="0.2"/>
  <cols>
    <col min="1" max="1" width="1.7109375" style="119" customWidth="1"/>
    <col min="2" max="2" width="4.140625" style="119" customWidth="1"/>
    <col min="3" max="3" width="3.85546875" style="119" customWidth="1"/>
    <col min="4" max="4" width="3.140625" style="119" customWidth="1"/>
    <col min="5" max="6" width="9.140625" style="119"/>
    <col min="7" max="7" width="11.28515625" style="119" customWidth="1"/>
    <col min="8" max="8" width="9.140625" style="119"/>
    <col min="9" max="9" width="9.7109375" style="119" customWidth="1"/>
    <col min="10" max="10" width="9.140625" style="119"/>
    <col min="11" max="11" width="7.85546875" style="119" customWidth="1"/>
    <col min="12" max="12" width="15.5703125" style="119" customWidth="1"/>
    <col min="13" max="13" width="10.28515625" style="119" customWidth="1"/>
    <col min="14" max="14" width="4.42578125" style="119" customWidth="1"/>
    <col min="15" max="15" width="2.7109375" style="119" customWidth="1"/>
    <col min="16" max="16" width="9.140625" style="119"/>
    <col min="17" max="17" width="2.7109375" style="119" customWidth="1"/>
    <col min="18" max="18" width="9.140625" style="312"/>
    <col min="19" max="19" width="2.7109375" style="312" customWidth="1"/>
    <col min="20" max="20" width="11.28515625" style="407" hidden="1" customWidth="1"/>
    <col min="21" max="21" width="2.7109375" style="407" hidden="1" customWidth="1"/>
    <col min="22" max="22" width="14" style="407" hidden="1" customWidth="1"/>
    <col min="23" max="23" width="2.7109375" style="407" hidden="1" customWidth="1"/>
    <col min="24" max="24" width="2.42578125" style="407" hidden="1" customWidth="1"/>
    <col min="25" max="25" width="10.5703125" style="407" hidden="1" customWidth="1"/>
    <col min="26" max="26" width="9.140625" style="312"/>
    <col min="27" max="16384" width="9.140625" style="119"/>
  </cols>
  <sheetData>
    <row r="1" spans="1:26" ht="28.5" customHeight="1" x14ac:dyDescent="0.2">
      <c r="A1" s="210"/>
    </row>
    <row r="2" spans="1:26" s="10" customFormat="1" ht="15.95" customHeight="1" x14ac:dyDescent="0.25">
      <c r="B2" s="10" t="s">
        <v>1212</v>
      </c>
      <c r="R2" s="313"/>
      <c r="S2" s="313"/>
      <c r="T2" s="402"/>
      <c r="U2" s="402"/>
      <c r="V2" s="402"/>
      <c r="W2" s="402"/>
      <c r="X2" s="402"/>
      <c r="Y2" s="402"/>
      <c r="Z2" s="313"/>
    </row>
    <row r="3" spans="1:26" s="10" customFormat="1" ht="15.95" customHeight="1" x14ac:dyDescent="0.25">
      <c r="B3" s="11" t="s">
        <v>758</v>
      </c>
      <c r="C3" s="10" t="s">
        <v>647</v>
      </c>
      <c r="R3" s="313"/>
      <c r="S3" s="313"/>
      <c r="T3" s="402"/>
      <c r="U3" s="402"/>
      <c r="V3" s="402"/>
      <c r="W3" s="402"/>
      <c r="X3" s="402"/>
      <c r="Y3" s="402"/>
      <c r="Z3" s="313"/>
    </row>
    <row r="4" spans="1:26" s="10" customFormat="1" ht="15.95" customHeight="1" x14ac:dyDescent="0.25">
      <c r="C4" s="10" t="s">
        <v>654</v>
      </c>
      <c r="R4" s="313"/>
      <c r="S4" s="313"/>
      <c r="T4" s="402"/>
      <c r="U4" s="402"/>
      <c r="V4" s="402"/>
      <c r="W4" s="402"/>
      <c r="X4" s="402"/>
      <c r="Y4" s="402"/>
      <c r="Z4" s="313"/>
    </row>
    <row r="5" spans="1:26" s="10" customFormat="1" ht="15.95" customHeight="1" x14ac:dyDescent="0.25">
      <c r="C5" s="10" t="s">
        <v>648</v>
      </c>
      <c r="R5" s="313"/>
      <c r="S5" s="313"/>
      <c r="T5" s="402"/>
      <c r="U5" s="402"/>
      <c r="V5" s="402"/>
      <c r="W5" s="402"/>
      <c r="X5" s="402"/>
      <c r="Y5" s="402"/>
      <c r="Z5" s="313"/>
    </row>
    <row r="6" spans="1:26" s="10" customFormat="1" ht="15.95" customHeight="1" x14ac:dyDescent="0.25">
      <c r="C6" s="10" t="s">
        <v>649</v>
      </c>
      <c r="R6" s="313"/>
      <c r="S6" s="313"/>
      <c r="T6" s="402"/>
      <c r="U6" s="402"/>
      <c r="V6" s="402"/>
      <c r="W6" s="402"/>
      <c r="X6" s="402"/>
      <c r="Y6" s="402"/>
      <c r="Z6" s="313"/>
    </row>
    <row r="7" spans="1:26" s="10" customFormat="1" ht="15.95" customHeight="1" x14ac:dyDescent="0.25">
      <c r="C7" s="10" t="s">
        <v>650</v>
      </c>
      <c r="R7" s="313"/>
      <c r="S7" s="313"/>
      <c r="T7" s="402"/>
      <c r="U7" s="402"/>
      <c r="V7" s="402"/>
      <c r="W7" s="402"/>
      <c r="X7" s="402"/>
      <c r="Y7" s="402"/>
      <c r="Z7" s="313"/>
    </row>
    <row r="8" spans="1:26" s="10" customFormat="1" ht="15.95" customHeight="1" x14ac:dyDescent="0.25">
      <c r="C8" s="10" t="s">
        <v>652</v>
      </c>
      <c r="R8" s="313"/>
      <c r="S8" s="313"/>
      <c r="T8" s="402"/>
      <c r="U8" s="402"/>
      <c r="V8" s="402"/>
      <c r="W8" s="402"/>
      <c r="X8" s="402"/>
      <c r="Y8" s="402"/>
      <c r="Z8" s="313"/>
    </row>
    <row r="9" spans="1:26" s="10" customFormat="1" ht="15.95" customHeight="1" x14ac:dyDescent="0.25">
      <c r="C9" s="10" t="s">
        <v>651</v>
      </c>
      <c r="R9" s="313"/>
      <c r="S9" s="313"/>
      <c r="T9" s="402"/>
      <c r="U9" s="402"/>
      <c r="V9" s="402"/>
      <c r="W9" s="402"/>
      <c r="X9" s="402"/>
      <c r="Y9" s="402"/>
      <c r="Z9" s="313"/>
    </row>
    <row r="10" spans="1:26" s="10" customFormat="1" ht="7.5" customHeight="1" x14ac:dyDescent="0.25">
      <c r="R10" s="313"/>
      <c r="S10" s="313"/>
      <c r="T10" s="402"/>
      <c r="U10" s="402"/>
      <c r="V10" s="402"/>
      <c r="W10" s="402"/>
      <c r="X10" s="402"/>
      <c r="Y10" s="402"/>
      <c r="Z10" s="313"/>
    </row>
    <row r="11" spans="1:26" s="10" customFormat="1" ht="15.95" customHeight="1" x14ac:dyDescent="0.25">
      <c r="C11" s="10" t="s">
        <v>655</v>
      </c>
      <c r="R11" s="313"/>
      <c r="S11" s="313"/>
      <c r="T11" s="402"/>
      <c r="U11" s="402"/>
      <c r="V11" s="402"/>
      <c r="W11" s="402"/>
      <c r="X11" s="402"/>
      <c r="Y11" s="402"/>
      <c r="Z11" s="313"/>
    </row>
    <row r="12" spans="1:26" s="10" customFormat="1" ht="15.95" customHeight="1" x14ac:dyDescent="0.25">
      <c r="C12" s="10" t="s">
        <v>656</v>
      </c>
      <c r="R12" s="313"/>
      <c r="S12" s="313"/>
      <c r="T12" s="402"/>
      <c r="U12" s="402"/>
      <c r="V12" s="402"/>
      <c r="W12" s="402"/>
      <c r="X12" s="402"/>
      <c r="Y12" s="402"/>
      <c r="Z12" s="313"/>
    </row>
    <row r="13" spans="1:26" s="10" customFormat="1" ht="15.95" customHeight="1" x14ac:dyDescent="0.25">
      <c r="C13" s="10" t="s">
        <v>658</v>
      </c>
      <c r="R13" s="313"/>
      <c r="S13" s="313"/>
      <c r="T13" s="402"/>
      <c r="U13" s="402"/>
      <c r="V13" s="402"/>
      <c r="W13" s="402"/>
      <c r="X13" s="402"/>
      <c r="Y13" s="402"/>
      <c r="Z13" s="313"/>
    </row>
    <row r="14" spans="1:26" s="10" customFormat="1" ht="15.95" customHeight="1" x14ac:dyDescent="0.25">
      <c r="C14" s="10" t="s">
        <v>657</v>
      </c>
      <c r="R14" s="313"/>
      <c r="S14" s="313"/>
      <c r="T14" s="402"/>
      <c r="U14" s="402"/>
      <c r="V14" s="402"/>
      <c r="W14" s="402"/>
      <c r="X14" s="402"/>
      <c r="Y14" s="402"/>
      <c r="Z14" s="313"/>
    </row>
    <row r="15" spans="1:26" s="10" customFormat="1" ht="15.95" customHeight="1" x14ac:dyDescent="0.25">
      <c r="R15" s="313"/>
      <c r="S15" s="313"/>
      <c r="T15" s="402"/>
      <c r="U15" s="402"/>
      <c r="V15" s="402"/>
      <c r="W15" s="402"/>
      <c r="X15" s="402"/>
      <c r="Y15" s="402"/>
      <c r="Z15" s="313"/>
    </row>
    <row r="16" spans="1:26" s="10" customFormat="1" ht="15.95" customHeight="1" x14ac:dyDescent="0.25">
      <c r="B16" s="11" t="s">
        <v>759</v>
      </c>
      <c r="C16" s="10" t="s">
        <v>55</v>
      </c>
      <c r="D16" s="71" t="s">
        <v>653</v>
      </c>
      <c r="R16" s="313"/>
      <c r="S16" s="313"/>
      <c r="T16" s="402"/>
      <c r="U16" s="402"/>
      <c r="V16" s="402"/>
      <c r="W16" s="467"/>
      <c r="X16" s="417" t="s">
        <v>1681</v>
      </c>
      <c r="Y16" s="467"/>
      <c r="Z16" s="313"/>
    </row>
    <row r="17" spans="2:26" s="10" customFormat="1" ht="15.95" customHeight="1" x14ac:dyDescent="0.25">
      <c r="D17" s="10" t="s">
        <v>659</v>
      </c>
      <c r="R17" s="313"/>
      <c r="S17" s="313"/>
      <c r="T17" s="402"/>
      <c r="U17" s="402"/>
      <c r="V17" s="402"/>
      <c r="W17" s="402"/>
      <c r="X17" s="410" t="s">
        <v>1440</v>
      </c>
      <c r="Y17" s="402"/>
      <c r="Z17" s="313"/>
    </row>
    <row r="18" spans="2:26" s="10" customFormat="1" ht="15.95" customHeight="1" x14ac:dyDescent="0.25">
      <c r="D18" s="10" t="s">
        <v>660</v>
      </c>
      <c r="R18" s="313"/>
      <c r="S18" s="313"/>
      <c r="T18" s="402"/>
      <c r="U18" s="402"/>
      <c r="V18" s="409" t="s">
        <v>1262</v>
      </c>
      <c r="W18" s="402"/>
      <c r="X18" s="402"/>
      <c r="Y18" s="409" t="s">
        <v>1263</v>
      </c>
      <c r="Z18" s="313"/>
    </row>
    <row r="19" spans="2:26" s="10" customFormat="1" ht="6.75" customHeight="1" x14ac:dyDescent="0.25">
      <c r="R19" s="313"/>
      <c r="S19" s="313"/>
      <c r="T19" s="402"/>
      <c r="U19" s="402"/>
      <c r="V19" s="409"/>
      <c r="W19" s="402"/>
      <c r="X19" s="402"/>
      <c r="Y19" s="409"/>
      <c r="Z19" s="313"/>
    </row>
    <row r="20" spans="2:26" s="10" customFormat="1" ht="15.95" customHeight="1" x14ac:dyDescent="0.25">
      <c r="C20" s="10" t="s">
        <v>58</v>
      </c>
      <c r="D20" s="11" t="s">
        <v>661</v>
      </c>
      <c r="R20" s="313"/>
      <c r="S20" s="313"/>
      <c r="T20" s="402"/>
      <c r="U20" s="405" t="s">
        <v>1264</v>
      </c>
      <c r="V20" s="409">
        <v>919210</v>
      </c>
      <c r="W20" s="402"/>
      <c r="X20" s="402"/>
      <c r="Y20" s="409">
        <v>9313126</v>
      </c>
      <c r="Z20" s="313"/>
    </row>
    <row r="21" spans="2:26" s="10" customFormat="1" ht="15.75" customHeight="1" x14ac:dyDescent="0.25">
      <c r="D21" s="11" t="s">
        <v>662</v>
      </c>
      <c r="R21" s="313"/>
      <c r="S21" s="313"/>
      <c r="T21" s="402"/>
      <c r="U21" s="402"/>
      <c r="V21" s="402"/>
      <c r="W21" s="402"/>
      <c r="X21" s="402"/>
      <c r="Y21" s="402"/>
      <c r="Z21" s="313"/>
    </row>
    <row r="22" spans="2:26" s="10" customFormat="1" ht="15.95" customHeight="1" x14ac:dyDescent="0.25">
      <c r="D22" s="11" t="s">
        <v>663</v>
      </c>
      <c r="R22" s="313"/>
      <c r="S22" s="313"/>
      <c r="T22" s="402"/>
      <c r="U22" s="405" t="s">
        <v>1265</v>
      </c>
      <c r="V22" s="409">
        <v>183607</v>
      </c>
      <c r="W22" s="402"/>
      <c r="X22" s="402"/>
      <c r="Y22" s="409">
        <v>1666032</v>
      </c>
      <c r="Z22" s="313"/>
    </row>
    <row r="23" spans="2:26" s="10" customFormat="1" ht="15.95" customHeight="1" x14ac:dyDescent="0.25">
      <c r="D23" s="11" t="s">
        <v>664</v>
      </c>
      <c r="R23" s="313"/>
      <c r="S23" s="313"/>
      <c r="T23" s="402"/>
      <c r="U23" s="402"/>
      <c r="V23" s="409">
        <v>70842</v>
      </c>
      <c r="W23" s="402"/>
      <c r="X23" s="402"/>
      <c r="Y23" s="409">
        <v>1831781</v>
      </c>
      <c r="Z23" s="313"/>
    </row>
    <row r="24" spans="2:26" s="10" customFormat="1" ht="15.95" customHeight="1" x14ac:dyDescent="0.25">
      <c r="D24" s="11" t="s">
        <v>665</v>
      </c>
      <c r="R24" s="313"/>
      <c r="S24" s="313"/>
      <c r="T24" s="402"/>
      <c r="U24" s="402"/>
      <c r="V24" s="409">
        <v>28329</v>
      </c>
      <c r="W24" s="402"/>
      <c r="X24" s="402"/>
      <c r="Y24" s="409">
        <v>1290138</v>
      </c>
      <c r="Z24" s="313"/>
    </row>
    <row r="25" spans="2:26" s="10" customFormat="1" ht="15.95" customHeight="1" x14ac:dyDescent="0.25">
      <c r="D25" s="10" t="s">
        <v>666</v>
      </c>
      <c r="R25" s="313"/>
      <c r="S25" s="313"/>
      <c r="T25" s="402"/>
      <c r="U25" s="405" t="s">
        <v>1266</v>
      </c>
      <c r="V25" s="409">
        <f>SUM(V22:V24)</f>
        <v>282778</v>
      </c>
      <c r="W25" s="402"/>
      <c r="X25" s="402"/>
      <c r="Y25" s="409">
        <f>SUM(Y22:Y24)</f>
        <v>4787951</v>
      </c>
      <c r="Z25" s="313"/>
    </row>
    <row r="26" spans="2:26" s="10" customFormat="1" ht="4.5" customHeight="1" x14ac:dyDescent="0.25">
      <c r="R26" s="313"/>
      <c r="S26" s="313"/>
      <c r="T26" s="402"/>
      <c r="U26" s="405"/>
      <c r="V26" s="410"/>
      <c r="W26" s="402"/>
      <c r="X26" s="402"/>
      <c r="Y26" s="410"/>
      <c r="Z26" s="313"/>
    </row>
    <row r="27" spans="2:26" s="10" customFormat="1" ht="15.95" customHeight="1" x14ac:dyDescent="0.25">
      <c r="B27" s="11" t="s">
        <v>760</v>
      </c>
      <c r="C27" s="10" t="s">
        <v>356</v>
      </c>
      <c r="R27" s="313"/>
      <c r="S27" s="313"/>
      <c r="T27" s="402"/>
      <c r="U27" s="405" t="s">
        <v>1267</v>
      </c>
      <c r="V27" s="409">
        <v>636432</v>
      </c>
      <c r="W27" s="402"/>
      <c r="X27" s="402"/>
      <c r="Y27" s="409">
        <v>4525175</v>
      </c>
      <c r="Z27" s="313"/>
    </row>
    <row r="28" spans="2:26" s="10" customFormat="1" ht="4.5" customHeight="1" x14ac:dyDescent="0.25">
      <c r="B28" s="11"/>
      <c r="R28" s="313"/>
      <c r="S28" s="313"/>
      <c r="T28" s="402"/>
      <c r="U28" s="405"/>
      <c r="V28" s="410"/>
      <c r="W28" s="402"/>
      <c r="X28" s="402"/>
      <c r="Y28" s="410"/>
      <c r="Z28" s="313"/>
    </row>
    <row r="29" spans="2:26" s="10" customFormat="1" ht="15.95" customHeight="1" x14ac:dyDescent="0.25">
      <c r="C29" s="10" t="s">
        <v>147</v>
      </c>
      <c r="D29" s="71" t="s">
        <v>1268</v>
      </c>
      <c r="R29" s="313"/>
      <c r="S29" s="313"/>
      <c r="T29" s="402"/>
      <c r="U29" s="405" t="s">
        <v>1430</v>
      </c>
      <c r="V29" s="409">
        <v>689663</v>
      </c>
      <c r="W29" s="402"/>
      <c r="X29" s="402"/>
      <c r="Y29" s="409">
        <v>3187944</v>
      </c>
      <c r="Z29" s="313"/>
    </row>
    <row r="30" spans="2:26" s="10" customFormat="1" ht="15.95" customHeight="1" x14ac:dyDescent="0.25">
      <c r="D30" s="222" t="str">
        <f>CONCATENATE("Assets = ",TEXT((V20*1000),"$#,##0")," ")</f>
        <v xml:space="preserve">Assets = $919,210,000 </v>
      </c>
      <c r="R30" s="313"/>
      <c r="S30" s="313"/>
      <c r="T30" s="402"/>
      <c r="U30" s="405" t="s">
        <v>1431</v>
      </c>
      <c r="V30" s="409">
        <f>V22</f>
        <v>183607</v>
      </c>
      <c r="W30" s="402"/>
      <c r="X30" s="402"/>
      <c r="Y30" s="409">
        <v>1666032</v>
      </c>
      <c r="Z30" s="313"/>
    </row>
    <row r="31" spans="2:26" s="10" customFormat="1" ht="15.75" customHeight="1" x14ac:dyDescent="0.25">
      <c r="D31" s="222" t="str">
        <f>CONCATENATE("Liabilities = ",TEXT((V25*1000),"$#,##0")," (",TEXT((V22*1000),"$#,##0")," + ",TEXT((V23*1000),"$#,##0")," + ",TEXT((V24*1000),"$#,##0"),")")</f>
        <v>Liabilities = $282,778,000 ($183,607,000 + $70,842,000 + $28,329,000)</v>
      </c>
      <c r="R31" s="313"/>
      <c r="S31" s="313"/>
      <c r="T31" s="402"/>
      <c r="U31" s="402"/>
      <c r="V31" s="402"/>
      <c r="W31" s="402"/>
      <c r="X31" s="402"/>
      <c r="Y31" s="402"/>
      <c r="Z31" s="313"/>
    </row>
    <row r="32" spans="2:26" s="10" customFormat="1" ht="15.95" customHeight="1" x14ac:dyDescent="0.25">
      <c r="D32" s="222" t="str">
        <f>CONCATENATE("Stockholders’ equity = ",TEXT((V27*1000),"$#,##0"),)</f>
        <v>Stockholders’ equity = $636,432,000</v>
      </c>
      <c r="R32" s="313"/>
      <c r="S32" s="313"/>
      <c r="T32" s="402"/>
      <c r="U32" s="402"/>
      <c r="V32" s="402"/>
      <c r="W32" s="402"/>
      <c r="X32" s="402"/>
      <c r="Y32" s="402"/>
      <c r="Z32" s="313"/>
    </row>
    <row r="33" spans="1:26" s="10" customFormat="1" ht="5.0999999999999996" customHeight="1" x14ac:dyDescent="0.25">
      <c r="B33" s="11"/>
      <c r="D33" s="71"/>
      <c r="R33" s="313"/>
      <c r="S33" s="313"/>
      <c r="T33" s="402"/>
      <c r="U33" s="402"/>
      <c r="V33" s="402"/>
      <c r="W33" s="402"/>
      <c r="X33" s="402"/>
      <c r="Y33" s="402"/>
      <c r="Z33" s="313"/>
    </row>
    <row r="34" spans="1:26" s="10" customFormat="1" ht="15.95" customHeight="1" x14ac:dyDescent="0.25">
      <c r="B34" s="10" t="s">
        <v>337</v>
      </c>
      <c r="D34" s="71" t="s">
        <v>667</v>
      </c>
      <c r="E34" s="71"/>
      <c r="F34" s="71"/>
      <c r="R34" s="313"/>
      <c r="S34" s="313"/>
      <c r="T34" s="402"/>
      <c r="U34" s="402"/>
      <c r="V34" s="402"/>
      <c r="W34" s="402"/>
      <c r="X34" s="402"/>
      <c r="Y34" s="402"/>
      <c r="Z34" s="313"/>
    </row>
    <row r="35" spans="1:26" s="10" customFormat="1" ht="15.95" customHeight="1" x14ac:dyDescent="0.25">
      <c r="B35" s="10" t="s">
        <v>337</v>
      </c>
      <c r="D35" s="222" t="str">
        <f>CONCATENATE("Assets = ",TEXT((Y20*1000),"$#,##0")," ")</f>
        <v xml:space="preserve">Assets = $9,313,126,000 </v>
      </c>
      <c r="E35" s="71"/>
      <c r="F35" s="71"/>
      <c r="R35" s="313"/>
      <c r="S35" s="313"/>
      <c r="T35" s="402"/>
      <c r="U35" s="402"/>
      <c r="V35" s="402"/>
      <c r="W35" s="402"/>
      <c r="X35" s="402"/>
      <c r="Y35" s="402"/>
      <c r="Z35" s="313"/>
    </row>
    <row r="36" spans="1:26" s="10" customFormat="1" ht="15.95" customHeight="1" x14ac:dyDescent="0.25">
      <c r="B36" s="10" t="s">
        <v>337</v>
      </c>
      <c r="D36" s="222" t="str">
        <f>CONCATENATE("Liabilities = ",TEXT((Y25*1000),"$#,##0")," (",TEXT((Y22*1000),"$#,##0")," + ",TEXT((Y23*1000),"$#,##0")," + ",TEXT((Y24*1000),"$#,##0"),")")</f>
        <v>Liabilities = $4,787,951,000 ($1,666,032,000 + $1,831,781,000 + $1,290,138,000)</v>
      </c>
      <c r="E36" s="71"/>
      <c r="F36" s="71"/>
      <c r="R36" s="313"/>
      <c r="S36" s="313"/>
      <c r="T36" s="402"/>
      <c r="U36" s="402"/>
      <c r="V36" s="402"/>
      <c r="W36" s="402"/>
      <c r="X36" s="402"/>
      <c r="Y36" s="402"/>
      <c r="Z36" s="313"/>
    </row>
    <row r="37" spans="1:26" s="10" customFormat="1" ht="15.95" customHeight="1" x14ac:dyDescent="0.25">
      <c r="B37" s="10" t="s">
        <v>337</v>
      </c>
      <c r="D37" s="222" t="str">
        <f>CONCATENATE("Stockholders’ equity = ",TEXT((Y27*1000),"$#,##0"),)</f>
        <v>Stockholders’ equity = $4,525,175,000</v>
      </c>
      <c r="E37" s="71"/>
      <c r="F37" s="71"/>
      <c r="R37" s="313"/>
      <c r="S37" s="313"/>
      <c r="T37" s="402"/>
      <c r="U37" s="402"/>
      <c r="V37" s="402"/>
      <c r="W37" s="402"/>
      <c r="X37" s="402"/>
      <c r="Y37" s="402"/>
      <c r="Z37" s="313"/>
    </row>
    <row r="38" spans="1:26" s="10" customFormat="1" ht="4.5" customHeight="1" x14ac:dyDescent="0.25">
      <c r="B38" s="10" t="s">
        <v>337</v>
      </c>
      <c r="D38" s="71"/>
      <c r="E38" s="71"/>
      <c r="F38" s="71"/>
      <c r="R38" s="313"/>
      <c r="S38" s="313"/>
      <c r="T38" s="402"/>
      <c r="U38" s="402"/>
      <c r="V38" s="402"/>
      <c r="W38" s="402"/>
      <c r="X38" s="402"/>
      <c r="Y38" s="402"/>
      <c r="Z38" s="313"/>
    </row>
    <row r="39" spans="1:26" s="10" customFormat="1" ht="15.95" customHeight="1" x14ac:dyDescent="0.25">
      <c r="B39" s="10" t="s">
        <v>337</v>
      </c>
      <c r="C39" s="10" t="s">
        <v>151</v>
      </c>
      <c r="D39" s="71" t="s">
        <v>1268</v>
      </c>
      <c r="E39" s="71"/>
      <c r="F39" s="71"/>
      <c r="R39" s="313"/>
      <c r="S39" s="313"/>
      <c r="T39" s="402"/>
      <c r="U39" s="402"/>
      <c r="V39" s="402"/>
      <c r="W39" s="402"/>
      <c r="X39" s="402"/>
      <c r="Y39" s="402"/>
      <c r="Z39" s="313"/>
    </row>
    <row r="40" spans="1:26" s="10" customFormat="1" ht="15.95" customHeight="1" x14ac:dyDescent="0.25">
      <c r="B40" s="10" t="s">
        <v>337</v>
      </c>
      <c r="D40" s="222" t="str">
        <f>CONCATENATE("Current assets = ",TEXT((V29*1000),"$#,##0")," ")</f>
        <v xml:space="preserve">Current assets = $689,663,000 </v>
      </c>
      <c r="E40" s="71"/>
      <c r="F40" s="71"/>
      <c r="R40" s="313"/>
      <c r="S40" s="313"/>
      <c r="T40" s="402"/>
      <c r="U40" s="402"/>
      <c r="V40" s="402"/>
      <c r="W40" s="402"/>
      <c r="X40" s="402"/>
      <c r="Y40" s="402"/>
      <c r="Z40" s="313"/>
    </row>
    <row r="41" spans="1:26" s="10" customFormat="1" ht="15.95" customHeight="1" x14ac:dyDescent="0.25">
      <c r="B41" s="10" t="s">
        <v>337</v>
      </c>
      <c r="D41" s="222" t="str">
        <f>CONCATENATE("Current liabilities = ",TEXT((V30*1000),"$#,##0")," ")</f>
        <v xml:space="preserve">Current liabilities = $183,607,000 </v>
      </c>
      <c r="E41" s="71"/>
      <c r="F41" s="71"/>
      <c r="R41" s="313"/>
      <c r="S41" s="313"/>
      <c r="T41" s="402"/>
      <c r="U41" s="402"/>
      <c r="V41" s="402"/>
      <c r="W41" s="402"/>
      <c r="X41" s="402"/>
      <c r="Y41" s="402"/>
      <c r="Z41" s="313"/>
    </row>
    <row r="42" spans="1:26" s="10" customFormat="1" ht="4.5" customHeight="1" x14ac:dyDescent="0.25">
      <c r="B42" s="10" t="s">
        <v>337</v>
      </c>
      <c r="D42" s="71"/>
      <c r="E42" s="71"/>
      <c r="F42" s="71"/>
      <c r="R42" s="313"/>
      <c r="S42" s="313"/>
      <c r="T42" s="402"/>
      <c r="U42" s="402"/>
      <c r="V42" s="402"/>
      <c r="W42" s="402"/>
      <c r="X42" s="402"/>
      <c r="Y42" s="402"/>
      <c r="Z42" s="313"/>
    </row>
    <row r="43" spans="1:26" s="10" customFormat="1" ht="15.75" customHeight="1" x14ac:dyDescent="0.25">
      <c r="D43" s="71" t="s">
        <v>667</v>
      </c>
      <c r="E43" s="71"/>
      <c r="F43" s="71"/>
      <c r="R43" s="313"/>
      <c r="S43" s="313"/>
      <c r="T43" s="402"/>
      <c r="U43" s="402"/>
      <c r="V43" s="402"/>
      <c r="W43" s="402"/>
      <c r="X43" s="402"/>
      <c r="Y43" s="402"/>
      <c r="Z43" s="313"/>
    </row>
    <row r="44" spans="1:26" s="10" customFormat="1" ht="15.95" customHeight="1" x14ac:dyDescent="0.25">
      <c r="A44" s="210"/>
      <c r="B44" s="10" t="s">
        <v>62</v>
      </c>
      <c r="D44" s="222" t="str">
        <f>CONCATENATE("Current assets = ",TEXT((Y29*1000),"$#,##0")," ")</f>
        <v xml:space="preserve">Current assets = $3,187,944,000 </v>
      </c>
      <c r="E44" s="71"/>
      <c r="F44" s="71"/>
      <c r="R44" s="313"/>
      <c r="S44" s="313"/>
      <c r="T44" s="402"/>
      <c r="U44" s="402"/>
      <c r="V44" s="402"/>
      <c r="W44" s="402"/>
      <c r="X44" s="402"/>
      <c r="Y44" s="402"/>
      <c r="Z44" s="313"/>
    </row>
    <row r="45" spans="1:26" s="10" customFormat="1" ht="15.95" customHeight="1" x14ac:dyDescent="0.25">
      <c r="D45" s="222" t="str">
        <f>CONCATENATE("Current liabilities = ",TEXT((Y30*1000),"$#,##0")," ")</f>
        <v xml:space="preserve">Current liabilities = $1,666,032,000 </v>
      </c>
      <c r="E45" s="71"/>
      <c r="F45" s="71"/>
      <c r="R45" s="313"/>
      <c r="S45" s="313"/>
      <c r="T45" s="402"/>
      <c r="U45" s="402"/>
      <c r="V45" s="402"/>
      <c r="W45" s="402"/>
      <c r="X45" s="402"/>
      <c r="Y45" s="402"/>
      <c r="Z45" s="313"/>
    </row>
    <row r="46" spans="1:26" s="10" customFormat="1" ht="4.5" customHeight="1" x14ac:dyDescent="0.25">
      <c r="B46" s="10" t="s">
        <v>337</v>
      </c>
      <c r="D46" s="71"/>
      <c r="E46" s="71"/>
      <c r="F46" s="71"/>
      <c r="R46" s="313"/>
      <c r="S46" s="313"/>
      <c r="T46" s="402"/>
      <c r="U46" s="402"/>
      <c r="V46" s="402"/>
      <c r="W46" s="402"/>
      <c r="X46" s="402"/>
      <c r="Y46" s="402"/>
      <c r="Z46" s="313"/>
    </row>
    <row r="54" spans="5:26" s="10" customFormat="1" ht="15.95" customHeight="1" x14ac:dyDescent="0.25">
      <c r="E54" s="71"/>
      <c r="F54" s="71"/>
      <c r="R54" s="313"/>
      <c r="S54" s="313"/>
      <c r="T54" s="402"/>
      <c r="U54" s="402"/>
      <c r="V54" s="402"/>
      <c r="W54" s="402"/>
      <c r="X54" s="402"/>
      <c r="Y54" s="402"/>
      <c r="Z54" s="313"/>
    </row>
    <row r="55" spans="5:26" s="10" customFormat="1" ht="15.95" customHeight="1" x14ac:dyDescent="0.25">
      <c r="E55" s="71"/>
      <c r="F55" s="71"/>
      <c r="R55" s="313"/>
      <c r="S55" s="313"/>
      <c r="T55" s="402"/>
      <c r="U55" s="402"/>
      <c r="V55" s="402"/>
      <c r="W55" s="402"/>
      <c r="X55" s="402"/>
      <c r="Y55" s="402"/>
      <c r="Z55" s="313"/>
    </row>
    <row r="56" spans="5:26" s="10" customFormat="1" ht="15.95" customHeight="1" x14ac:dyDescent="0.25">
      <c r="E56" s="71"/>
      <c r="F56" s="71"/>
      <c r="R56" s="313"/>
      <c r="S56" s="313"/>
      <c r="T56" s="402"/>
      <c r="U56" s="402"/>
      <c r="V56" s="402"/>
      <c r="W56" s="402"/>
      <c r="X56" s="402"/>
      <c r="Y56" s="402"/>
      <c r="Z56" s="313"/>
    </row>
    <row r="57" spans="5:26" s="10" customFormat="1" ht="15.95" customHeight="1" x14ac:dyDescent="0.25">
      <c r="E57" s="71"/>
      <c r="F57" s="71"/>
      <c r="R57" s="313"/>
      <c r="S57" s="313"/>
      <c r="T57" s="402"/>
      <c r="U57" s="402"/>
      <c r="V57" s="402"/>
      <c r="W57" s="402"/>
      <c r="X57" s="402"/>
      <c r="Y57" s="402"/>
      <c r="Z57" s="313"/>
    </row>
    <row r="58" spans="5:26" s="10" customFormat="1" ht="15.95" customHeight="1" x14ac:dyDescent="0.25">
      <c r="E58" s="71"/>
      <c r="F58" s="71"/>
      <c r="R58" s="313"/>
      <c r="S58" s="313"/>
      <c r="T58" s="402"/>
      <c r="U58" s="402"/>
      <c r="V58" s="402"/>
      <c r="W58" s="402"/>
      <c r="X58" s="402"/>
      <c r="Y58" s="402"/>
      <c r="Z58" s="313"/>
    </row>
    <row r="59" spans="5:26" s="10" customFormat="1" ht="15.95" customHeight="1" x14ac:dyDescent="0.25">
      <c r="E59" s="71"/>
      <c r="F59" s="71"/>
      <c r="R59" s="313"/>
      <c r="S59" s="313"/>
      <c r="T59" s="402"/>
      <c r="U59" s="402"/>
      <c r="V59" s="402"/>
      <c r="W59" s="402"/>
      <c r="X59" s="402"/>
      <c r="Y59" s="402"/>
      <c r="Z59" s="313"/>
    </row>
    <row r="60" spans="5:26" s="10" customFormat="1" ht="5.0999999999999996" customHeight="1" x14ac:dyDescent="0.25">
      <c r="R60" s="313"/>
      <c r="S60" s="313"/>
      <c r="T60" s="402"/>
      <c r="U60" s="402"/>
      <c r="V60" s="402"/>
      <c r="W60" s="402"/>
      <c r="X60" s="402"/>
      <c r="Y60" s="402"/>
      <c r="Z60" s="313"/>
    </row>
    <row r="61" spans="5:26" s="10" customFormat="1" ht="15.95" customHeight="1" x14ac:dyDescent="0.25">
      <c r="R61" s="313"/>
      <c r="S61" s="313"/>
      <c r="T61" s="402"/>
      <c r="U61" s="402"/>
      <c r="V61" s="402"/>
      <c r="W61" s="402"/>
      <c r="X61" s="402"/>
      <c r="Y61" s="402"/>
      <c r="Z61" s="313"/>
    </row>
    <row r="62" spans="5:26" s="10" customFormat="1" ht="15.95" customHeight="1" x14ac:dyDescent="0.25">
      <c r="R62" s="313"/>
      <c r="S62" s="313"/>
      <c r="T62" s="402"/>
      <c r="U62" s="402"/>
      <c r="V62" s="402"/>
      <c r="W62" s="402"/>
      <c r="X62" s="402"/>
      <c r="Y62" s="402"/>
      <c r="Z62" s="313"/>
    </row>
    <row r="63" spans="5:26" s="10" customFormat="1" ht="15.95" customHeight="1" x14ac:dyDescent="0.25">
      <c r="R63" s="313"/>
      <c r="S63" s="313"/>
      <c r="T63" s="402"/>
      <c r="U63" s="402"/>
      <c r="V63" s="402"/>
      <c r="W63" s="402"/>
      <c r="X63" s="402"/>
      <c r="Y63" s="402"/>
      <c r="Z63" s="313"/>
    </row>
    <row r="64" spans="5:26" s="10" customFormat="1" ht="15.95" customHeight="1" x14ac:dyDescent="0.25">
      <c r="R64" s="313"/>
      <c r="S64" s="313"/>
      <c r="T64" s="402"/>
      <c r="U64" s="402"/>
      <c r="V64" s="402"/>
      <c r="W64" s="402"/>
      <c r="X64" s="402"/>
      <c r="Y64" s="402"/>
      <c r="Z64" s="313"/>
    </row>
    <row r="65" spans="1:26" s="10" customFormat="1" ht="15.95" customHeight="1" x14ac:dyDescent="0.25">
      <c r="R65" s="313"/>
      <c r="S65" s="313"/>
      <c r="T65" s="402"/>
      <c r="U65" s="402"/>
      <c r="V65" s="402"/>
      <c r="W65" s="402"/>
      <c r="X65" s="402"/>
      <c r="Y65" s="402"/>
      <c r="Z65" s="313"/>
    </row>
    <row r="66" spans="1:26" s="10" customFormat="1" ht="15.95" customHeight="1" x14ac:dyDescent="0.25">
      <c r="R66" s="313"/>
      <c r="S66" s="313"/>
      <c r="T66" s="402"/>
      <c r="U66" s="402"/>
      <c r="V66" s="402"/>
      <c r="W66" s="402"/>
      <c r="X66" s="402"/>
      <c r="Y66" s="402"/>
      <c r="Z66" s="313"/>
    </row>
    <row r="67" spans="1:26" s="10" customFormat="1" ht="15.95" customHeight="1" x14ac:dyDescent="0.25">
      <c r="R67" s="313"/>
      <c r="S67" s="313"/>
      <c r="T67" s="402"/>
      <c r="U67" s="402"/>
      <c r="V67" s="402"/>
      <c r="W67" s="402"/>
      <c r="X67" s="402"/>
      <c r="Y67" s="402"/>
      <c r="Z67" s="313"/>
    </row>
    <row r="68" spans="1:26" s="10" customFormat="1" ht="15" customHeight="1" x14ac:dyDescent="0.25">
      <c r="B68" s="11"/>
      <c r="R68" s="313"/>
      <c r="S68" s="313"/>
      <c r="T68" s="402"/>
      <c r="U68" s="402"/>
      <c r="V68" s="402"/>
      <c r="W68" s="402"/>
      <c r="X68" s="402"/>
      <c r="Y68" s="402"/>
      <c r="Z68" s="313"/>
    </row>
    <row r="69" spans="1:26" s="10" customFormat="1" ht="15" customHeight="1" x14ac:dyDescent="0.25">
      <c r="R69" s="313"/>
      <c r="S69" s="313"/>
      <c r="T69" s="402"/>
      <c r="U69" s="402"/>
      <c r="V69" s="402"/>
      <c r="W69" s="402"/>
      <c r="X69" s="402"/>
      <c r="Y69" s="402"/>
      <c r="Z69" s="313"/>
    </row>
    <row r="70" spans="1:26" ht="15.75" x14ac:dyDescent="0.25">
      <c r="A70" s="119">
        <v>2</v>
      </c>
      <c r="C70" s="16"/>
    </row>
    <row r="71" spans="1:26" s="10" customFormat="1" ht="15" customHeight="1" x14ac:dyDescent="0.25">
      <c r="R71" s="313"/>
      <c r="S71" s="313"/>
      <c r="T71" s="402"/>
      <c r="U71" s="402"/>
      <c r="V71" s="402"/>
      <c r="W71" s="402"/>
      <c r="X71" s="402"/>
      <c r="Y71" s="402"/>
      <c r="Z71" s="313"/>
    </row>
    <row r="72" spans="1:26" s="10" customFormat="1" ht="15" customHeight="1" x14ac:dyDescent="0.25">
      <c r="R72" s="313"/>
      <c r="S72" s="313"/>
      <c r="T72" s="402"/>
      <c r="U72" s="402"/>
      <c r="V72" s="402"/>
      <c r="W72" s="402"/>
      <c r="X72" s="402"/>
      <c r="Y72" s="402"/>
      <c r="Z72" s="313"/>
    </row>
    <row r="73" spans="1:26" s="10" customFormat="1" ht="15" customHeight="1" x14ac:dyDescent="0.25">
      <c r="R73" s="313"/>
      <c r="S73" s="313"/>
      <c r="T73" s="402"/>
      <c r="U73" s="402"/>
      <c r="V73" s="402"/>
      <c r="W73" s="402"/>
      <c r="X73" s="402"/>
      <c r="Y73" s="402"/>
      <c r="Z73" s="313"/>
    </row>
    <row r="74" spans="1:26" s="10" customFormat="1" ht="15" customHeight="1" x14ac:dyDescent="0.25">
      <c r="R74" s="313"/>
      <c r="S74" s="313"/>
      <c r="T74" s="402"/>
      <c r="U74" s="402"/>
      <c r="V74" s="402"/>
      <c r="W74" s="402"/>
      <c r="X74" s="402"/>
      <c r="Y74" s="402"/>
      <c r="Z74" s="313"/>
    </row>
    <row r="75" spans="1:26" s="10" customFormat="1" ht="15" customHeight="1" x14ac:dyDescent="0.25">
      <c r="R75" s="313"/>
      <c r="S75" s="313"/>
      <c r="T75" s="402"/>
      <c r="U75" s="402"/>
      <c r="V75" s="402"/>
      <c r="W75" s="402"/>
      <c r="X75" s="402"/>
      <c r="Y75" s="402"/>
      <c r="Z75" s="313"/>
    </row>
    <row r="76" spans="1:26" s="10" customFormat="1" ht="15" customHeight="1" x14ac:dyDescent="0.25">
      <c r="R76" s="313"/>
      <c r="S76" s="313"/>
      <c r="T76" s="402"/>
      <c r="U76" s="402"/>
      <c r="V76" s="402"/>
      <c r="W76" s="402"/>
      <c r="X76" s="402"/>
      <c r="Y76" s="402"/>
      <c r="Z76" s="313"/>
    </row>
    <row r="77" spans="1:26" s="10" customFormat="1" ht="15" customHeight="1" x14ac:dyDescent="0.25">
      <c r="R77" s="313"/>
      <c r="S77" s="313"/>
      <c r="T77" s="402"/>
      <c r="U77" s="402"/>
      <c r="V77" s="402"/>
      <c r="W77" s="402"/>
      <c r="X77" s="402"/>
      <c r="Y77" s="402"/>
      <c r="Z77" s="313"/>
    </row>
    <row r="78" spans="1:26" s="10" customFormat="1" ht="15" customHeight="1" x14ac:dyDescent="0.25">
      <c r="R78" s="313"/>
      <c r="S78" s="313"/>
      <c r="T78" s="402"/>
      <c r="U78" s="402"/>
      <c r="V78" s="402"/>
      <c r="W78" s="402"/>
      <c r="X78" s="402"/>
      <c r="Y78" s="402"/>
      <c r="Z78" s="313"/>
    </row>
    <row r="79" spans="1:26" s="10" customFormat="1" ht="15" customHeight="1" x14ac:dyDescent="0.25">
      <c r="R79" s="313"/>
      <c r="S79" s="313"/>
      <c r="T79" s="402"/>
      <c r="U79" s="402"/>
      <c r="V79" s="402"/>
      <c r="W79" s="402"/>
      <c r="X79" s="402"/>
      <c r="Y79" s="402"/>
      <c r="Z79" s="313"/>
    </row>
    <row r="80" spans="1:26" s="10" customFormat="1" ht="15" customHeight="1" x14ac:dyDescent="0.25">
      <c r="R80" s="313"/>
      <c r="S80" s="313"/>
      <c r="T80" s="402"/>
      <c r="U80" s="402"/>
      <c r="V80" s="402"/>
      <c r="W80" s="402"/>
      <c r="X80" s="402"/>
      <c r="Y80" s="402"/>
      <c r="Z80" s="313"/>
    </row>
    <row r="81" spans="18:26" s="10" customFormat="1" ht="15" customHeight="1" x14ac:dyDescent="0.25">
      <c r="R81" s="313"/>
      <c r="S81" s="313"/>
      <c r="T81" s="402"/>
      <c r="U81" s="402"/>
      <c r="V81" s="402"/>
      <c r="W81" s="402"/>
      <c r="X81" s="402"/>
      <c r="Y81" s="402"/>
      <c r="Z81" s="313"/>
    </row>
    <row r="82" spans="18:26" s="10" customFormat="1" ht="15" customHeight="1" x14ac:dyDescent="0.25">
      <c r="R82" s="313"/>
      <c r="S82" s="313"/>
      <c r="T82" s="402"/>
      <c r="U82" s="402"/>
      <c r="V82" s="402"/>
      <c r="W82" s="402"/>
      <c r="X82" s="402"/>
      <c r="Y82" s="402"/>
      <c r="Z82" s="313"/>
    </row>
    <row r="83" spans="18:26" s="10" customFormat="1" ht="15" customHeight="1" x14ac:dyDescent="0.25">
      <c r="R83" s="313"/>
      <c r="S83" s="313"/>
      <c r="T83" s="402"/>
      <c r="U83" s="402"/>
      <c r="V83" s="402"/>
      <c r="W83" s="402"/>
      <c r="X83" s="402"/>
      <c r="Y83" s="402"/>
      <c r="Z83" s="313"/>
    </row>
    <row r="84" spans="18:26" s="10" customFormat="1" ht="15" customHeight="1" x14ac:dyDescent="0.25">
      <c r="R84" s="313"/>
      <c r="S84" s="313"/>
      <c r="T84" s="402"/>
      <c r="U84" s="402"/>
      <c r="V84" s="402"/>
      <c r="W84" s="402"/>
      <c r="X84" s="402"/>
      <c r="Y84" s="402"/>
      <c r="Z84" s="313"/>
    </row>
    <row r="85" spans="18:26" s="10" customFormat="1" ht="15" customHeight="1" x14ac:dyDescent="0.25">
      <c r="R85" s="313"/>
      <c r="S85" s="313"/>
      <c r="T85" s="402"/>
      <c r="U85" s="402"/>
      <c r="V85" s="402"/>
      <c r="W85" s="402"/>
      <c r="X85" s="402"/>
      <c r="Y85" s="402"/>
      <c r="Z85" s="313"/>
    </row>
    <row r="86" spans="18:26" s="10" customFormat="1" ht="15" customHeight="1" x14ac:dyDescent="0.25">
      <c r="R86" s="313"/>
      <c r="S86" s="313"/>
      <c r="T86" s="402"/>
      <c r="U86" s="402"/>
      <c r="V86" s="402"/>
      <c r="W86" s="402"/>
      <c r="X86" s="402"/>
      <c r="Y86" s="402"/>
      <c r="Z86" s="313"/>
    </row>
  </sheetData>
  <customSheetViews>
    <customSheetView guid="{B2DDA8C4-3089-41F7-BA6E-A0E09596A2CA}" scale="80" showPageBreaks="1" fitToPage="1" printArea="1">
      <selection activeCell="I10" sqref="I10"/>
      <pageMargins left="1" right="0.75" top="0.85" bottom="0.8" header="0.5" footer="0.35"/>
      <printOptions horizontalCentered="1"/>
      <pageSetup scale="93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20">
      <selection activeCell="D8" sqref="D8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I10" sqref="I10"/>
      <pageMargins left="1" right="0.75" top="0.85" bottom="0.8" header="0.5" footer="0.35"/>
      <printOptions horizontalCentered="1"/>
      <pageSetup scale="92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I10" sqref="I10"/>
      <pageMargins left="1" right="0.75" top="0.85" bottom="0.8" header="0.5" footer="0.35"/>
      <printOptions horizontalCentered="1"/>
      <pageSetup scale="93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zoomScale="70" zoomScaleNormal="70" workbookViewId="0">
      <selection activeCell="B1" sqref="B1"/>
    </sheetView>
  </sheetViews>
  <sheetFormatPr defaultRowHeight="12.75" x14ac:dyDescent="0.2"/>
  <cols>
    <col min="1" max="1" width="0.85546875" style="119" customWidth="1"/>
    <col min="2" max="2" width="3" style="119" customWidth="1"/>
    <col min="3" max="3" width="3.42578125" style="119" customWidth="1"/>
    <col min="4" max="4" width="4.7109375" style="119" customWidth="1"/>
    <col min="5" max="5" width="12.5703125" style="119" customWidth="1"/>
    <col min="6" max="6" width="41.7109375" style="119" customWidth="1"/>
    <col min="7" max="7" width="6.85546875" style="119" customWidth="1"/>
    <col min="8" max="8" width="2.28515625" style="119" customWidth="1"/>
    <col min="9" max="9" width="18.85546875" style="119" customWidth="1"/>
    <col min="10" max="10" width="2.7109375" style="119" customWidth="1"/>
    <col min="11" max="11" width="10.5703125" style="119" bestFit="1" customWidth="1"/>
    <col min="12" max="13" width="2.7109375" style="119" customWidth="1"/>
    <col min="14" max="14" width="0" style="469" hidden="1" customWidth="1"/>
    <col min="15" max="15" width="2.7109375" style="469" hidden="1" customWidth="1"/>
    <col min="16" max="16" width="0" style="426" hidden="1" customWidth="1"/>
    <col min="17" max="17" width="2.7109375" style="426" hidden="1" customWidth="1"/>
    <col min="18" max="18" width="13.42578125" style="426" hidden="1" customWidth="1"/>
    <col min="19" max="19" width="2.7109375" style="426" hidden="1" customWidth="1"/>
    <col min="20" max="20" width="13.42578125" style="426" hidden="1" customWidth="1"/>
    <col min="21" max="21" width="2.7109375" style="426" hidden="1" customWidth="1"/>
    <col min="22" max="22" width="12.7109375" style="426" hidden="1" customWidth="1"/>
    <col min="23" max="23" width="2.7109375" style="426" hidden="1" customWidth="1"/>
    <col min="24" max="24" width="16" style="426" hidden="1" customWidth="1"/>
    <col min="25" max="25" width="3.42578125" style="426" hidden="1" customWidth="1"/>
    <col min="26" max="26" width="12.5703125" style="426" hidden="1" customWidth="1"/>
    <col min="27" max="27" width="3" style="469" hidden="1" customWidth="1"/>
    <col min="28" max="28" width="13.42578125" style="469" hidden="1" customWidth="1"/>
    <col min="29" max="29" width="3.7109375" style="469" hidden="1" customWidth="1"/>
    <col min="30" max="30" width="13.42578125" style="469" hidden="1" customWidth="1"/>
    <col min="31" max="16384" width="9.140625" style="119"/>
  </cols>
  <sheetData>
    <row r="1" spans="1:30" ht="28.5" customHeight="1" x14ac:dyDescent="0.2">
      <c r="A1" s="210"/>
    </row>
    <row r="2" spans="1:30" s="10" customFormat="1" ht="15.95" customHeight="1" x14ac:dyDescent="0.25">
      <c r="B2" s="10" t="s">
        <v>1319</v>
      </c>
      <c r="N2" s="470"/>
      <c r="O2" s="470"/>
      <c r="P2" s="427"/>
      <c r="Q2" s="427"/>
      <c r="R2" s="427"/>
      <c r="S2" s="427"/>
      <c r="T2" s="427"/>
      <c r="U2" s="427"/>
      <c r="V2" s="427"/>
      <c r="W2" s="427"/>
      <c r="X2" s="427"/>
      <c r="Y2" s="427"/>
      <c r="Z2" s="427"/>
      <c r="AA2" s="470"/>
      <c r="AB2" s="470"/>
      <c r="AC2" s="470"/>
      <c r="AD2" s="470"/>
    </row>
    <row r="3" spans="1:30" s="10" customFormat="1" ht="15.75" customHeight="1" x14ac:dyDescent="0.25">
      <c r="C3" s="10" t="s">
        <v>60</v>
      </c>
      <c r="D3" s="71" t="s">
        <v>1394</v>
      </c>
      <c r="E3" s="71"/>
      <c r="F3" s="71"/>
      <c r="N3" s="470"/>
      <c r="O3" s="470"/>
      <c r="P3" s="427"/>
      <c r="Q3" s="427"/>
      <c r="R3" s="427"/>
      <c r="S3" s="427"/>
      <c r="T3" s="427"/>
      <c r="U3" s="431" t="s">
        <v>794</v>
      </c>
      <c r="V3" s="427"/>
      <c r="W3" s="427"/>
      <c r="X3" s="427"/>
      <c r="Y3" s="427"/>
      <c r="Z3" s="427"/>
      <c r="AA3" s="470"/>
      <c r="AB3" s="470"/>
      <c r="AC3" s="470"/>
      <c r="AD3" s="470"/>
    </row>
    <row r="4" spans="1:30" s="10" customFormat="1" ht="15.95" customHeight="1" x14ac:dyDescent="0.25">
      <c r="B4" s="10" t="s">
        <v>337</v>
      </c>
      <c r="D4" s="71" t="str">
        <f>CONCATENATE("liabilities. Under Armour reported working capital of ",TEXT((X4*1000),"$#,##0")," (",TEXT((T4*1000),"$#,##0"),U4,)</f>
        <v xml:space="preserve">liabilities. Under Armour reported working capital of $506,056,000 ($689,663,000 – </v>
      </c>
      <c r="E4" s="71"/>
      <c r="F4" s="71"/>
      <c r="N4" s="470"/>
      <c r="O4" s="470"/>
      <c r="P4" s="427"/>
      <c r="Q4" s="427"/>
      <c r="R4" s="427"/>
      <c r="S4" s="427"/>
      <c r="T4" s="432">
        <f>'1-53'!V29</f>
        <v>689663</v>
      </c>
      <c r="U4" s="432" t="s">
        <v>1589</v>
      </c>
      <c r="V4" s="432">
        <f>'1-53'!V30</f>
        <v>183607</v>
      </c>
      <c r="W4" s="432" t="s">
        <v>1587</v>
      </c>
      <c r="X4" s="432">
        <f>SUM(T4-V4)</f>
        <v>506056</v>
      </c>
      <c r="Y4" s="427"/>
      <c r="Z4" s="427"/>
      <c r="AA4" s="470"/>
      <c r="AB4" s="470"/>
      <c r="AC4" s="470"/>
      <c r="AD4" s="470"/>
    </row>
    <row r="5" spans="1:30" s="10" customFormat="1" ht="15.95" customHeight="1" x14ac:dyDescent="0.25">
      <c r="D5" s="71" t="str">
        <f>CONCATENATE(TEXT((V4*1000),"$#,##0"),") and a current ratio of ",TEXT(X5,"#,##0.00")," (",TEXT((T5*1000),"$#,##0"),U5,TEXT((V5*1000),"$#,##0"),"). This ")</f>
        <v xml:space="preserve">$183,607,000) and a current ratio of 3.76 ($689,663,000/$183,607,000). This </v>
      </c>
      <c r="E5" s="71"/>
      <c r="F5" s="220"/>
      <c r="N5" s="470"/>
      <c r="O5" s="470"/>
      <c r="P5" s="427"/>
      <c r="Q5" s="427"/>
      <c r="R5" s="427"/>
      <c r="S5" s="427"/>
      <c r="T5" s="432">
        <f>'1-53'!V29</f>
        <v>689663</v>
      </c>
      <c r="U5" s="432" t="s">
        <v>1393</v>
      </c>
      <c r="V5" s="432">
        <f>'1-53'!V30</f>
        <v>183607</v>
      </c>
      <c r="W5" s="432" t="s">
        <v>1587</v>
      </c>
      <c r="X5" s="471">
        <f>SUM(T5/V5)</f>
        <v>3.7561912127533263</v>
      </c>
      <c r="Y5" s="427"/>
      <c r="Z5" s="427"/>
      <c r="AA5" s="470"/>
      <c r="AB5" s="470"/>
      <c r="AC5" s="470"/>
      <c r="AD5" s="470"/>
    </row>
    <row r="6" spans="1:30" ht="15.95" customHeight="1" x14ac:dyDescent="0.25">
      <c r="C6" s="10"/>
      <c r="D6" s="71" t="s">
        <v>1668</v>
      </c>
      <c r="E6" s="221"/>
      <c r="F6" s="220"/>
      <c r="T6" s="427"/>
      <c r="U6" s="427"/>
      <c r="V6" s="427"/>
      <c r="W6" s="427"/>
      <c r="X6" s="427"/>
    </row>
    <row r="7" spans="1:30" ht="15.75" customHeight="1" x14ac:dyDescent="0.25">
      <c r="C7" s="10"/>
      <c r="D7" s="71" t="str">
        <f>CONCATENATE("the next year. The liquidity picture of VF is similar. VF reports working capital of ")</f>
        <v xml:space="preserve">the next year. The liquidity picture of VF is similar. VF reports working capital of </v>
      </c>
      <c r="E7" s="221"/>
      <c r="F7" s="71"/>
      <c r="T7" s="427"/>
      <c r="U7" s="431" t="s">
        <v>794</v>
      </c>
      <c r="V7" s="427"/>
      <c r="W7" s="427"/>
      <c r="X7" s="427"/>
    </row>
    <row r="8" spans="1:30" ht="15.95" customHeight="1" x14ac:dyDescent="0.25">
      <c r="C8" s="10"/>
      <c r="D8" s="71" t="str">
        <f>CONCATENATE(TEXT((X8*1000),"$#,##0")," (",TEXT((T9*1000),"$#,##0"),U8,TEXT((V9*1000),"$#,##0"),") and a current ratio of ",TEXT(X9,"#,##0.00"),)</f>
        <v>$1,521,912,000 ($3,187,944,000 – $1,666,032,000) and a current ratio of 1.91</v>
      </c>
      <c r="E8" s="221"/>
      <c r="F8" s="71"/>
      <c r="T8" s="432">
        <f>'1-53'!Y29</f>
        <v>3187944</v>
      </c>
      <c r="U8" s="432" t="s">
        <v>1589</v>
      </c>
      <c r="V8" s="432">
        <f>'1-53'!Y30</f>
        <v>1666032</v>
      </c>
      <c r="W8" s="432" t="s">
        <v>1587</v>
      </c>
      <c r="X8" s="432">
        <f>SUM(T8-V8)</f>
        <v>1521912</v>
      </c>
    </row>
    <row r="9" spans="1:30" s="10" customFormat="1" ht="15.95" customHeight="1" x14ac:dyDescent="0.25">
      <c r="D9" s="71" t="str">
        <f>CONCATENATE("(",TEXT((T9*1000),"$#,##0"),U9,TEXT((V9*1000),"$#,##0"),"). Both companies appear to be able to pay")</f>
        <v>($3,187,944,000 / $1,666,032,000). Both companies appear to be able to pay</v>
      </c>
      <c r="E9" s="71"/>
      <c r="F9" s="71"/>
      <c r="N9" s="470"/>
      <c r="O9" s="470"/>
      <c r="P9" s="427"/>
      <c r="Q9" s="427"/>
      <c r="R9" s="427"/>
      <c r="S9" s="427"/>
      <c r="T9" s="432">
        <f>'1-53'!Y29</f>
        <v>3187944</v>
      </c>
      <c r="U9" s="432" t="s">
        <v>1314</v>
      </c>
      <c r="V9" s="432">
        <f>'1-53'!Y30</f>
        <v>1666032</v>
      </c>
      <c r="W9" s="432" t="s">
        <v>1587</v>
      </c>
      <c r="X9" s="471">
        <f>SUM(T9/V9)</f>
        <v>1.9134950589184361</v>
      </c>
      <c r="Y9" s="427"/>
      <c r="Z9" s="427"/>
      <c r="AA9" s="470"/>
      <c r="AB9" s="470"/>
      <c r="AC9" s="470"/>
      <c r="AD9" s="470"/>
    </row>
    <row r="10" spans="1:30" s="10" customFormat="1" ht="15.95" customHeight="1" x14ac:dyDescent="0.25">
      <c r="D10" s="71" t="s">
        <v>1041</v>
      </c>
      <c r="E10" s="71"/>
      <c r="F10" s="71"/>
      <c r="N10" s="470"/>
      <c r="O10" s="470"/>
      <c r="P10" s="427"/>
      <c r="Q10" s="427"/>
      <c r="R10" s="427"/>
      <c r="S10" s="427"/>
      <c r="T10" s="432"/>
      <c r="U10" s="432"/>
      <c r="V10" s="432"/>
      <c r="W10" s="432"/>
      <c r="X10" s="471"/>
      <c r="Y10" s="427"/>
      <c r="Z10" s="427"/>
      <c r="AA10" s="470"/>
      <c r="AB10" s="470"/>
      <c r="AC10" s="470"/>
      <c r="AD10" s="470"/>
    </row>
    <row r="11" spans="1:30" s="10" customFormat="1" ht="6.75" customHeight="1" x14ac:dyDescent="0.25">
      <c r="N11" s="470"/>
      <c r="O11" s="470"/>
      <c r="P11" s="427"/>
      <c r="Q11" s="427"/>
      <c r="R11" s="427"/>
      <c r="S11" s="427"/>
      <c r="T11" s="427"/>
      <c r="U11" s="427"/>
      <c r="V11" s="427"/>
      <c r="W11" s="427"/>
      <c r="X11" s="427"/>
      <c r="Y11" s="427"/>
      <c r="Z11" s="427"/>
      <c r="AA11" s="470"/>
      <c r="AB11" s="470"/>
      <c r="AC11" s="470"/>
      <c r="AD11" s="470"/>
    </row>
    <row r="12" spans="1:30" s="10" customFormat="1" ht="15.95" customHeight="1" x14ac:dyDescent="0.25">
      <c r="C12" s="10" t="s">
        <v>1442</v>
      </c>
      <c r="D12" s="71" t="s">
        <v>669</v>
      </c>
      <c r="N12" s="470"/>
      <c r="O12" s="470"/>
      <c r="P12" s="427"/>
      <c r="Q12" s="427"/>
      <c r="R12" s="472"/>
      <c r="S12" s="428" t="s">
        <v>1681</v>
      </c>
      <c r="T12" s="472"/>
      <c r="U12" s="427"/>
      <c r="V12" s="427"/>
      <c r="W12" s="427"/>
      <c r="X12" s="427"/>
      <c r="Y12" s="427"/>
      <c r="Z12" s="427"/>
      <c r="AA12" s="470"/>
      <c r="AB12" s="470"/>
      <c r="AC12" s="470"/>
      <c r="AD12" s="470"/>
    </row>
    <row r="13" spans="1:30" s="10" customFormat="1" ht="15.95" customHeight="1" x14ac:dyDescent="0.25">
      <c r="D13" s="71" t="s">
        <v>670</v>
      </c>
      <c r="N13" s="470"/>
      <c r="O13" s="470"/>
      <c r="P13" s="427"/>
      <c r="Q13" s="427"/>
      <c r="R13" s="427"/>
      <c r="S13" s="432" t="s">
        <v>1441</v>
      </c>
      <c r="T13" s="427"/>
      <c r="U13" s="427"/>
      <c r="V13" s="427"/>
      <c r="W13" s="427"/>
      <c r="X13" s="427"/>
      <c r="Y13" s="427"/>
      <c r="Z13" s="427"/>
      <c r="AA13" s="470"/>
      <c r="AB13" s="470"/>
      <c r="AC13" s="470"/>
      <c r="AD13" s="470"/>
    </row>
    <row r="14" spans="1:30" s="10" customFormat="1" ht="15.95" customHeight="1" x14ac:dyDescent="0.25">
      <c r="D14" s="71" t="s">
        <v>311</v>
      </c>
      <c r="N14" s="470"/>
      <c r="O14" s="470"/>
      <c r="P14" s="427"/>
      <c r="Q14" s="427"/>
      <c r="R14" s="430" t="s">
        <v>1262</v>
      </c>
      <c r="S14" s="427"/>
      <c r="T14" s="430" t="s">
        <v>1269</v>
      </c>
      <c r="U14" s="427"/>
      <c r="V14" s="427"/>
      <c r="W14" s="427"/>
      <c r="X14" s="427"/>
      <c r="Y14" s="427"/>
      <c r="Z14" s="427"/>
      <c r="AA14" s="470"/>
      <c r="AB14" s="470"/>
      <c r="AC14" s="470"/>
      <c r="AD14" s="470"/>
    </row>
    <row r="15" spans="1:30" s="10" customFormat="1" ht="15.95" customHeight="1" x14ac:dyDescent="0.25">
      <c r="D15" s="71" t="s">
        <v>312</v>
      </c>
      <c r="N15" s="470"/>
      <c r="O15" s="470"/>
      <c r="P15" s="427"/>
      <c r="Q15" s="429" t="s">
        <v>1604</v>
      </c>
      <c r="R15" s="430">
        <v>1472684</v>
      </c>
      <c r="S15" s="427"/>
      <c r="T15" s="430">
        <v>9365477</v>
      </c>
      <c r="U15" s="427"/>
      <c r="V15" s="427"/>
      <c r="W15" s="427"/>
      <c r="X15" s="427"/>
      <c r="Y15" s="427"/>
      <c r="Z15" s="427"/>
      <c r="AA15" s="470"/>
      <c r="AB15" s="470"/>
      <c r="AC15" s="470"/>
      <c r="AD15" s="470"/>
    </row>
    <row r="16" spans="1:30" s="10" customFormat="1" ht="15.95" customHeight="1" x14ac:dyDescent="0.25">
      <c r="D16" s="71" t="s">
        <v>671</v>
      </c>
      <c r="N16" s="470"/>
      <c r="O16" s="470"/>
      <c r="P16" s="427"/>
      <c r="Q16" s="427"/>
      <c r="R16" s="430"/>
      <c r="S16" s="427"/>
      <c r="T16" s="430">
        <v>93755</v>
      </c>
      <c r="U16" s="427"/>
      <c r="V16" s="427"/>
      <c r="W16" s="427"/>
      <c r="X16" s="427"/>
      <c r="Y16" s="427"/>
      <c r="Z16" s="427"/>
      <c r="AA16" s="470"/>
      <c r="AB16" s="470"/>
      <c r="AC16" s="470"/>
      <c r="AD16" s="470"/>
    </row>
    <row r="17" spans="2:30" s="10" customFormat="1" ht="15.95" customHeight="1" x14ac:dyDescent="0.25">
      <c r="D17" s="10" t="s">
        <v>313</v>
      </c>
      <c r="N17" s="470"/>
      <c r="O17" s="470"/>
      <c r="P17" s="427"/>
      <c r="Q17" s="427"/>
      <c r="R17" s="430"/>
      <c r="S17" s="427"/>
      <c r="T17" s="430">
        <v>4778</v>
      </c>
      <c r="U17" s="427"/>
      <c r="V17" s="427"/>
      <c r="W17" s="427"/>
      <c r="X17" s="427"/>
      <c r="Y17" s="427"/>
      <c r="Z17" s="427"/>
      <c r="AA17" s="470"/>
      <c r="AB17" s="470"/>
      <c r="AC17" s="470"/>
      <c r="AD17" s="470"/>
    </row>
    <row r="18" spans="2:30" s="10" customFormat="1" ht="15.95" customHeight="1" x14ac:dyDescent="0.25">
      <c r="D18" s="10" t="s">
        <v>314</v>
      </c>
      <c r="N18" s="470"/>
      <c r="O18" s="470"/>
      <c r="P18" s="427"/>
      <c r="Q18" s="429"/>
      <c r="R18" s="432">
        <f>SUM(R15:R17)</f>
        <v>1472684</v>
      </c>
      <c r="S18" s="427"/>
      <c r="T18" s="432">
        <f>SUM(T15:T17)</f>
        <v>9464010</v>
      </c>
      <c r="U18" s="427"/>
      <c r="V18" s="427"/>
      <c r="W18" s="427"/>
      <c r="X18" s="427"/>
      <c r="Y18" s="427"/>
      <c r="Z18" s="427"/>
      <c r="AA18" s="470"/>
      <c r="AB18" s="470"/>
      <c r="AC18" s="470"/>
      <c r="AD18" s="470"/>
    </row>
    <row r="19" spans="2:30" s="10" customFormat="1" ht="9.9499999999999993" customHeight="1" x14ac:dyDescent="0.25">
      <c r="N19" s="470"/>
      <c r="O19" s="470"/>
      <c r="P19" s="427"/>
      <c r="Q19" s="427"/>
      <c r="R19" s="427"/>
      <c r="S19" s="427"/>
      <c r="T19" s="427"/>
      <c r="U19" s="427"/>
      <c r="V19" s="427"/>
      <c r="W19" s="427"/>
      <c r="X19" s="427"/>
      <c r="Y19" s="427"/>
      <c r="Z19" s="427"/>
      <c r="AA19" s="470"/>
      <c r="AB19" s="470"/>
      <c r="AC19" s="470"/>
      <c r="AD19" s="470"/>
    </row>
    <row r="20" spans="2:30" s="10" customFormat="1" ht="15.95" customHeight="1" x14ac:dyDescent="0.25">
      <c r="B20" s="11" t="s">
        <v>270</v>
      </c>
      <c r="C20" s="10" t="s">
        <v>1445</v>
      </c>
      <c r="N20" s="470"/>
      <c r="O20" s="470"/>
      <c r="P20" s="427"/>
      <c r="Q20" s="429"/>
      <c r="R20" s="427"/>
      <c r="S20" s="427"/>
      <c r="T20" s="427"/>
      <c r="U20" s="427"/>
      <c r="V20" s="427"/>
      <c r="W20" s="427"/>
      <c r="X20" s="427"/>
      <c r="Y20" s="427"/>
      <c r="Z20" s="427"/>
      <c r="AA20" s="470"/>
      <c r="AB20" s="470"/>
      <c r="AC20" s="470"/>
      <c r="AD20" s="470"/>
    </row>
    <row r="21" spans="2:30" s="10" customFormat="1" ht="5.0999999999999996" customHeight="1" x14ac:dyDescent="0.25">
      <c r="N21" s="470"/>
      <c r="O21" s="470"/>
      <c r="P21" s="427"/>
      <c r="Q21" s="429"/>
      <c r="R21" s="427"/>
      <c r="S21" s="427"/>
      <c r="T21" s="427"/>
      <c r="U21" s="427"/>
      <c r="V21" s="427"/>
      <c r="W21" s="427"/>
      <c r="X21" s="427"/>
      <c r="Y21" s="427"/>
      <c r="Z21" s="427"/>
      <c r="AA21" s="470"/>
      <c r="AB21" s="470"/>
      <c r="AC21" s="470"/>
      <c r="AD21" s="470"/>
    </row>
    <row r="22" spans="2:30" s="10" customFormat="1" ht="15.95" customHeight="1" x14ac:dyDescent="0.25">
      <c r="C22" s="10" t="s">
        <v>55</v>
      </c>
      <c r="D22" s="10" t="s">
        <v>1391</v>
      </c>
      <c r="N22" s="470"/>
      <c r="O22" s="470"/>
      <c r="P22" s="427"/>
      <c r="Q22" s="429"/>
      <c r="R22" s="427"/>
      <c r="S22" s="432" t="s">
        <v>1441</v>
      </c>
      <c r="T22" s="427"/>
      <c r="U22" s="427"/>
      <c r="V22" s="427"/>
      <c r="W22" s="427"/>
      <c r="X22" s="427"/>
      <c r="Y22" s="427"/>
      <c r="Z22" s="427"/>
      <c r="AA22" s="470"/>
      <c r="AB22" s="470"/>
      <c r="AC22" s="470"/>
      <c r="AD22" s="470"/>
    </row>
    <row r="23" spans="2:30" s="10" customFormat="1" ht="5.0999999999999996" customHeight="1" x14ac:dyDescent="0.25">
      <c r="N23" s="470"/>
      <c r="O23" s="470"/>
      <c r="P23" s="427"/>
      <c r="Q23" s="427"/>
      <c r="R23" s="427"/>
      <c r="S23" s="427"/>
      <c r="T23" s="427"/>
      <c r="U23" s="427"/>
      <c r="V23" s="427"/>
      <c r="W23" s="427"/>
      <c r="X23" s="427"/>
      <c r="Y23" s="427"/>
      <c r="Z23" s="427"/>
      <c r="AA23" s="470"/>
      <c r="AB23" s="470"/>
      <c r="AC23" s="470"/>
      <c r="AD23" s="470"/>
    </row>
    <row r="24" spans="2:30" s="10" customFormat="1" ht="15.95" customHeight="1" x14ac:dyDescent="0.25">
      <c r="D24" s="69" t="s">
        <v>689</v>
      </c>
      <c r="F24" s="26"/>
      <c r="H24" s="10" t="s">
        <v>337</v>
      </c>
      <c r="I24" s="311">
        <f>SUM(X36)</f>
        <v>1472684000</v>
      </c>
      <c r="N24" s="470"/>
      <c r="O24" s="470"/>
      <c r="P24" s="427"/>
      <c r="Q24" s="429" t="s">
        <v>1605</v>
      </c>
      <c r="R24" s="430">
        <v>759848</v>
      </c>
      <c r="S24" s="427"/>
      <c r="T24" s="430">
        <v>5128602</v>
      </c>
      <c r="U24" s="427"/>
      <c r="V24" s="427"/>
      <c r="W24" s="427"/>
      <c r="X24" s="427"/>
      <c r="Y24" s="427"/>
      <c r="Z24" s="427"/>
      <c r="AA24" s="470"/>
      <c r="AB24" s="470"/>
      <c r="AC24" s="470"/>
      <c r="AD24" s="470"/>
    </row>
    <row r="25" spans="2:30" s="10" customFormat="1" ht="15.95" customHeight="1" x14ac:dyDescent="0.25">
      <c r="D25" s="69" t="s">
        <v>690</v>
      </c>
      <c r="F25" s="26"/>
      <c r="H25" s="10" t="s">
        <v>337</v>
      </c>
      <c r="I25" s="78">
        <f>AB37</f>
        <v>1375765000</v>
      </c>
      <c r="N25" s="470"/>
      <c r="O25" s="470"/>
      <c r="P25" s="427"/>
      <c r="Q25" s="427"/>
      <c r="R25" s="430">
        <v>550069</v>
      </c>
      <c r="S25" s="427"/>
      <c r="T25" s="430">
        <v>3085839</v>
      </c>
      <c r="U25" s="427"/>
      <c r="V25" s="427"/>
      <c r="W25" s="427"/>
      <c r="X25" s="427"/>
      <c r="Y25" s="427"/>
      <c r="Z25" s="427"/>
      <c r="AA25" s="470"/>
      <c r="AB25" s="470"/>
      <c r="AC25" s="470"/>
      <c r="AD25" s="470"/>
    </row>
    <row r="26" spans="2:30" s="10" customFormat="1" ht="15.95" customHeight="1" thickBot="1" x14ac:dyDescent="0.3">
      <c r="D26" s="69" t="s">
        <v>691</v>
      </c>
      <c r="F26" s="26"/>
      <c r="H26" s="10" t="s">
        <v>337</v>
      </c>
      <c r="I26" s="310">
        <f>SUM(I24-I25)</f>
        <v>96919000</v>
      </c>
      <c r="N26" s="470"/>
      <c r="O26" s="470"/>
      <c r="P26" s="427"/>
      <c r="Q26" s="427"/>
      <c r="R26" s="430">
        <v>3841</v>
      </c>
      <c r="S26" s="427"/>
      <c r="T26" s="430">
        <v>77578</v>
      </c>
      <c r="U26" s="427"/>
      <c r="V26" s="427"/>
      <c r="W26" s="427"/>
      <c r="X26" s="427"/>
      <c r="Y26" s="427"/>
      <c r="Z26" s="427"/>
      <c r="AA26" s="470"/>
      <c r="AB26" s="470"/>
      <c r="AC26" s="470"/>
      <c r="AD26" s="470"/>
    </row>
    <row r="27" spans="2:30" s="10" customFormat="1" ht="9.9499999999999993" customHeight="1" thickTop="1" x14ac:dyDescent="0.25">
      <c r="F27" s="26"/>
      <c r="G27" s="45"/>
      <c r="H27" s="45"/>
      <c r="I27" s="60"/>
      <c r="N27" s="470"/>
      <c r="O27" s="470"/>
      <c r="P27" s="427"/>
      <c r="Q27" s="427"/>
      <c r="R27" s="427"/>
      <c r="S27" s="427"/>
      <c r="T27" s="427"/>
      <c r="U27" s="427"/>
      <c r="V27" s="427"/>
      <c r="W27" s="427"/>
      <c r="X27" s="427"/>
      <c r="Y27" s="427"/>
      <c r="Z27" s="427"/>
      <c r="AA27" s="470"/>
      <c r="AB27" s="470"/>
      <c r="AC27" s="470"/>
      <c r="AD27" s="470"/>
    </row>
    <row r="28" spans="2:30" s="10" customFormat="1" ht="15.95" customHeight="1" x14ac:dyDescent="0.25">
      <c r="D28" s="10" t="s">
        <v>668</v>
      </c>
      <c r="F28" s="26"/>
      <c r="G28" s="26"/>
      <c r="H28" s="26"/>
      <c r="I28" s="60"/>
      <c r="N28" s="470"/>
      <c r="O28" s="470"/>
      <c r="P28" s="427"/>
      <c r="Q28" s="427"/>
      <c r="R28" s="430">
        <v>2064</v>
      </c>
      <c r="S28" s="427"/>
      <c r="T28" s="430">
        <v>7248</v>
      </c>
      <c r="U28" s="427"/>
      <c r="V28" s="427"/>
      <c r="W28" s="427"/>
      <c r="X28" s="427"/>
      <c r="Y28" s="427"/>
      <c r="Z28" s="427"/>
      <c r="AA28" s="470"/>
      <c r="AB28" s="470"/>
      <c r="AC28" s="470"/>
      <c r="AD28" s="470"/>
    </row>
    <row r="29" spans="2:30" s="10" customFormat="1" ht="10.5" customHeight="1" x14ac:dyDescent="0.25">
      <c r="F29" s="26"/>
      <c r="G29" s="26"/>
      <c r="H29" s="26"/>
      <c r="I29" s="60"/>
      <c r="N29" s="470"/>
      <c r="O29" s="470"/>
      <c r="P29" s="427"/>
      <c r="Q29" s="427"/>
      <c r="R29" s="427"/>
      <c r="S29" s="427"/>
      <c r="T29" s="427"/>
      <c r="U29" s="427"/>
      <c r="V29" s="427"/>
      <c r="W29" s="427"/>
      <c r="X29" s="427"/>
      <c r="Y29" s="427"/>
      <c r="Z29" s="427"/>
      <c r="AA29" s="470"/>
      <c r="AB29" s="470"/>
      <c r="AC29" s="470"/>
      <c r="AD29" s="470"/>
    </row>
    <row r="30" spans="2:30" s="10" customFormat="1" ht="15.95" customHeight="1" x14ac:dyDescent="0.25">
      <c r="D30" s="69" t="s">
        <v>689</v>
      </c>
      <c r="F30" s="26"/>
      <c r="H30" s="10" t="s">
        <v>337</v>
      </c>
      <c r="I30" s="41">
        <f>X39</f>
        <v>9464010000</v>
      </c>
      <c r="N30" s="470"/>
      <c r="O30" s="470"/>
      <c r="P30" s="427"/>
      <c r="Q30" s="427"/>
      <c r="R30" s="427"/>
      <c r="S30" s="427"/>
      <c r="T30" s="430">
        <v>2304</v>
      </c>
      <c r="U30" s="427"/>
      <c r="V30" s="427"/>
      <c r="W30" s="427"/>
      <c r="X30" s="427"/>
      <c r="Y30" s="427"/>
      <c r="Z30" s="427"/>
      <c r="AA30" s="470"/>
      <c r="AB30" s="470"/>
      <c r="AC30" s="470"/>
      <c r="AD30" s="470"/>
    </row>
    <row r="31" spans="2:30" s="10" customFormat="1" ht="15.95" customHeight="1" x14ac:dyDescent="0.25">
      <c r="D31" s="69" t="s">
        <v>690</v>
      </c>
      <c r="F31" s="26"/>
      <c r="H31" s="10" t="s">
        <v>337</v>
      </c>
      <c r="I31" s="78">
        <f>AD40</f>
        <v>8575921000</v>
      </c>
      <c r="N31" s="470"/>
      <c r="O31" s="470"/>
      <c r="P31" s="427"/>
      <c r="Q31" s="427"/>
      <c r="R31" s="430">
        <v>59943</v>
      </c>
      <c r="S31" s="427"/>
      <c r="T31" s="430">
        <v>274350</v>
      </c>
      <c r="U31" s="427"/>
      <c r="V31" s="427"/>
      <c r="W31" s="427"/>
      <c r="X31" s="427"/>
      <c r="Y31" s="427"/>
      <c r="Z31" s="427"/>
      <c r="AA31" s="470"/>
      <c r="AB31" s="470"/>
      <c r="AC31" s="470"/>
      <c r="AD31" s="470"/>
    </row>
    <row r="32" spans="2:30" s="10" customFormat="1" ht="15.95" customHeight="1" thickBot="1" x14ac:dyDescent="0.3">
      <c r="D32" s="69" t="s">
        <v>691</v>
      </c>
      <c r="F32" s="26"/>
      <c r="H32" s="10" t="s">
        <v>337</v>
      </c>
      <c r="I32" s="124">
        <f>SUM(I30-I31)</f>
        <v>888089000</v>
      </c>
      <c r="N32" s="470"/>
      <c r="O32" s="470"/>
      <c r="P32" s="427"/>
      <c r="Q32" s="427"/>
      <c r="R32" s="432">
        <f>SUM(R24:R31)</f>
        <v>1375765</v>
      </c>
      <c r="S32" s="427"/>
      <c r="T32" s="432">
        <f>SUM(T24:T31)</f>
        <v>8575921</v>
      </c>
      <c r="U32" s="427"/>
      <c r="V32" s="427"/>
      <c r="W32" s="427"/>
      <c r="X32" s="427"/>
      <c r="Y32" s="427"/>
      <c r="Z32" s="427"/>
      <c r="AA32" s="470"/>
      <c r="AB32" s="470"/>
      <c r="AC32" s="470"/>
      <c r="AD32" s="470"/>
    </row>
    <row r="33" spans="1:32" s="10" customFormat="1" ht="5.0999999999999996" customHeight="1" thickTop="1" x14ac:dyDescent="0.25">
      <c r="N33" s="470"/>
      <c r="O33" s="470"/>
      <c r="P33" s="427"/>
      <c r="Q33" s="427"/>
      <c r="R33" s="427"/>
      <c r="S33" s="427"/>
      <c r="T33" s="427"/>
      <c r="U33" s="427"/>
      <c r="V33" s="427"/>
      <c r="W33" s="427"/>
      <c r="X33" s="427"/>
      <c r="Y33" s="427"/>
      <c r="Z33" s="427"/>
      <c r="AA33" s="470"/>
      <c r="AB33" s="470"/>
      <c r="AC33" s="470"/>
      <c r="AD33" s="470"/>
    </row>
    <row r="34" spans="1:32" s="10" customFormat="1" ht="7.5" customHeight="1" x14ac:dyDescent="0.25">
      <c r="B34" s="164"/>
      <c r="C34" s="29"/>
      <c r="N34" s="470"/>
      <c r="O34" s="470"/>
      <c r="P34" s="427"/>
      <c r="Q34" s="427"/>
      <c r="R34" s="427"/>
      <c r="S34" s="427"/>
      <c r="T34" s="427"/>
      <c r="U34" s="427"/>
      <c r="V34" s="427"/>
      <c r="W34" s="427"/>
      <c r="X34" s="427"/>
      <c r="Y34" s="427"/>
      <c r="Z34" s="427"/>
      <c r="AA34" s="470"/>
      <c r="AB34" s="470"/>
      <c r="AC34" s="470"/>
      <c r="AD34" s="470"/>
    </row>
    <row r="35" spans="1:32" s="10" customFormat="1" ht="15.95" customHeight="1" x14ac:dyDescent="0.25">
      <c r="B35" s="164" t="s">
        <v>748</v>
      </c>
      <c r="C35" s="29" t="str">
        <f>CONCATENATE(TEXT((R37),"$#,###,##0")," + ",TEXT((T37),"$#,###,##0")," + ",TEXT((V37),"$#,###,##0")," +",TEXT((X37),"$#,###,##0")," + ",TEXT((Z37),"$#,###,##0"))</f>
        <v>$759,848,000 + $550,069,000 + $3,841,000 +$2,064,000 + $59,943,000</v>
      </c>
      <c r="N35" s="470"/>
      <c r="O35" s="470"/>
      <c r="P35" s="427"/>
      <c r="Q35" s="427"/>
      <c r="R35" s="427"/>
      <c r="S35" s="431" t="s">
        <v>794</v>
      </c>
      <c r="T35" s="427"/>
      <c r="U35" s="431" t="s">
        <v>794</v>
      </c>
      <c r="V35" s="427"/>
      <c r="W35" s="427"/>
      <c r="X35" s="427"/>
      <c r="Y35" s="427"/>
      <c r="Z35" s="427"/>
      <c r="AA35" s="470"/>
      <c r="AB35" s="470"/>
      <c r="AC35" s="470"/>
      <c r="AD35" s="470"/>
    </row>
    <row r="36" spans="1:32" s="10" customFormat="1" ht="15.95" customHeight="1" x14ac:dyDescent="0.25">
      <c r="B36" s="164" t="s">
        <v>749</v>
      </c>
      <c r="C36" s="29" t="str">
        <f>CONCATENATE(TEXT((R39),"$#,###,##0")," + ",TEXT((T39),"$#,###,##0")," + ",TEXT((V39),"$#,###,##0"))</f>
        <v>$9,365,477,000 + $93,755,000 + $4,778,000</v>
      </c>
      <c r="N36" s="470"/>
      <c r="O36" s="473" t="s">
        <v>1667</v>
      </c>
      <c r="P36" s="432">
        <v>1000</v>
      </c>
      <c r="Q36" s="474" t="s">
        <v>1669</v>
      </c>
      <c r="R36" s="432">
        <f>R15*$P$36</f>
        <v>1472684000</v>
      </c>
      <c r="S36" s="432" t="s">
        <v>1588</v>
      </c>
      <c r="T36" s="432">
        <f>R16</f>
        <v>0</v>
      </c>
      <c r="U36" s="432" t="s">
        <v>1588</v>
      </c>
      <c r="V36" s="432">
        <f>R17</f>
        <v>0</v>
      </c>
      <c r="W36" s="432" t="s">
        <v>1587</v>
      </c>
      <c r="X36" s="432">
        <f>SUM(R36+T36+V36)</f>
        <v>1472684000</v>
      </c>
      <c r="Y36" s="475"/>
      <c r="Z36" s="427"/>
      <c r="AA36" s="470"/>
      <c r="AB36" s="470"/>
      <c r="AC36" s="470"/>
      <c r="AD36" s="470"/>
    </row>
    <row r="37" spans="1:32" s="10" customFormat="1" ht="15.95" customHeight="1" x14ac:dyDescent="0.25">
      <c r="A37" s="210"/>
      <c r="B37" s="164" t="s">
        <v>869</v>
      </c>
      <c r="C37" s="29" t="str">
        <f>CONCATENATE(TEXT((R40),"$#,###,##0")," + ",TEXT((T40),"$#,###,##0")," + ",TEXT((V40),"$#,###,##0")," +",TEXT((X40),"$#,###,##0")," + ",TEXT((Z40),"$#,###,##0")," + ",TEXT((AB40),"$#,###,##0"))</f>
        <v>$5,128,602,000 + $3,085,839,000 + $77,578,000 +$7,248,000 + $274,350,000 + $2,304,000</v>
      </c>
      <c r="N37" s="470"/>
      <c r="O37" s="470"/>
      <c r="P37" s="476"/>
      <c r="Q37" s="427"/>
      <c r="R37" s="432">
        <f>R24*$P$36</f>
        <v>759848000</v>
      </c>
      <c r="S37" s="432" t="s">
        <v>1588</v>
      </c>
      <c r="T37" s="432">
        <f>R25*$P$36</f>
        <v>550069000</v>
      </c>
      <c r="U37" s="432" t="s">
        <v>1588</v>
      </c>
      <c r="V37" s="432">
        <f>R26*$P$36</f>
        <v>3841000</v>
      </c>
      <c r="W37" s="432" t="s">
        <v>1588</v>
      </c>
      <c r="X37" s="432">
        <f>R28*$P$36</f>
        <v>2064000</v>
      </c>
      <c r="Y37" s="432" t="s">
        <v>1588</v>
      </c>
      <c r="Z37" s="432">
        <f>R31*$P$36</f>
        <v>59943000</v>
      </c>
      <c r="AA37" s="477" t="s">
        <v>1587</v>
      </c>
      <c r="AB37" s="477">
        <f>SUM(R37+T37+V37+X37+Z37)</f>
        <v>1375765000</v>
      </c>
      <c r="AC37" s="470"/>
      <c r="AD37" s="470"/>
    </row>
    <row r="38" spans="1:32" s="10" customFormat="1" ht="9.9499999999999993" customHeight="1" x14ac:dyDescent="0.25">
      <c r="N38" s="470"/>
      <c r="O38" s="470"/>
      <c r="P38" s="427"/>
      <c r="Q38" s="427"/>
      <c r="R38" s="427"/>
      <c r="S38" s="427"/>
      <c r="T38" s="427"/>
      <c r="U38" s="427"/>
      <c r="V38" s="427"/>
      <c r="W38" s="427"/>
      <c r="X38" s="427"/>
      <c r="Y38" s="427"/>
      <c r="Z38" s="478"/>
      <c r="AA38" s="470"/>
      <c r="AB38" s="470"/>
      <c r="AC38" s="470"/>
      <c r="AD38" s="470"/>
    </row>
    <row r="39" spans="1:32" s="10" customFormat="1" ht="15.95" customHeight="1" x14ac:dyDescent="0.25">
      <c r="C39" s="10" t="s">
        <v>58</v>
      </c>
      <c r="D39" s="71" t="s">
        <v>1036</v>
      </c>
      <c r="N39" s="470"/>
      <c r="O39" s="470"/>
      <c r="P39" s="427"/>
      <c r="Q39" s="427"/>
      <c r="R39" s="432">
        <f>T15*$P$36</f>
        <v>9365477000</v>
      </c>
      <c r="S39" s="432" t="s">
        <v>1588</v>
      </c>
      <c r="T39" s="432">
        <f>T16*$P$36</f>
        <v>93755000</v>
      </c>
      <c r="U39" s="432" t="s">
        <v>1504</v>
      </c>
      <c r="V39" s="432">
        <f>T17*$P$36</f>
        <v>4778000</v>
      </c>
      <c r="W39" s="432" t="s">
        <v>1587</v>
      </c>
      <c r="X39" s="432">
        <f>R39+V39+T39</f>
        <v>9464010000</v>
      </c>
      <c r="Y39" s="475"/>
      <c r="Z39" s="427"/>
      <c r="AA39" s="479"/>
      <c r="AB39" s="479"/>
      <c r="AC39" s="470"/>
      <c r="AD39" s="479"/>
      <c r="AF39" s="51"/>
    </row>
    <row r="40" spans="1:32" s="10" customFormat="1" ht="15.95" customHeight="1" x14ac:dyDescent="0.25">
      <c r="D40" s="71" t="s">
        <v>1037</v>
      </c>
      <c r="N40" s="470"/>
      <c r="O40" s="470"/>
      <c r="P40" s="427"/>
      <c r="Q40" s="427"/>
      <c r="R40" s="432">
        <f>T24*$P$36</f>
        <v>5128602000</v>
      </c>
      <c r="S40" s="432" t="s">
        <v>1588</v>
      </c>
      <c r="T40" s="432">
        <f>T25*$P$36</f>
        <v>3085839000</v>
      </c>
      <c r="U40" s="432" t="s">
        <v>1588</v>
      </c>
      <c r="V40" s="432">
        <f>T26*$P$36</f>
        <v>77578000</v>
      </c>
      <c r="W40" s="432" t="s">
        <v>1504</v>
      </c>
      <c r="X40" s="432">
        <f>T28*$P$36</f>
        <v>7248000</v>
      </c>
      <c r="Y40" s="432" t="s">
        <v>1588</v>
      </c>
      <c r="Z40" s="432">
        <f>T31*$P$36</f>
        <v>274350000</v>
      </c>
      <c r="AA40" s="477" t="s">
        <v>1588</v>
      </c>
      <c r="AB40" s="477">
        <f>T30*$P$36</f>
        <v>2304000</v>
      </c>
      <c r="AC40" s="477" t="s">
        <v>1587</v>
      </c>
      <c r="AD40" s="477">
        <f>SUM(R40+T40+V40+X40+Z40+AB40)</f>
        <v>8575921000</v>
      </c>
    </row>
    <row r="41" spans="1:32" s="10" customFormat="1" ht="15.95" customHeight="1" x14ac:dyDescent="0.25">
      <c r="D41" s="10" t="s">
        <v>1038</v>
      </c>
      <c r="N41" s="470"/>
      <c r="O41" s="470"/>
      <c r="P41" s="427"/>
      <c r="Q41" s="427"/>
      <c r="R41" s="427"/>
      <c r="S41" s="427"/>
      <c r="T41" s="427"/>
      <c r="U41" s="427"/>
      <c r="V41" s="427"/>
      <c r="W41" s="427"/>
      <c r="X41" s="427"/>
      <c r="Y41" s="427"/>
      <c r="Z41" s="427"/>
      <c r="AA41" s="470"/>
      <c r="AB41" s="470"/>
      <c r="AC41" s="470"/>
      <c r="AD41" s="470"/>
    </row>
    <row r="42" spans="1:32" s="10" customFormat="1" ht="15.95" customHeight="1" x14ac:dyDescent="0.25">
      <c r="D42" s="10" t="s">
        <v>1040</v>
      </c>
      <c r="N42" s="470"/>
      <c r="O42" s="470"/>
      <c r="P42" s="427"/>
      <c r="Q42" s="427"/>
      <c r="R42" s="427"/>
      <c r="S42" s="427"/>
      <c r="T42" s="427"/>
      <c r="U42" s="427"/>
      <c r="V42" s="427"/>
      <c r="W42" s="427"/>
      <c r="X42" s="427"/>
      <c r="Y42" s="427"/>
      <c r="Z42" s="427"/>
      <c r="AA42" s="470"/>
      <c r="AB42" s="470"/>
      <c r="AC42" s="470"/>
      <c r="AD42" s="470"/>
    </row>
    <row r="43" spans="1:32" s="10" customFormat="1" ht="15.95" customHeight="1" x14ac:dyDescent="0.25">
      <c r="D43" s="10" t="s">
        <v>1039</v>
      </c>
      <c r="N43" s="470"/>
      <c r="O43" s="470"/>
      <c r="P43" s="427"/>
      <c r="Q43" s="427"/>
      <c r="R43" s="427"/>
      <c r="S43" s="427"/>
      <c r="T43" s="427"/>
      <c r="U43" s="427"/>
      <c r="V43" s="427"/>
      <c r="W43" s="427"/>
      <c r="X43" s="427"/>
      <c r="Y43" s="427"/>
      <c r="Z43" s="427"/>
      <c r="AA43" s="470"/>
      <c r="AB43" s="470"/>
      <c r="AC43" s="470"/>
      <c r="AD43" s="470"/>
    </row>
    <row r="44" spans="1:32" s="10" customFormat="1" ht="15.95" customHeight="1" x14ac:dyDescent="0.25">
      <c r="N44" s="470"/>
      <c r="O44" s="470"/>
      <c r="P44" s="427"/>
      <c r="Q44" s="427"/>
      <c r="R44" s="427"/>
      <c r="S44" s="427"/>
      <c r="T44" s="427"/>
      <c r="U44" s="427"/>
      <c r="V44" s="427"/>
      <c r="W44" s="427"/>
      <c r="X44" s="427"/>
      <c r="Y44" s="427"/>
      <c r="Z44" s="427"/>
      <c r="AA44" s="470"/>
      <c r="AB44" s="470"/>
      <c r="AC44" s="470"/>
      <c r="AD44" s="470"/>
    </row>
    <row r="45" spans="1:32" s="10" customFormat="1" ht="15.95" customHeight="1" x14ac:dyDescent="0.25">
      <c r="N45" s="470"/>
      <c r="O45" s="470"/>
      <c r="P45" s="427"/>
      <c r="Q45" s="427"/>
      <c r="R45" s="427"/>
      <c r="S45" s="427"/>
      <c r="T45" s="427"/>
      <c r="U45" s="427"/>
      <c r="V45" s="427"/>
      <c r="W45" s="427"/>
      <c r="X45" s="427"/>
      <c r="Y45" s="427"/>
      <c r="Z45" s="427"/>
      <c r="AA45" s="470"/>
      <c r="AB45" s="470"/>
      <c r="AC45" s="470"/>
      <c r="AD45" s="470"/>
    </row>
    <row r="46" spans="1:32" s="10" customFormat="1" ht="15.95" customHeight="1" x14ac:dyDescent="0.25">
      <c r="N46" s="470"/>
      <c r="O46" s="470"/>
      <c r="P46" s="427"/>
      <c r="Q46" s="427"/>
      <c r="R46" s="427"/>
      <c r="S46" s="427"/>
      <c r="T46" s="427"/>
      <c r="U46" s="427"/>
      <c r="V46" s="427"/>
      <c r="W46" s="427"/>
      <c r="X46" s="427"/>
      <c r="Y46" s="427"/>
      <c r="Z46" s="427"/>
      <c r="AA46" s="470"/>
      <c r="AB46" s="470"/>
      <c r="AC46" s="470"/>
      <c r="AD46" s="470"/>
    </row>
    <row r="47" spans="1:32" s="10" customFormat="1" ht="15.95" customHeight="1" x14ac:dyDescent="0.25">
      <c r="D47" s="11"/>
      <c r="N47" s="470"/>
      <c r="O47" s="470"/>
      <c r="P47" s="427"/>
      <c r="Q47" s="427"/>
      <c r="R47" s="427"/>
      <c r="S47" s="427"/>
      <c r="T47" s="427"/>
      <c r="U47" s="427"/>
      <c r="V47" s="427"/>
      <c r="W47" s="427"/>
      <c r="X47" s="427"/>
      <c r="Y47" s="427"/>
      <c r="Z47" s="427"/>
      <c r="AA47" s="470"/>
      <c r="AB47" s="470"/>
      <c r="AC47" s="470"/>
      <c r="AD47" s="470"/>
    </row>
    <row r="48" spans="1:32" s="10" customFormat="1" ht="15.95" customHeight="1" x14ac:dyDescent="0.25">
      <c r="D48" s="11"/>
      <c r="N48" s="470"/>
      <c r="O48" s="470"/>
      <c r="P48" s="427"/>
      <c r="Q48" s="427"/>
      <c r="R48" s="427"/>
      <c r="S48" s="427"/>
      <c r="T48" s="427"/>
      <c r="U48" s="427"/>
      <c r="V48" s="427"/>
      <c r="W48" s="427"/>
      <c r="X48" s="427"/>
      <c r="Y48" s="427"/>
      <c r="Z48" s="427"/>
      <c r="AA48" s="470"/>
      <c r="AB48" s="470"/>
      <c r="AC48" s="470"/>
      <c r="AD48" s="470"/>
    </row>
    <row r="49" spans="4:30" s="10" customFormat="1" ht="15.95" customHeight="1" x14ac:dyDescent="0.25">
      <c r="D49" s="11"/>
      <c r="N49" s="470"/>
      <c r="O49" s="470"/>
      <c r="P49" s="427"/>
      <c r="Q49" s="427"/>
      <c r="R49" s="427"/>
      <c r="S49" s="427"/>
      <c r="T49" s="427"/>
      <c r="U49" s="427"/>
      <c r="V49" s="427"/>
      <c r="W49" s="427"/>
      <c r="X49" s="427"/>
      <c r="Y49" s="427"/>
      <c r="Z49" s="427"/>
      <c r="AA49" s="470"/>
      <c r="AB49" s="470"/>
      <c r="AC49" s="470"/>
      <c r="AD49" s="470"/>
    </row>
    <row r="50" spans="4:30" s="10" customFormat="1" ht="15.95" customHeight="1" x14ac:dyDescent="0.25">
      <c r="D50" s="11"/>
      <c r="N50" s="470"/>
      <c r="O50" s="470"/>
      <c r="P50" s="427"/>
      <c r="Q50" s="427"/>
      <c r="R50" s="427"/>
      <c r="S50" s="427"/>
      <c r="T50" s="427"/>
      <c r="U50" s="427"/>
      <c r="V50" s="427"/>
      <c r="W50" s="427"/>
      <c r="X50" s="427"/>
      <c r="Y50" s="427"/>
      <c r="Z50" s="427"/>
      <c r="AA50" s="470"/>
      <c r="AB50" s="470"/>
      <c r="AC50" s="470"/>
      <c r="AD50" s="470"/>
    </row>
    <row r="51" spans="4:30" s="10" customFormat="1" ht="15.95" customHeight="1" x14ac:dyDescent="0.25">
      <c r="D51" s="11"/>
      <c r="N51" s="470"/>
      <c r="O51" s="470"/>
      <c r="P51" s="427"/>
      <c r="Q51" s="427"/>
      <c r="R51" s="427"/>
      <c r="S51" s="427"/>
      <c r="T51" s="427"/>
      <c r="U51" s="427"/>
      <c r="V51" s="427"/>
      <c r="W51" s="427"/>
      <c r="X51" s="427"/>
      <c r="Y51" s="427"/>
      <c r="Z51" s="427"/>
      <c r="AA51" s="470"/>
      <c r="AB51" s="470"/>
      <c r="AC51" s="470"/>
      <c r="AD51" s="470"/>
    </row>
    <row r="52" spans="4:30" s="10" customFormat="1" ht="15.95" customHeight="1" x14ac:dyDescent="0.25">
      <c r="D52" s="11"/>
      <c r="N52" s="470"/>
      <c r="O52" s="470"/>
      <c r="P52" s="427"/>
      <c r="Q52" s="427"/>
      <c r="R52" s="427"/>
      <c r="S52" s="427"/>
      <c r="T52" s="427"/>
      <c r="U52" s="427"/>
      <c r="V52" s="427"/>
      <c r="W52" s="427"/>
      <c r="X52" s="427"/>
      <c r="Y52" s="427"/>
      <c r="Z52" s="427"/>
      <c r="AA52" s="470"/>
      <c r="AB52" s="470"/>
      <c r="AC52" s="470"/>
      <c r="AD52" s="470"/>
    </row>
    <row r="53" spans="4:30" s="10" customFormat="1" ht="15.95" customHeight="1" x14ac:dyDescent="0.25">
      <c r="D53" s="11"/>
      <c r="N53" s="470"/>
      <c r="O53" s="470"/>
      <c r="P53" s="427"/>
      <c r="Q53" s="427"/>
      <c r="R53" s="427"/>
      <c r="S53" s="427"/>
      <c r="T53" s="427"/>
      <c r="U53" s="427"/>
      <c r="V53" s="427"/>
      <c r="W53" s="427"/>
      <c r="X53" s="427"/>
      <c r="Y53" s="427"/>
      <c r="Z53" s="427"/>
      <c r="AA53" s="470"/>
      <c r="AB53" s="470"/>
      <c r="AC53" s="470"/>
      <c r="AD53" s="470"/>
    </row>
    <row r="54" spans="4:30" s="10" customFormat="1" ht="15.95" customHeight="1" x14ac:dyDescent="0.25">
      <c r="D54" s="11"/>
      <c r="N54" s="470"/>
      <c r="O54" s="470"/>
      <c r="P54" s="427"/>
      <c r="Q54" s="427"/>
      <c r="R54" s="427"/>
      <c r="S54" s="427"/>
      <c r="T54" s="427"/>
      <c r="U54" s="427"/>
      <c r="V54" s="427"/>
      <c r="W54" s="427"/>
      <c r="X54" s="427"/>
      <c r="Y54" s="427"/>
      <c r="Z54" s="427"/>
      <c r="AA54" s="470"/>
      <c r="AB54" s="470"/>
      <c r="AC54" s="470"/>
      <c r="AD54" s="470"/>
    </row>
    <row r="55" spans="4:30" s="10" customFormat="1" ht="15.95" customHeight="1" x14ac:dyDescent="0.25">
      <c r="D55" s="11"/>
      <c r="N55" s="470"/>
      <c r="O55" s="470"/>
      <c r="P55" s="427"/>
      <c r="Q55" s="427"/>
      <c r="R55" s="427"/>
      <c r="S55" s="427"/>
      <c r="T55" s="427"/>
      <c r="U55" s="427"/>
      <c r="V55" s="427"/>
      <c r="W55" s="427"/>
      <c r="X55" s="427"/>
      <c r="Y55" s="427"/>
      <c r="Z55" s="427"/>
      <c r="AA55" s="470"/>
      <c r="AB55" s="470"/>
      <c r="AC55" s="470"/>
      <c r="AD55" s="470"/>
    </row>
    <row r="56" spans="4:30" s="10" customFormat="1" ht="15.95" customHeight="1" x14ac:dyDescent="0.25">
      <c r="D56" s="11"/>
      <c r="N56" s="470"/>
      <c r="O56" s="470"/>
      <c r="P56" s="427"/>
      <c r="Q56" s="427"/>
      <c r="R56" s="427"/>
      <c r="S56" s="427"/>
      <c r="T56" s="427"/>
      <c r="U56" s="427"/>
      <c r="V56" s="427"/>
      <c r="W56" s="427"/>
      <c r="X56" s="427"/>
      <c r="Y56" s="427"/>
      <c r="Z56" s="427"/>
      <c r="AA56" s="470"/>
      <c r="AB56" s="470"/>
      <c r="AC56" s="470"/>
      <c r="AD56" s="470"/>
    </row>
    <row r="57" spans="4:30" s="10" customFormat="1" ht="15.95" customHeight="1" x14ac:dyDescent="0.25">
      <c r="D57" s="11"/>
      <c r="N57" s="470"/>
      <c r="O57" s="470"/>
      <c r="P57" s="427"/>
      <c r="Q57" s="427"/>
      <c r="R57" s="427"/>
      <c r="S57" s="427"/>
      <c r="T57" s="427"/>
      <c r="U57" s="427"/>
      <c r="V57" s="427"/>
      <c r="W57" s="427"/>
      <c r="X57" s="427"/>
      <c r="Y57" s="427"/>
      <c r="Z57" s="427"/>
      <c r="AA57" s="470"/>
      <c r="AB57" s="470"/>
      <c r="AC57" s="470"/>
      <c r="AD57" s="470"/>
    </row>
    <row r="58" spans="4:30" s="10" customFormat="1" ht="5.0999999999999996" customHeight="1" x14ac:dyDescent="0.25">
      <c r="N58" s="470"/>
      <c r="O58" s="470"/>
      <c r="P58" s="427"/>
      <c r="Q58" s="427"/>
      <c r="R58" s="427"/>
      <c r="S58" s="427"/>
      <c r="T58" s="427"/>
      <c r="U58" s="427"/>
      <c r="V58" s="427"/>
      <c r="W58" s="427"/>
      <c r="X58" s="427"/>
      <c r="Y58" s="427"/>
      <c r="Z58" s="427"/>
      <c r="AA58" s="470"/>
      <c r="AB58" s="470"/>
      <c r="AC58" s="470"/>
      <c r="AD58" s="470"/>
    </row>
    <row r="59" spans="4:30" ht="15.95" customHeight="1" x14ac:dyDescent="0.2"/>
    <row r="60" spans="4:30" ht="15.95" customHeight="1" x14ac:dyDescent="0.2"/>
    <row r="61" spans="4:30" ht="15.95" customHeight="1" x14ac:dyDescent="0.2"/>
    <row r="62" spans="4:30" ht="15.95" customHeight="1" x14ac:dyDescent="0.2"/>
    <row r="63" spans="4:30" ht="15.95" customHeight="1" x14ac:dyDescent="0.2"/>
    <row r="64" spans="4:30" ht="15.95" customHeight="1" x14ac:dyDescent="0.2"/>
    <row r="65" ht="15.95" customHeight="1" x14ac:dyDescent="0.2"/>
  </sheetData>
  <customSheetViews>
    <customSheetView guid="{B2DDA8C4-3089-41F7-BA6E-A0E09596A2CA}" scale="80" showPageBreaks="1" fitToPage="1" printArea="1">
      <selection activeCell="B2" sqref="B2"/>
      <pageMargins left="0.75" right="1" top="0.85" bottom="0.8" header="0.5" footer="0.35"/>
      <printOptions horizontalCentered="1"/>
      <pageSetup scale="90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 topLeftCell="A21">
      <selection activeCell="G23" sqref="G23"/>
      <pageMargins left="0.75" right="1" top="0.85" bottom="0.8" header="0.5" footer="0.35"/>
      <printOptions horizontalCentered="1"/>
      <pageSetup scale="89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2" sqref="B2"/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2" sqref="B2"/>
      <pageMargins left="0.75" right="1" top="0.85" bottom="0.8" header="0.5" footer="0.35"/>
      <printOptions horizontalCentered="1"/>
      <pageSetup scale="88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2" sqref="B2"/>
      <pageMargins left="0.75" right="1" top="0.85" bottom="0.8" header="0.5" footer="0.35"/>
      <printOptions horizontalCentered="1"/>
      <pageSetup scale="90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0.7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drawing r:id="rId7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73"/>
  <sheetViews>
    <sheetView zoomScale="70" zoomScaleNormal="70" workbookViewId="0"/>
  </sheetViews>
  <sheetFormatPr defaultRowHeight="12.75" x14ac:dyDescent="0.2"/>
  <cols>
    <col min="1" max="1" width="1.7109375" style="119" customWidth="1"/>
    <col min="2" max="4" width="4.7109375" style="119" customWidth="1"/>
    <col min="5" max="6" width="9.140625" style="119"/>
    <col min="7" max="7" width="10.7109375" style="119" customWidth="1"/>
    <col min="8" max="9" width="9.140625" style="119"/>
    <col min="10" max="11" width="10.5703125" style="119" customWidth="1"/>
    <col min="12" max="12" width="9.140625" style="119"/>
    <col min="13" max="13" width="2.7109375" style="119" customWidth="1"/>
    <col min="14" max="14" width="9.140625" style="119"/>
    <col min="15" max="15" width="2.7109375" style="119" customWidth="1"/>
    <col min="16" max="16" width="9.140625" style="119"/>
    <col min="17" max="17" width="2.7109375" style="119" customWidth="1"/>
    <col min="18" max="18" width="9.140625" style="119"/>
    <col min="19" max="19" width="2.7109375" style="119" customWidth="1"/>
    <col min="20" max="20" width="9.140625" style="119"/>
    <col min="21" max="21" width="2.7109375" style="119" customWidth="1"/>
    <col min="22" max="22" width="9.140625" style="119"/>
    <col min="23" max="23" width="2.7109375" style="119" customWidth="1"/>
    <col min="24" max="16384" width="9.140625" style="119"/>
  </cols>
  <sheetData>
    <row r="1" spans="2:3" ht="28.5" customHeight="1" x14ac:dyDescent="0.2"/>
    <row r="2" spans="2:3" ht="15.95" customHeight="1" x14ac:dyDescent="0.25">
      <c r="B2" s="10" t="s">
        <v>1319</v>
      </c>
    </row>
    <row r="3" spans="2:3" s="10" customFormat="1" ht="15.95" customHeight="1" x14ac:dyDescent="0.25">
      <c r="B3" s="11" t="s">
        <v>1012</v>
      </c>
      <c r="C3" s="10" t="s">
        <v>692</v>
      </c>
    </row>
    <row r="4" spans="2:3" s="10" customFormat="1" ht="5.0999999999999996" customHeight="1" x14ac:dyDescent="0.25">
      <c r="B4" s="11"/>
    </row>
    <row r="5" spans="2:3" s="10" customFormat="1" ht="15.95" customHeight="1" x14ac:dyDescent="0.25">
      <c r="B5" s="10" t="s">
        <v>337</v>
      </c>
      <c r="C5" s="10" t="s">
        <v>315</v>
      </c>
    </row>
    <row r="6" spans="2:3" s="10" customFormat="1" ht="15.95" customHeight="1" x14ac:dyDescent="0.25">
      <c r="C6" s="10" t="s">
        <v>1305</v>
      </c>
    </row>
    <row r="7" spans="2:3" s="10" customFormat="1" ht="15.95" customHeight="1" x14ac:dyDescent="0.25">
      <c r="C7" s="10" t="s">
        <v>1306</v>
      </c>
    </row>
    <row r="8" spans="2:3" s="10" customFormat="1" ht="15.95" customHeight="1" x14ac:dyDescent="0.25">
      <c r="C8" s="10" t="s">
        <v>1307</v>
      </c>
    </row>
    <row r="9" spans="2:3" s="10" customFormat="1" ht="15.95" customHeight="1" x14ac:dyDescent="0.25">
      <c r="C9" s="10" t="s">
        <v>1308</v>
      </c>
    </row>
    <row r="10" spans="2:3" s="10" customFormat="1" ht="5.0999999999999996" customHeight="1" x14ac:dyDescent="0.25"/>
    <row r="11" spans="2:3" s="10" customFormat="1" ht="15.95" customHeight="1" x14ac:dyDescent="0.25">
      <c r="C11" s="10" t="s">
        <v>1042</v>
      </c>
    </row>
    <row r="12" spans="2:3" s="10" customFormat="1" ht="15.95" customHeight="1" x14ac:dyDescent="0.25">
      <c r="C12" s="10" t="s">
        <v>1309</v>
      </c>
    </row>
    <row r="13" spans="2:3" s="10" customFormat="1" ht="15.95" customHeight="1" x14ac:dyDescent="0.25">
      <c r="C13" s="10" t="s">
        <v>1392</v>
      </c>
    </row>
    <row r="14" spans="2:3" s="10" customFormat="1" ht="9.9499999999999993" customHeight="1" x14ac:dyDescent="0.25"/>
    <row r="15" spans="2:3" s="10" customFormat="1" ht="15.95" customHeight="1" x14ac:dyDescent="0.25">
      <c r="B15" s="11" t="s">
        <v>1014</v>
      </c>
      <c r="C15" s="10" t="s">
        <v>693</v>
      </c>
    </row>
    <row r="16" spans="2:3" s="10" customFormat="1" ht="15.95" customHeight="1" x14ac:dyDescent="0.25">
      <c r="C16" s="10" t="s">
        <v>1270</v>
      </c>
    </row>
    <row r="17" spans="3:3" s="10" customFormat="1" ht="15.95" customHeight="1" x14ac:dyDescent="0.25">
      <c r="C17" s="10" t="s">
        <v>694</v>
      </c>
    </row>
    <row r="18" spans="3:3" s="10" customFormat="1" ht="15.95" customHeight="1" x14ac:dyDescent="0.25">
      <c r="C18" s="10" t="s">
        <v>1310</v>
      </c>
    </row>
    <row r="19" spans="3:3" s="10" customFormat="1" ht="15.95" customHeight="1" x14ac:dyDescent="0.25">
      <c r="C19" s="10" t="s">
        <v>1311</v>
      </c>
    </row>
    <row r="20" spans="3:3" s="10" customFormat="1" ht="15.95" customHeight="1" x14ac:dyDescent="0.25">
      <c r="C20" s="10" t="s">
        <v>1043</v>
      </c>
    </row>
    <row r="21" spans="3:3" s="10" customFormat="1" ht="15.95" customHeight="1" x14ac:dyDescent="0.25">
      <c r="C21" s="120" t="s">
        <v>1044</v>
      </c>
    </row>
    <row r="22" spans="3:3" s="10" customFormat="1" ht="15.95" customHeight="1" x14ac:dyDescent="0.25">
      <c r="C22" s="120" t="s">
        <v>1312</v>
      </c>
    </row>
    <row r="23" spans="3:3" s="10" customFormat="1" ht="15.95" customHeight="1" x14ac:dyDescent="0.25">
      <c r="C23" s="120" t="s">
        <v>1313</v>
      </c>
    </row>
    <row r="24" spans="3:3" s="10" customFormat="1" ht="15.95" customHeight="1" x14ac:dyDescent="0.25">
      <c r="C24" s="11" t="s">
        <v>1045</v>
      </c>
    </row>
    <row r="25" spans="3:3" s="10" customFormat="1" ht="15.95" customHeight="1" x14ac:dyDescent="0.25">
      <c r="C25" s="11" t="s">
        <v>1271</v>
      </c>
    </row>
    <row r="26" spans="3:3" s="10" customFormat="1" ht="15.95" customHeight="1" x14ac:dyDescent="0.25">
      <c r="C26" s="11"/>
    </row>
    <row r="27" spans="3:3" s="10" customFormat="1" ht="15.95" customHeight="1" x14ac:dyDescent="0.25">
      <c r="C27" s="11"/>
    </row>
    <row r="28" spans="3:3" s="10" customFormat="1" ht="5.0999999999999996" customHeight="1" x14ac:dyDescent="0.25"/>
    <row r="29" spans="3:3" s="10" customFormat="1" ht="15.95" customHeight="1" x14ac:dyDescent="0.25"/>
    <row r="30" spans="3:3" s="10" customFormat="1" ht="15.95" customHeight="1" x14ac:dyDescent="0.25"/>
    <row r="31" spans="3:3" s="10" customFormat="1" ht="15.95" customHeight="1" x14ac:dyDescent="0.25"/>
    <row r="32" spans="3:3" s="10" customFormat="1" ht="15.95" customHeight="1" x14ac:dyDescent="0.25"/>
    <row r="33" s="10" customFormat="1" ht="15.95" customHeight="1" x14ac:dyDescent="0.25"/>
    <row r="34" s="10" customFormat="1" ht="15.95" customHeight="1" x14ac:dyDescent="0.25"/>
    <row r="35" s="10" customFormat="1" ht="15.95" customHeight="1" x14ac:dyDescent="0.25"/>
    <row r="36" s="10" customFormat="1" ht="15.95" customHeight="1" x14ac:dyDescent="0.25"/>
    <row r="37" s="10" customFormat="1" ht="15.95" customHeight="1" x14ac:dyDescent="0.25"/>
    <row r="38" s="10" customFormat="1" ht="15.95" customHeight="1" x14ac:dyDescent="0.25"/>
    <row r="39" s="10" customFormat="1" ht="15.95" customHeight="1" x14ac:dyDescent="0.25"/>
    <row r="40" s="10" customFormat="1" ht="15" customHeight="1" x14ac:dyDescent="0.25"/>
    <row r="41" s="10" customFormat="1" ht="15" customHeight="1" x14ac:dyDescent="0.25"/>
    <row r="42" s="10" customFormat="1" ht="15" customHeight="1" x14ac:dyDescent="0.25"/>
    <row r="43" s="10" customFormat="1" ht="15" customHeight="1" x14ac:dyDescent="0.25"/>
    <row r="44" s="10" customFormat="1" ht="15" customHeight="1" x14ac:dyDescent="0.25"/>
    <row r="45" s="10" customFormat="1" ht="15" customHeight="1" x14ac:dyDescent="0.25"/>
    <row r="46" s="10" customFormat="1" ht="15" customHeight="1" x14ac:dyDescent="0.25"/>
    <row r="47" s="10" customFormat="1" ht="15" customHeight="1" x14ac:dyDescent="0.25"/>
    <row r="48" s="10" customFormat="1" ht="15" customHeight="1" x14ac:dyDescent="0.25"/>
    <row r="49" s="10" customFormat="1" ht="15" customHeight="1" x14ac:dyDescent="0.25"/>
    <row r="50" s="10" customFormat="1" ht="15" customHeight="1" x14ac:dyDescent="0.25"/>
    <row r="51" s="10" customFormat="1" ht="15" customHeight="1" x14ac:dyDescent="0.25"/>
    <row r="52" s="10" customFormat="1" ht="15" customHeight="1" x14ac:dyDescent="0.25"/>
    <row r="53" s="10" customFormat="1" ht="15" customHeight="1" x14ac:dyDescent="0.25"/>
    <row r="54" s="10" customFormat="1" ht="15" customHeight="1" x14ac:dyDescent="0.25"/>
    <row r="55" s="10" customFormat="1" ht="15" customHeight="1" x14ac:dyDescent="0.25"/>
    <row r="56" s="10" customFormat="1" ht="15" customHeight="1" x14ac:dyDescent="0.25"/>
    <row r="57" s="10" customFormat="1" ht="15" customHeight="1" x14ac:dyDescent="0.25"/>
    <row r="58" s="10" customFormat="1" ht="15" customHeight="1" x14ac:dyDescent="0.25"/>
    <row r="59" s="10" customFormat="1" ht="15" customHeight="1" x14ac:dyDescent="0.25"/>
    <row r="60" s="10" customFormat="1" ht="15" customHeight="1" x14ac:dyDescent="0.25"/>
    <row r="61" s="10" customFormat="1" ht="15" customHeight="1" x14ac:dyDescent="0.25"/>
    <row r="62" s="10" customFormat="1" ht="15" customHeight="1" x14ac:dyDescent="0.25"/>
    <row r="63" s="10" customFormat="1" ht="15" customHeight="1" x14ac:dyDescent="0.25"/>
    <row r="64" s="10" customFormat="1" ht="15" customHeight="1" x14ac:dyDescent="0.25"/>
    <row r="65" s="10" customFormat="1" ht="15" customHeight="1" x14ac:dyDescent="0.25"/>
    <row r="66" s="10" customFormat="1" ht="15" customHeight="1" x14ac:dyDescent="0.25"/>
    <row r="67" s="10" customFormat="1" ht="15" customHeight="1" x14ac:dyDescent="0.25"/>
    <row r="68" s="10" customFormat="1" ht="15" customHeight="1" x14ac:dyDescent="0.25"/>
    <row r="69" s="10" customFormat="1" ht="15" customHeight="1" x14ac:dyDescent="0.25"/>
    <row r="70" s="10" customFormat="1" ht="15" customHeight="1" x14ac:dyDescent="0.25"/>
    <row r="71" s="10" customFormat="1" ht="15" customHeight="1" x14ac:dyDescent="0.25"/>
    <row r="72" s="10" customFormat="1" ht="15" customHeight="1" x14ac:dyDescent="0.25"/>
    <row r="73" s="10" customFormat="1" ht="15" customHeight="1" x14ac:dyDescent="0.25"/>
  </sheetData>
  <customSheetViews>
    <customSheetView guid="{B2DDA8C4-3089-41F7-BA6E-A0E09596A2CA}" scale="80" showPageBreaks="1" fitToPage="1" printArea="1">
      <selection activeCell="B2" sqref="B2"/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C18" sqref="C18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B2" sqref="B2"/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B2" sqref="B2"/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6"/>
  <sheetViews>
    <sheetView zoomScale="70" zoomScaleNormal="70" workbookViewId="0"/>
  </sheetViews>
  <sheetFormatPr defaultColWidth="2.7109375" defaultRowHeight="12.75" x14ac:dyDescent="0.2"/>
  <cols>
    <col min="1" max="1" width="1.7109375" style="119" customWidth="1"/>
    <col min="2" max="5" width="4.7109375" style="119" customWidth="1"/>
    <col min="6" max="6" width="13.140625" style="119" customWidth="1"/>
    <col min="7" max="8" width="11.7109375" style="119" customWidth="1"/>
    <col min="9" max="9" width="10.7109375" style="119" customWidth="1"/>
    <col min="10" max="10" width="11.85546875" style="119" customWidth="1"/>
    <col min="11" max="11" width="13.7109375" style="119" customWidth="1"/>
    <col min="12" max="12" width="2.7109375" style="119" customWidth="1"/>
    <col min="13" max="13" width="9.140625" style="119" customWidth="1"/>
    <col min="14" max="14" width="2.7109375" style="119" customWidth="1"/>
    <col min="15" max="15" width="9.140625" style="119" customWidth="1"/>
    <col min="16" max="16" width="2.7109375" style="119" customWidth="1"/>
    <col min="17" max="17" width="9.140625" style="119" customWidth="1"/>
    <col min="18" max="18" width="2.7109375" style="119" customWidth="1"/>
    <col min="19" max="19" width="9.140625" style="119" customWidth="1"/>
    <col min="20" max="20" width="2.7109375" style="119" customWidth="1"/>
    <col min="21" max="21" width="9.140625" style="119" customWidth="1"/>
    <col min="22" max="22" width="2.7109375" style="119" customWidth="1"/>
    <col min="23" max="255" width="9.140625" style="119" customWidth="1"/>
    <col min="256" max="16384" width="2.7109375" style="119"/>
  </cols>
  <sheetData>
    <row r="1" spans="2:3" ht="28.5" customHeight="1" x14ac:dyDescent="0.2"/>
    <row r="2" spans="2:3" ht="15.95" customHeight="1" x14ac:dyDescent="0.25">
      <c r="B2" s="10" t="s">
        <v>1213</v>
      </c>
      <c r="C2" s="10"/>
    </row>
    <row r="3" spans="2:3" ht="15.95" customHeight="1" x14ac:dyDescent="0.25">
      <c r="B3" s="11" t="s">
        <v>758</v>
      </c>
      <c r="C3" s="11" t="s">
        <v>267</v>
      </c>
    </row>
    <row r="4" spans="2:3" ht="15.95" customHeight="1" x14ac:dyDescent="0.25">
      <c r="B4" s="10"/>
      <c r="C4" s="85" t="s">
        <v>268</v>
      </c>
    </row>
    <row r="5" spans="2:3" ht="15.95" customHeight="1" x14ac:dyDescent="0.25">
      <c r="B5" s="10"/>
      <c r="C5" s="85" t="s">
        <v>269</v>
      </c>
    </row>
    <row r="6" spans="2:3" ht="15.95" customHeight="1" x14ac:dyDescent="0.25">
      <c r="B6" s="10"/>
      <c r="C6" s="85" t="s">
        <v>1512</v>
      </c>
    </row>
    <row r="7" spans="2:3" ht="15.95" customHeight="1" x14ac:dyDescent="0.25">
      <c r="B7" s="10"/>
      <c r="C7" s="85" t="s">
        <v>1513</v>
      </c>
    </row>
    <row r="8" spans="2:3" ht="15.95" customHeight="1" x14ac:dyDescent="0.25">
      <c r="B8" s="11"/>
      <c r="C8" s="11" t="s">
        <v>1514</v>
      </c>
    </row>
    <row r="9" spans="2:3" ht="15.95" customHeight="1" x14ac:dyDescent="0.25">
      <c r="B9" s="10"/>
      <c r="C9" s="11" t="s">
        <v>1515</v>
      </c>
    </row>
    <row r="10" spans="2:3" ht="15.95" customHeight="1" x14ac:dyDescent="0.25">
      <c r="B10" s="10"/>
      <c r="C10" s="11" t="s">
        <v>1516</v>
      </c>
    </row>
    <row r="11" spans="2:3" ht="15.95" customHeight="1" x14ac:dyDescent="0.25">
      <c r="B11" s="11"/>
      <c r="C11" s="120" t="s">
        <v>1517</v>
      </c>
    </row>
    <row r="12" spans="2:3" ht="15.95" customHeight="1" x14ac:dyDescent="0.25">
      <c r="B12" s="10"/>
      <c r="C12" s="11" t="s">
        <v>1518</v>
      </c>
    </row>
    <row r="13" spans="2:3" ht="15.95" customHeight="1" x14ac:dyDescent="0.25">
      <c r="B13" s="10"/>
      <c r="C13" s="11" t="s">
        <v>1519</v>
      </c>
    </row>
    <row r="14" spans="2:3" ht="15.95" customHeight="1" x14ac:dyDescent="0.25">
      <c r="B14" s="10"/>
      <c r="C14" s="11" t="s">
        <v>1520</v>
      </c>
    </row>
    <row r="15" spans="2:3" ht="15.95" customHeight="1" x14ac:dyDescent="0.25">
      <c r="B15" s="10"/>
      <c r="C15" s="11" t="s">
        <v>1566</v>
      </c>
    </row>
    <row r="16" spans="2:3" ht="15.95" customHeight="1" x14ac:dyDescent="0.25">
      <c r="B16" s="11"/>
      <c r="C16" s="11" t="s">
        <v>1567</v>
      </c>
    </row>
    <row r="17" spans="2:6" ht="15.95" customHeight="1" x14ac:dyDescent="0.25">
      <c r="B17" s="11"/>
      <c r="C17" s="11" t="s">
        <v>1568</v>
      </c>
    </row>
    <row r="18" spans="2:6" ht="15.95" customHeight="1" x14ac:dyDescent="0.25">
      <c r="B18" s="11"/>
      <c r="C18" s="11" t="s">
        <v>1569</v>
      </c>
    </row>
    <row r="19" spans="2:6" ht="15.95" customHeight="1" x14ac:dyDescent="0.25">
      <c r="B19" s="11"/>
      <c r="C19" s="11" t="s">
        <v>1570</v>
      </c>
    </row>
    <row r="20" spans="2:6" ht="15.95" customHeight="1" x14ac:dyDescent="0.25">
      <c r="B20" s="11"/>
      <c r="C20" s="11" t="s">
        <v>1571</v>
      </c>
    </row>
    <row r="21" spans="2:6" ht="15.95" customHeight="1" x14ac:dyDescent="0.25">
      <c r="B21" s="11"/>
      <c r="C21" s="11" t="s">
        <v>1572</v>
      </c>
    </row>
    <row r="22" spans="2:6" ht="15.95" customHeight="1" x14ac:dyDescent="0.25">
      <c r="B22" s="11"/>
      <c r="C22" s="11" t="s">
        <v>1573</v>
      </c>
    </row>
    <row r="23" spans="2:6" ht="15.95" customHeight="1" x14ac:dyDescent="0.25">
      <c r="B23" s="11"/>
      <c r="C23" s="11" t="s">
        <v>1574</v>
      </c>
    </row>
    <row r="24" spans="2:6" ht="15.95" customHeight="1" x14ac:dyDescent="0.25">
      <c r="B24" s="11"/>
      <c r="C24" s="11" t="s">
        <v>1575</v>
      </c>
    </row>
    <row r="25" spans="2:6" ht="15.95" customHeight="1" x14ac:dyDescent="0.25">
      <c r="B25" s="11"/>
      <c r="C25" s="11" t="s">
        <v>1576</v>
      </c>
      <c r="D25" s="11"/>
      <c r="E25" s="11"/>
      <c r="F25" s="11"/>
    </row>
    <row r="26" spans="2:6" ht="15.95" customHeight="1" x14ac:dyDescent="0.25">
      <c r="B26" s="11"/>
      <c r="C26" s="11" t="s">
        <v>1577</v>
      </c>
      <c r="D26" s="11"/>
      <c r="E26" s="11"/>
      <c r="F26" s="11"/>
    </row>
    <row r="27" spans="2:6" ht="15.95" customHeight="1" x14ac:dyDescent="0.25">
      <c r="B27" s="11"/>
      <c r="C27" s="11" t="s">
        <v>1578</v>
      </c>
      <c r="D27" s="11"/>
      <c r="E27" s="11"/>
      <c r="F27" s="11"/>
    </row>
    <row r="28" spans="2:6" ht="15.95" customHeight="1" x14ac:dyDescent="0.25">
      <c r="B28" s="11"/>
      <c r="C28" s="11" t="s">
        <v>1579</v>
      </c>
      <c r="D28" s="11"/>
      <c r="E28" s="11"/>
      <c r="F28" s="11"/>
    </row>
    <row r="29" spans="2:6" ht="9.9499999999999993" customHeight="1" x14ac:dyDescent="0.25">
      <c r="B29" s="11"/>
      <c r="C29" s="11"/>
      <c r="D29" s="11"/>
      <c r="E29" s="11"/>
      <c r="F29" s="11"/>
    </row>
    <row r="30" spans="2:6" ht="15.95" customHeight="1" x14ac:dyDescent="0.25">
      <c r="B30" s="11" t="s">
        <v>759</v>
      </c>
      <c r="C30" s="11" t="s">
        <v>1580</v>
      </c>
      <c r="D30" s="11"/>
      <c r="E30" s="11"/>
      <c r="F30" s="11"/>
    </row>
    <row r="31" spans="2:6" ht="15.95" customHeight="1" x14ac:dyDescent="0.25">
      <c r="B31" s="11"/>
      <c r="C31" s="11" t="s">
        <v>1581</v>
      </c>
      <c r="D31" s="11"/>
      <c r="E31" s="11"/>
      <c r="F31" s="11"/>
    </row>
    <row r="32" spans="2:6" ht="15.95" customHeight="1" x14ac:dyDescent="0.25">
      <c r="B32" s="11"/>
      <c r="C32" s="11" t="s">
        <v>1582</v>
      </c>
      <c r="D32" s="11"/>
      <c r="E32" s="11"/>
      <c r="F32" s="11"/>
    </row>
    <row r="33" spans="2:6" ht="15.95" customHeight="1" x14ac:dyDescent="0.25">
      <c r="B33" s="11"/>
      <c r="C33" s="11" t="s">
        <v>1583</v>
      </c>
      <c r="D33" s="11"/>
      <c r="E33" s="11"/>
      <c r="F33" s="11"/>
    </row>
    <row r="34" spans="2:6" ht="15.95" customHeight="1" x14ac:dyDescent="0.25">
      <c r="B34" s="11"/>
      <c r="C34" s="11" t="s">
        <v>1584</v>
      </c>
      <c r="D34" s="11"/>
      <c r="E34" s="11"/>
      <c r="F34" s="11"/>
    </row>
    <row r="35" spans="2:6" ht="15.95" customHeight="1" x14ac:dyDescent="0.25">
      <c r="B35" s="11"/>
      <c r="C35" s="11" t="s">
        <v>1585</v>
      </c>
      <c r="D35" s="11"/>
      <c r="E35" s="11"/>
      <c r="F35" s="11"/>
    </row>
    <row r="36" spans="2:6" ht="15.95" customHeight="1" x14ac:dyDescent="0.25">
      <c r="B36" s="11"/>
      <c r="C36" s="11" t="s">
        <v>285</v>
      </c>
      <c r="D36" s="11"/>
      <c r="E36" s="11"/>
      <c r="F36" s="11"/>
    </row>
    <row r="37" spans="2:6" ht="15.95" customHeight="1" x14ac:dyDescent="0.25">
      <c r="B37" s="11"/>
      <c r="C37" s="11" t="s">
        <v>286</v>
      </c>
      <c r="D37" s="11"/>
      <c r="E37" s="11"/>
      <c r="F37" s="11"/>
    </row>
    <row r="38" spans="2:6" ht="15.95" customHeight="1" x14ac:dyDescent="0.25">
      <c r="B38" s="11"/>
      <c r="C38" s="11" t="s">
        <v>287</v>
      </c>
      <c r="D38" s="11"/>
      <c r="E38" s="11"/>
      <c r="F38" s="11"/>
    </row>
    <row r="39" spans="2:6" ht="15.95" customHeight="1" x14ac:dyDescent="0.25">
      <c r="B39" s="11"/>
      <c r="C39" s="11" t="s">
        <v>288</v>
      </c>
      <c r="D39" s="11"/>
      <c r="E39" s="11"/>
      <c r="F39" s="11"/>
    </row>
    <row r="40" spans="2:6" s="10" customFormat="1" ht="15.95" customHeight="1" x14ac:dyDescent="0.25">
      <c r="B40" s="11"/>
      <c r="C40" s="11" t="s">
        <v>289</v>
      </c>
      <c r="D40" s="11"/>
      <c r="E40" s="11"/>
      <c r="F40" s="11"/>
    </row>
    <row r="41" spans="2:6" s="10" customFormat="1" ht="15.95" customHeight="1" x14ac:dyDescent="0.25">
      <c r="B41" s="11"/>
      <c r="C41" s="11" t="s">
        <v>290</v>
      </c>
      <c r="D41" s="11"/>
      <c r="E41" s="11"/>
      <c r="F41" s="11"/>
    </row>
    <row r="42" spans="2:6" s="10" customFormat="1" ht="15.95" customHeight="1" x14ac:dyDescent="0.25">
      <c r="B42" s="11"/>
      <c r="C42" s="11" t="s">
        <v>291</v>
      </c>
      <c r="D42" s="11"/>
      <c r="E42" s="11"/>
      <c r="F42" s="11"/>
    </row>
    <row r="43" spans="2:6" s="10" customFormat="1" ht="15.95" customHeight="1" x14ac:dyDescent="0.25">
      <c r="B43" s="11"/>
      <c r="C43" s="11" t="s">
        <v>292</v>
      </c>
      <c r="D43" s="11"/>
      <c r="E43" s="11"/>
      <c r="F43" s="11"/>
    </row>
    <row r="44" spans="2:6" s="10" customFormat="1" ht="15.95" customHeight="1" x14ac:dyDescent="0.25">
      <c r="B44" s="11"/>
      <c r="C44" s="11" t="s">
        <v>293</v>
      </c>
      <c r="D44" s="11"/>
      <c r="E44" s="11"/>
      <c r="F44" s="11"/>
    </row>
    <row r="45" spans="2:6" s="10" customFormat="1" ht="15.95" customHeight="1" x14ac:dyDescent="0.25">
      <c r="B45" s="11"/>
      <c r="C45" s="11" t="s">
        <v>294</v>
      </c>
      <c r="D45" s="11"/>
      <c r="E45" s="11"/>
      <c r="F45" s="11"/>
    </row>
    <row r="46" spans="2:6" s="10" customFormat="1" ht="5.0999999999999996" customHeight="1" x14ac:dyDescent="0.25">
      <c r="B46" s="11"/>
      <c r="C46" s="11"/>
      <c r="D46" s="11"/>
      <c r="E46" s="11"/>
      <c r="F46" s="11"/>
    </row>
    <row r="47" spans="2:6" s="10" customFormat="1" ht="15.95" customHeight="1" x14ac:dyDescent="0.25">
      <c r="B47" s="11"/>
      <c r="C47" s="11"/>
      <c r="D47" s="11"/>
      <c r="E47" s="11"/>
      <c r="F47" s="11"/>
    </row>
    <row r="48" spans="2:6" s="10" customFormat="1" ht="15.95" customHeight="1" x14ac:dyDescent="0.25">
      <c r="B48" s="11"/>
      <c r="C48" s="11"/>
      <c r="D48" s="11"/>
      <c r="E48" s="11"/>
      <c r="F48" s="11"/>
    </row>
    <row r="49" spans="2:6" s="10" customFormat="1" ht="15.95" customHeight="1" x14ac:dyDescent="0.25">
      <c r="B49" s="11"/>
      <c r="C49" s="11"/>
      <c r="D49" s="11"/>
      <c r="E49" s="11"/>
      <c r="F49" s="11"/>
    </row>
    <row r="50" spans="2:6" s="10" customFormat="1" ht="15.95" customHeight="1" x14ac:dyDescent="0.25">
      <c r="B50" s="11"/>
      <c r="C50" s="11"/>
      <c r="D50" s="11"/>
      <c r="E50" s="11"/>
      <c r="F50" s="11"/>
    </row>
    <row r="51" spans="2:6" s="10" customFormat="1" ht="15.95" customHeight="1" x14ac:dyDescent="0.25">
      <c r="B51" s="11"/>
      <c r="C51" s="11"/>
      <c r="D51" s="11"/>
      <c r="E51" s="11"/>
      <c r="F51" s="11"/>
    </row>
    <row r="52" spans="2:6" s="10" customFormat="1" ht="15.95" customHeight="1" x14ac:dyDescent="0.25">
      <c r="B52" s="11"/>
      <c r="C52" s="11"/>
      <c r="D52" s="11"/>
      <c r="E52" s="11"/>
      <c r="F52" s="11"/>
    </row>
    <row r="53" spans="2:6" s="10" customFormat="1" ht="15.95" customHeight="1" x14ac:dyDescent="0.25">
      <c r="B53" s="11"/>
      <c r="C53" s="11"/>
      <c r="D53" s="11"/>
      <c r="E53" s="11"/>
      <c r="F53" s="11"/>
    </row>
    <row r="54" spans="2:6" s="10" customFormat="1" ht="15.95" customHeight="1" x14ac:dyDescent="0.25">
      <c r="B54" s="11"/>
      <c r="C54" s="11"/>
      <c r="D54" s="11"/>
      <c r="E54" s="11"/>
      <c r="F54" s="11"/>
    </row>
    <row r="55" spans="2:6" s="10" customFormat="1" ht="15.95" customHeight="1" x14ac:dyDescent="0.25">
      <c r="B55" s="11"/>
      <c r="C55" s="11"/>
      <c r="D55" s="11"/>
      <c r="E55" s="11"/>
      <c r="F55" s="11"/>
    </row>
    <row r="56" spans="2:6" ht="15.95" customHeight="1" x14ac:dyDescent="0.25">
      <c r="B56" s="11"/>
      <c r="C56" s="11"/>
      <c r="D56" s="11"/>
      <c r="E56" s="11"/>
      <c r="F56" s="11"/>
    </row>
    <row r="57" spans="2:6" ht="15.95" customHeight="1" x14ac:dyDescent="0.25">
      <c r="B57" s="11"/>
      <c r="C57" s="11"/>
      <c r="D57" s="11"/>
      <c r="E57" s="11"/>
      <c r="F57" s="11"/>
    </row>
    <row r="58" spans="2:6" ht="15.95" customHeight="1" x14ac:dyDescent="0.25">
      <c r="B58" s="11"/>
      <c r="C58" s="11"/>
      <c r="D58" s="11"/>
      <c r="E58" s="11"/>
      <c r="F58" s="11"/>
    </row>
    <row r="59" spans="2:6" ht="15.95" customHeight="1" x14ac:dyDescent="0.25">
      <c r="B59" s="11"/>
      <c r="C59" s="11"/>
      <c r="D59" s="11"/>
      <c r="E59" s="11"/>
      <c r="F59" s="11"/>
    </row>
    <row r="60" spans="2:6" ht="15.95" customHeight="1" x14ac:dyDescent="0.25">
      <c r="B60" s="11"/>
      <c r="C60" s="11"/>
      <c r="D60" s="11"/>
      <c r="E60" s="11"/>
      <c r="F60" s="11"/>
    </row>
    <row r="61" spans="2:6" ht="15.95" customHeight="1" x14ac:dyDescent="0.25">
      <c r="B61" s="11"/>
      <c r="C61" s="11"/>
      <c r="D61" s="11"/>
      <c r="E61" s="11"/>
      <c r="F61" s="11"/>
    </row>
    <row r="62" spans="2:6" ht="15.95" customHeight="1" x14ac:dyDescent="0.25">
      <c r="B62" s="11"/>
      <c r="C62" s="11"/>
      <c r="D62" s="11"/>
      <c r="E62" s="11"/>
      <c r="F62" s="11"/>
    </row>
    <row r="63" spans="2:6" ht="15.95" customHeight="1" x14ac:dyDescent="0.25">
      <c r="B63" s="11"/>
      <c r="C63" s="11"/>
      <c r="D63" s="11"/>
      <c r="E63" s="11"/>
      <c r="F63" s="11"/>
    </row>
    <row r="64" spans="2:6" ht="15.95" customHeight="1" x14ac:dyDescent="0.25">
      <c r="B64" s="11"/>
      <c r="C64" s="11"/>
      <c r="D64" s="11"/>
      <c r="E64" s="11"/>
      <c r="F64" s="11"/>
    </row>
    <row r="65" spans="2:6" ht="15.95" customHeight="1" x14ac:dyDescent="0.25">
      <c r="B65" s="11"/>
      <c r="C65" s="11"/>
      <c r="D65" s="11"/>
      <c r="E65" s="11"/>
      <c r="F65" s="11"/>
    </row>
    <row r="66" spans="2:6" ht="15.95" customHeight="1" x14ac:dyDescent="0.25">
      <c r="B66" s="11"/>
      <c r="C66" s="11"/>
      <c r="D66" s="11"/>
      <c r="E66" s="11"/>
      <c r="F66" s="11"/>
    </row>
    <row r="67" spans="2:6" ht="15.95" customHeight="1" x14ac:dyDescent="0.25">
      <c r="B67" s="11"/>
      <c r="C67" s="11"/>
      <c r="D67" s="11"/>
      <c r="E67" s="11"/>
      <c r="F67" s="11"/>
    </row>
    <row r="68" spans="2:6" ht="15.95" customHeight="1" x14ac:dyDescent="0.25">
      <c r="B68" s="11"/>
      <c r="C68" s="11"/>
      <c r="D68" s="11"/>
      <c r="E68" s="11"/>
      <c r="F68" s="11"/>
    </row>
    <row r="69" spans="2:6" ht="15.95" customHeight="1" x14ac:dyDescent="0.25">
      <c r="B69" s="11"/>
      <c r="C69" s="11"/>
      <c r="D69" s="11"/>
      <c r="E69" s="11"/>
      <c r="F69" s="11"/>
    </row>
    <row r="70" spans="2:6" ht="15.95" customHeight="1" x14ac:dyDescent="0.25">
      <c r="C70" s="11"/>
    </row>
    <row r="71" spans="2:6" ht="15.95" customHeight="1" x14ac:dyDescent="0.25">
      <c r="C71" s="11"/>
    </row>
    <row r="72" spans="2:6" ht="15.95" customHeight="1" x14ac:dyDescent="0.25">
      <c r="C72" s="11"/>
    </row>
    <row r="73" spans="2:6" ht="15.95" customHeight="1" x14ac:dyDescent="0.25">
      <c r="C73" s="11"/>
    </row>
    <row r="74" spans="2:6" ht="15.95" customHeight="1" x14ac:dyDescent="0.25">
      <c r="C74" s="11"/>
    </row>
    <row r="75" spans="2:6" ht="15.75" x14ac:dyDescent="0.25">
      <c r="C75" s="11"/>
    </row>
    <row r="76" spans="2:6" ht="15.75" x14ac:dyDescent="0.25">
      <c r="C76" s="11"/>
    </row>
    <row r="77" spans="2:6" ht="15.75" x14ac:dyDescent="0.25">
      <c r="C77" s="11"/>
    </row>
    <row r="78" spans="2:6" ht="15.75" x14ac:dyDescent="0.25">
      <c r="C78" s="11"/>
    </row>
    <row r="79" spans="2:6" ht="15.75" x14ac:dyDescent="0.25">
      <c r="C79" s="11"/>
    </row>
    <row r="80" spans="2:6" ht="15.75" x14ac:dyDescent="0.25">
      <c r="C80" s="11"/>
    </row>
    <row r="81" spans="3:3" ht="15.75" x14ac:dyDescent="0.25">
      <c r="C81" s="11"/>
    </row>
    <row r="82" spans="3:3" ht="15.75" x14ac:dyDescent="0.25">
      <c r="C82" s="11"/>
    </row>
    <row r="83" spans="3:3" ht="15.75" x14ac:dyDescent="0.25">
      <c r="C83" s="11"/>
    </row>
    <row r="84" spans="3:3" ht="15.75" x14ac:dyDescent="0.25">
      <c r="C84" s="11"/>
    </row>
    <row r="85" spans="3:3" ht="15.75" x14ac:dyDescent="0.25">
      <c r="C85" s="11"/>
    </row>
    <row r="86" spans="3:3" ht="15.75" x14ac:dyDescent="0.25">
      <c r="C86" s="11"/>
    </row>
  </sheetData>
  <customSheetViews>
    <customSheetView guid="{B2DDA8C4-3089-41F7-BA6E-A0E09596A2CA}" scale="80" showPageBreaks="1" fitToPage="1" printArea="1" topLeftCell="A31">
      <selection activeCell="B2" sqref="B2"/>
      <pageMargins left="0.75" right="1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B2" sqref="B2"/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B2" sqref="B2"/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 topLeftCell="A31">
      <selection activeCell="B2" sqref="B2"/>
      <pageMargins left="0.75" right="1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 topLeftCell="A31">
      <selection activeCell="B2" sqref="B2"/>
      <pageMargins left="0.75" right="1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2"/>
  <sheetViews>
    <sheetView zoomScale="70" zoomScaleNormal="70" workbookViewId="0"/>
  </sheetViews>
  <sheetFormatPr defaultRowHeight="12.75" x14ac:dyDescent="0.2"/>
  <cols>
    <col min="1" max="1" width="1.7109375" style="119" customWidth="1"/>
    <col min="2" max="5" width="4.7109375" style="119" customWidth="1"/>
    <col min="6" max="6" width="10.7109375" style="119" customWidth="1"/>
    <col min="7" max="8" width="11.7109375" style="119" customWidth="1"/>
    <col min="9" max="9" width="10.7109375" style="119" customWidth="1"/>
    <col min="10" max="10" width="11" style="119" customWidth="1"/>
    <col min="11" max="11" width="17.140625" style="119" customWidth="1"/>
    <col min="12" max="12" width="2.7109375" style="119" customWidth="1"/>
    <col min="13" max="13" width="9.140625" style="119"/>
    <col min="14" max="14" width="2.7109375" style="119" customWidth="1"/>
    <col min="15" max="15" width="9.140625" style="119"/>
    <col min="16" max="16" width="2.7109375" style="119" customWidth="1"/>
    <col min="17" max="17" width="9.140625" style="119"/>
    <col min="18" max="18" width="2.7109375" style="119" customWidth="1"/>
    <col min="19" max="19" width="9.140625" style="119"/>
    <col min="20" max="20" width="2.7109375" style="119" customWidth="1"/>
    <col min="21" max="16384" width="9.140625" style="119"/>
  </cols>
  <sheetData>
    <row r="1" spans="2:20" ht="28.5" customHeight="1" x14ac:dyDescent="0.2"/>
    <row r="2" spans="2:20" ht="15.95" customHeight="1" x14ac:dyDescent="0.25">
      <c r="B2" s="10" t="s">
        <v>1046</v>
      </c>
      <c r="C2" s="10"/>
    </row>
    <row r="3" spans="2:20" s="10" customFormat="1" ht="15.95" customHeight="1" x14ac:dyDescent="0.25">
      <c r="B3" s="11"/>
      <c r="C3" s="11" t="s">
        <v>295</v>
      </c>
      <c r="D3" s="11"/>
      <c r="E3" s="11"/>
      <c r="F3" s="11"/>
    </row>
    <row r="4" spans="2:20" s="10" customFormat="1" ht="15.95" customHeight="1" x14ac:dyDescent="0.25">
      <c r="B4" s="11"/>
      <c r="C4" s="11" t="s">
        <v>296</v>
      </c>
      <c r="D4" s="11"/>
      <c r="E4" s="11"/>
      <c r="F4" s="11"/>
    </row>
    <row r="5" spans="2:20" s="10" customFormat="1" ht="15.95" customHeight="1" x14ac:dyDescent="0.25">
      <c r="B5" s="11"/>
      <c r="C5" s="11" t="s">
        <v>1536</v>
      </c>
      <c r="D5" s="11"/>
      <c r="E5" s="11"/>
      <c r="F5" s="11"/>
    </row>
    <row r="6" spans="2:20" s="10" customFormat="1" ht="15.95" customHeight="1" x14ac:dyDescent="0.25">
      <c r="B6" s="11"/>
      <c r="C6" s="11" t="s">
        <v>1537</v>
      </c>
      <c r="D6" s="11"/>
      <c r="E6" s="11"/>
      <c r="F6" s="11"/>
    </row>
    <row r="7" spans="2:20" s="10" customFormat="1" ht="9.9499999999999993" customHeight="1" x14ac:dyDescent="0.25">
      <c r="B7" s="11"/>
      <c r="C7" s="11"/>
      <c r="D7" s="11"/>
      <c r="E7" s="11"/>
      <c r="F7" s="11"/>
    </row>
    <row r="8" spans="2:20" s="10" customFormat="1" ht="15.95" customHeight="1" x14ac:dyDescent="0.25">
      <c r="B8" s="11" t="s">
        <v>760</v>
      </c>
      <c r="C8" s="11" t="s">
        <v>297</v>
      </c>
      <c r="D8" s="11"/>
      <c r="E8" s="11"/>
      <c r="F8" s="11"/>
      <c r="T8" s="10" t="s">
        <v>337</v>
      </c>
    </row>
    <row r="9" spans="2:20" s="10" customFormat="1" ht="15.95" customHeight="1" x14ac:dyDescent="0.25">
      <c r="B9" s="11"/>
      <c r="C9" s="11" t="s">
        <v>206</v>
      </c>
      <c r="D9" s="11"/>
      <c r="E9" s="11"/>
      <c r="F9" s="11"/>
    </row>
    <row r="10" spans="2:20" s="10" customFormat="1" ht="15.95" customHeight="1" x14ac:dyDescent="0.25">
      <c r="B10" s="11"/>
      <c r="C10" s="11" t="s">
        <v>298</v>
      </c>
      <c r="D10" s="11"/>
      <c r="E10" s="11"/>
      <c r="F10" s="11"/>
    </row>
    <row r="11" spans="2:20" s="10" customFormat="1" ht="15.95" customHeight="1" x14ac:dyDescent="0.25">
      <c r="B11" s="11"/>
      <c r="C11" s="11" t="s">
        <v>1395</v>
      </c>
      <c r="D11" s="11"/>
      <c r="E11" s="11"/>
      <c r="F11" s="11"/>
    </row>
    <row r="12" spans="2:20" s="10" customFormat="1" ht="15.95" customHeight="1" x14ac:dyDescent="0.25">
      <c r="B12" s="11"/>
      <c r="C12" s="11" t="s">
        <v>1396</v>
      </c>
      <c r="D12" s="11"/>
      <c r="E12" s="11"/>
      <c r="F12" s="11"/>
    </row>
    <row r="13" spans="2:20" ht="15.95" customHeight="1" x14ac:dyDescent="0.25">
      <c r="B13" s="11"/>
      <c r="C13" s="11" t="s">
        <v>1397</v>
      </c>
      <c r="D13" s="11"/>
      <c r="E13" s="11"/>
      <c r="F13" s="11"/>
      <c r="P13" s="119" t="s">
        <v>337</v>
      </c>
    </row>
    <row r="14" spans="2:20" ht="15.95" customHeight="1" x14ac:dyDescent="0.25">
      <c r="B14" s="11"/>
      <c r="C14" s="11" t="s">
        <v>1398</v>
      </c>
      <c r="D14" s="11"/>
      <c r="E14" s="11"/>
      <c r="F14" s="11"/>
    </row>
    <row r="15" spans="2:20" ht="15.95" customHeight="1" x14ac:dyDescent="0.25">
      <c r="B15" s="11"/>
      <c r="C15" s="11" t="s">
        <v>1399</v>
      </c>
      <c r="D15" s="11"/>
      <c r="E15" s="11"/>
      <c r="F15" s="11"/>
    </row>
    <row r="16" spans="2:20" ht="15.95" customHeight="1" x14ac:dyDescent="0.25">
      <c r="B16" s="11"/>
      <c r="C16" s="11" t="s">
        <v>1400</v>
      </c>
      <c r="D16" s="11"/>
      <c r="E16" s="11"/>
      <c r="F16" s="11"/>
    </row>
    <row r="17" spans="2:6" ht="15.95" customHeight="1" x14ac:dyDescent="0.25">
      <c r="B17" s="11"/>
      <c r="C17" s="11" t="s">
        <v>1401</v>
      </c>
      <c r="D17" s="11"/>
      <c r="E17" s="11"/>
      <c r="F17" s="11"/>
    </row>
    <row r="18" spans="2:6" ht="15.95" customHeight="1" x14ac:dyDescent="0.25">
      <c r="B18" s="11"/>
      <c r="C18" s="11" t="s">
        <v>1402</v>
      </c>
      <c r="D18" s="11"/>
      <c r="E18" s="11"/>
      <c r="F18" s="11"/>
    </row>
    <row r="19" spans="2:6" ht="15.95" customHeight="1" x14ac:dyDescent="0.25">
      <c r="B19" s="11"/>
      <c r="C19" s="11" t="s">
        <v>342</v>
      </c>
      <c r="D19" s="11"/>
      <c r="E19" s="11"/>
      <c r="F19" s="11"/>
    </row>
    <row r="20" spans="2:6" ht="15.95" customHeight="1" x14ac:dyDescent="0.25">
      <c r="B20" s="11"/>
      <c r="C20" s="11" t="s">
        <v>343</v>
      </c>
      <c r="D20" s="11"/>
      <c r="E20" s="11"/>
      <c r="F20" s="11"/>
    </row>
    <row r="21" spans="2:6" ht="15.95" customHeight="1" x14ac:dyDescent="0.25">
      <c r="B21" s="11"/>
      <c r="C21" s="11" t="s">
        <v>344</v>
      </c>
      <c r="D21" s="11"/>
      <c r="E21" s="11"/>
      <c r="F21" s="11"/>
    </row>
    <row r="22" spans="2:6" ht="15.95" customHeight="1" x14ac:dyDescent="0.25">
      <c r="B22" s="11"/>
      <c r="C22" s="11" t="s">
        <v>207</v>
      </c>
      <c r="D22" s="11"/>
      <c r="E22" s="11"/>
      <c r="F22" s="11"/>
    </row>
    <row r="23" spans="2:6" ht="15.95" customHeight="1" x14ac:dyDescent="0.25">
      <c r="B23" s="11"/>
      <c r="C23" s="11" t="s">
        <v>345</v>
      </c>
      <c r="D23" s="11"/>
      <c r="E23" s="11"/>
      <c r="F23" s="11"/>
    </row>
    <row r="24" spans="2:6" ht="15.95" customHeight="1" x14ac:dyDescent="0.25">
      <c r="B24" s="11"/>
      <c r="C24" s="11" t="s">
        <v>346</v>
      </c>
      <c r="D24" s="11"/>
      <c r="E24" s="11"/>
      <c r="F24" s="11"/>
    </row>
    <row r="25" spans="2:6" ht="15.95" customHeight="1" x14ac:dyDescent="0.25">
      <c r="B25" s="11"/>
      <c r="C25" s="11" t="s">
        <v>571</v>
      </c>
      <c r="D25" s="11"/>
      <c r="E25" s="11"/>
      <c r="F25" s="11"/>
    </row>
    <row r="26" spans="2:6" ht="15.95" customHeight="1" x14ac:dyDescent="0.25">
      <c r="B26" s="11"/>
      <c r="C26" s="11" t="s">
        <v>347</v>
      </c>
      <c r="D26" s="11"/>
      <c r="E26" s="11"/>
      <c r="F26" s="11"/>
    </row>
    <row r="27" spans="2:6" ht="15.95" customHeight="1" x14ac:dyDescent="0.25">
      <c r="C27" s="11" t="s">
        <v>348</v>
      </c>
    </row>
    <row r="28" spans="2:6" ht="15.95" customHeight="1" x14ac:dyDescent="0.25">
      <c r="C28" s="11" t="s">
        <v>349</v>
      </c>
    </row>
    <row r="29" spans="2:6" ht="15.95" customHeight="1" x14ac:dyDescent="0.25">
      <c r="C29" s="11" t="s">
        <v>1535</v>
      </c>
    </row>
    <row r="30" spans="2:6" ht="15.95" customHeight="1" x14ac:dyDescent="0.25">
      <c r="C30" s="11" t="s">
        <v>350</v>
      </c>
    </row>
    <row r="31" spans="2:6" ht="15.95" customHeight="1" x14ac:dyDescent="0.25">
      <c r="C31" s="11" t="s">
        <v>351</v>
      </c>
    </row>
    <row r="32" spans="2:6" ht="5.0999999999999996" customHeight="1" x14ac:dyDescent="0.25">
      <c r="C32" s="11"/>
    </row>
    <row r="33" spans="3:3" ht="15.95" customHeight="1" x14ac:dyDescent="0.25">
      <c r="C33" s="11"/>
    </row>
    <row r="34" spans="3:3" ht="15.95" customHeight="1" x14ac:dyDescent="0.25">
      <c r="C34" s="11"/>
    </row>
    <row r="35" spans="3:3" ht="15.95" customHeight="1" x14ac:dyDescent="0.25">
      <c r="C35" s="11"/>
    </row>
    <row r="36" spans="3:3" ht="15.95" customHeight="1" x14ac:dyDescent="0.25">
      <c r="C36" s="11"/>
    </row>
    <row r="37" spans="3:3" ht="15.95" customHeight="1" x14ac:dyDescent="0.25">
      <c r="C37" s="11"/>
    </row>
    <row r="38" spans="3:3" ht="15.95" customHeight="1" x14ac:dyDescent="0.25">
      <c r="C38" s="11"/>
    </row>
    <row r="39" spans="3:3" ht="15.95" customHeight="1" x14ac:dyDescent="0.25">
      <c r="C39" s="11"/>
    </row>
    <row r="40" spans="3:3" ht="15.95" customHeight="1" x14ac:dyDescent="0.25">
      <c r="C40" s="11"/>
    </row>
    <row r="41" spans="3:3" ht="15.95" customHeight="1" x14ac:dyDescent="0.25">
      <c r="C41" s="11"/>
    </row>
    <row r="42" spans="3:3" ht="15.95" customHeight="1" x14ac:dyDescent="0.25">
      <c r="C42" s="11"/>
    </row>
    <row r="43" spans="3:3" ht="15.95" customHeight="1" x14ac:dyDescent="0.25">
      <c r="C43" s="11"/>
    </row>
    <row r="44" spans="3:3" ht="15.95" customHeight="1" x14ac:dyDescent="0.2"/>
    <row r="45" spans="3:3" ht="15.95" customHeight="1" x14ac:dyDescent="0.2"/>
    <row r="46" spans="3:3" ht="15.95" customHeight="1" x14ac:dyDescent="0.2"/>
    <row r="47" spans="3:3" ht="15.95" customHeight="1" x14ac:dyDescent="0.2"/>
    <row r="48" spans="3:3" ht="15.95" customHeight="1" x14ac:dyDescent="0.2"/>
    <row r="49" ht="15.95" customHeight="1" x14ac:dyDescent="0.2"/>
    <row r="50" ht="15.95" customHeight="1" x14ac:dyDescent="0.2"/>
    <row r="51" ht="15.95" customHeight="1" x14ac:dyDescent="0.2"/>
    <row r="52" ht="15.95" customHeight="1" x14ac:dyDescent="0.2"/>
  </sheetData>
  <customSheetViews>
    <customSheetView guid="{B2DDA8C4-3089-41F7-BA6E-A0E09596A2CA}" scale="80" showPageBreaks="1" fitToPage="1" printArea="1">
      <selection activeCell="H7" sqref="H7"/>
      <pageMargins left="1" right="0.75" top="0.85" bottom="0.8" header="0.5" footer="0.35"/>
      <printOptions horizontalCentered="1"/>
      <pageSetup scale="93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H7" sqref="H7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H7" sqref="H7"/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80" showPageBreaks="1" fitToPage="1" printArea="1">
      <selection activeCell="H7" sqref="H7"/>
      <pageMargins left="1" right="0.75" top="0.85" bottom="0.8" header="0.5" footer="0.35"/>
      <printOptions horizontalCentered="1"/>
      <pageSetup scale="92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80" fitToPage="1" showRuler="0">
      <selection activeCell="H7" sqref="H7"/>
      <pageMargins left="1" right="0.75" top="0.85" bottom="0.8" header="0.5" footer="0.35"/>
      <printOptions horizontalCentered="1"/>
      <pageSetup scale="93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3"/>
  <sheetViews>
    <sheetView zoomScale="70" zoomScaleNormal="70" workbookViewId="0">
      <selection activeCell="M1" sqref="M1:U1048576"/>
    </sheetView>
  </sheetViews>
  <sheetFormatPr defaultRowHeight="15.75" x14ac:dyDescent="0.25"/>
  <cols>
    <col min="1" max="1" width="1.7109375" style="10" customWidth="1"/>
    <col min="2" max="2" width="4.7109375" style="10" customWidth="1"/>
    <col min="3" max="3" width="11.5703125" style="10" customWidth="1"/>
    <col min="4" max="4" width="11.7109375" style="10" customWidth="1"/>
    <col min="5" max="5" width="1.7109375" style="10" customWidth="1"/>
    <col min="6" max="6" width="4.7109375" style="10" customWidth="1"/>
    <col min="7" max="7" width="11.7109375" style="10" customWidth="1"/>
    <col min="8" max="9" width="3" style="10" customWidth="1"/>
    <col min="10" max="10" width="11.5703125" style="10" customWidth="1"/>
    <col min="11" max="11" width="27" style="10" customWidth="1"/>
    <col min="12" max="12" width="2.7109375" style="10" customWidth="1"/>
    <col min="13" max="13" width="8.7109375" style="402" hidden="1" customWidth="1"/>
    <col min="14" max="14" width="2.7109375" style="402" hidden="1" customWidth="1"/>
    <col min="15" max="15" width="8.7109375" style="402" hidden="1" customWidth="1"/>
    <col min="16" max="16" width="2.7109375" style="402" hidden="1" customWidth="1"/>
    <col min="17" max="17" width="8.7109375" style="402" hidden="1" customWidth="1"/>
    <col min="18" max="18" width="2.7109375" style="402" hidden="1" customWidth="1"/>
    <col min="19" max="19" width="8.7109375" style="402" hidden="1" customWidth="1"/>
    <col min="20" max="20" width="13.42578125" style="402" hidden="1" customWidth="1"/>
    <col min="21" max="21" width="12.5703125" style="402" hidden="1" customWidth="1"/>
    <col min="22" max="22" width="12.5703125" style="313" bestFit="1" customWidth="1"/>
    <col min="23" max="23" width="9.140625" style="29"/>
    <col min="24" max="16384" width="9.140625" style="10"/>
  </cols>
  <sheetData>
    <row r="1" spans="2:22" ht="28.5" customHeight="1" x14ac:dyDescent="0.25"/>
    <row r="2" spans="2:22" ht="15.95" customHeight="1" x14ac:dyDescent="0.25">
      <c r="B2" s="353" t="s">
        <v>1501</v>
      </c>
      <c r="C2" s="353"/>
      <c r="D2" s="353"/>
      <c r="E2" s="353"/>
      <c r="F2" s="353"/>
      <c r="G2" s="353"/>
      <c r="H2" s="353"/>
      <c r="I2" s="353"/>
      <c r="J2" s="353"/>
      <c r="K2" s="353"/>
    </row>
    <row r="3" spans="2:22" ht="15.95" customHeight="1" x14ac:dyDescent="0.25"/>
    <row r="4" spans="2:22" ht="15.95" customHeight="1" x14ac:dyDescent="0.25">
      <c r="B4" s="12" t="s">
        <v>1502</v>
      </c>
      <c r="V4" s="218"/>
    </row>
    <row r="5" spans="2:22" ht="15.95" customHeight="1" x14ac:dyDescent="0.25">
      <c r="B5" s="10" t="s">
        <v>1503</v>
      </c>
      <c r="D5" s="354" t="s">
        <v>1490</v>
      </c>
      <c r="E5" s="354"/>
      <c r="F5" s="14" t="s">
        <v>111</v>
      </c>
      <c r="G5" s="16" t="s">
        <v>1491</v>
      </c>
      <c r="H5" s="14" t="s">
        <v>1504</v>
      </c>
      <c r="I5" s="22" t="s">
        <v>1505</v>
      </c>
      <c r="J5" s="22"/>
      <c r="N5" s="412" t="s">
        <v>794</v>
      </c>
      <c r="T5" s="413" t="s">
        <v>1679</v>
      </c>
      <c r="V5" s="218"/>
    </row>
    <row r="6" spans="2:22" ht="15.95" customHeight="1" x14ac:dyDescent="0.25">
      <c r="D6" s="354" t="s">
        <v>1506</v>
      </c>
      <c r="E6" s="354"/>
      <c r="F6" s="14" t="s">
        <v>111</v>
      </c>
      <c r="G6" s="28">
        <f>M6</f>
        <v>42000</v>
      </c>
      <c r="H6" s="14" t="s">
        <v>1504</v>
      </c>
      <c r="I6" s="356">
        <f>O6</f>
        <v>56000</v>
      </c>
      <c r="J6" s="356"/>
      <c r="M6" s="410">
        <f>U6</f>
        <v>42000</v>
      </c>
      <c r="N6" s="410" t="s">
        <v>1588</v>
      </c>
      <c r="O6" s="410">
        <f>U7</f>
        <v>56000</v>
      </c>
      <c r="R6" s="410"/>
      <c r="S6" s="410"/>
      <c r="T6" s="405" t="s">
        <v>778</v>
      </c>
      <c r="U6" s="409">
        <v>42000</v>
      </c>
      <c r="V6" s="211"/>
    </row>
    <row r="7" spans="2:22" ht="15.95" customHeight="1" thickBot="1" x14ac:dyDescent="0.3">
      <c r="D7" s="354" t="s">
        <v>1230</v>
      </c>
      <c r="E7" s="354"/>
      <c r="F7" s="14" t="s">
        <v>111</v>
      </c>
      <c r="G7" s="282">
        <f>O7</f>
        <v>98000</v>
      </c>
      <c r="H7" s="14"/>
      <c r="I7" s="18"/>
      <c r="J7" s="15"/>
      <c r="M7" s="410" t="s">
        <v>746</v>
      </c>
      <c r="N7" s="410" t="s">
        <v>1587</v>
      </c>
      <c r="O7" s="410">
        <f>SUM(M6+O6)</f>
        <v>98000</v>
      </c>
      <c r="R7" s="410"/>
      <c r="S7" s="410"/>
      <c r="T7" s="405" t="s">
        <v>779</v>
      </c>
      <c r="U7" s="409">
        <v>56000</v>
      </c>
      <c r="V7" s="218"/>
    </row>
    <row r="8" spans="2:22" ht="9.9499999999999993" customHeight="1" thickTop="1" x14ac:dyDescent="0.25">
      <c r="F8" s="14"/>
      <c r="I8" s="18"/>
      <c r="J8" s="15"/>
      <c r="R8" s="403"/>
      <c r="S8" s="403"/>
      <c r="V8" s="315"/>
    </row>
    <row r="9" spans="2:22" ht="15.95" customHeight="1" x14ac:dyDescent="0.25">
      <c r="B9" s="10" t="s">
        <v>1508</v>
      </c>
      <c r="D9" s="355">
        <f>M9</f>
        <v>115000</v>
      </c>
      <c r="E9" s="355"/>
      <c r="F9" s="14" t="s">
        <v>111</v>
      </c>
      <c r="G9" s="16" t="s">
        <v>746</v>
      </c>
      <c r="H9" s="14" t="s">
        <v>1504</v>
      </c>
      <c r="I9" s="356">
        <f>Q9</f>
        <v>77000</v>
      </c>
      <c r="J9" s="356"/>
      <c r="M9" s="410">
        <f>U9</f>
        <v>115000</v>
      </c>
      <c r="N9" s="410" t="s">
        <v>1587</v>
      </c>
      <c r="O9" s="410" t="s">
        <v>746</v>
      </c>
      <c r="P9" s="410" t="s">
        <v>1588</v>
      </c>
      <c r="Q9" s="410">
        <f>U10</f>
        <v>77000</v>
      </c>
      <c r="R9" s="410"/>
      <c r="T9" s="405" t="s">
        <v>780</v>
      </c>
      <c r="U9" s="409">
        <v>115000</v>
      </c>
      <c r="V9" s="218"/>
    </row>
    <row r="10" spans="2:22" ht="15.95" customHeight="1" thickBot="1" x14ac:dyDescent="0.3">
      <c r="D10" s="354" t="s">
        <v>1509</v>
      </c>
      <c r="E10" s="354"/>
      <c r="F10" s="14" t="s">
        <v>111</v>
      </c>
      <c r="G10" s="282">
        <f>O10</f>
        <v>38000</v>
      </c>
      <c r="M10" s="410" t="s">
        <v>746</v>
      </c>
      <c r="N10" s="410" t="s">
        <v>1587</v>
      </c>
      <c r="O10" s="410">
        <f>SUM(M9-Q9)</f>
        <v>38000</v>
      </c>
      <c r="R10" s="410"/>
      <c r="T10" s="405" t="s">
        <v>779</v>
      </c>
      <c r="U10" s="409">
        <v>77000</v>
      </c>
      <c r="V10" s="211"/>
    </row>
    <row r="11" spans="2:22" ht="9.9499999999999993" customHeight="1" thickTop="1" x14ac:dyDescent="0.25">
      <c r="F11" s="14"/>
      <c r="G11" s="21"/>
      <c r="V11" s="218"/>
    </row>
    <row r="12" spans="2:22" ht="15.95" customHeight="1" x14ac:dyDescent="0.25">
      <c r="B12" s="10" t="s">
        <v>1511</v>
      </c>
      <c r="D12" s="355">
        <f>M12</f>
        <v>54000</v>
      </c>
      <c r="E12" s="355"/>
      <c r="F12" s="14" t="s">
        <v>111</v>
      </c>
      <c r="G12" s="28">
        <f>O12</f>
        <v>18500</v>
      </c>
      <c r="H12" s="14" t="s">
        <v>1504</v>
      </c>
      <c r="I12" s="22" t="s">
        <v>746</v>
      </c>
      <c r="M12" s="410">
        <f>U12</f>
        <v>54000</v>
      </c>
      <c r="N12" s="410" t="s">
        <v>1587</v>
      </c>
      <c r="O12" s="410">
        <f>U13</f>
        <v>18500</v>
      </c>
      <c r="P12" s="410" t="s">
        <v>1588</v>
      </c>
      <c r="Q12" s="410" t="s">
        <v>746</v>
      </c>
      <c r="T12" s="405" t="s">
        <v>780</v>
      </c>
      <c r="U12" s="409">
        <v>54000</v>
      </c>
      <c r="V12" s="218"/>
    </row>
    <row r="13" spans="2:22" ht="15.95" customHeight="1" thickBot="1" x14ac:dyDescent="0.3">
      <c r="D13" s="354" t="s">
        <v>1510</v>
      </c>
      <c r="E13" s="354"/>
      <c r="F13" s="14" t="s">
        <v>111</v>
      </c>
      <c r="G13" s="282">
        <f>O13</f>
        <v>35500</v>
      </c>
      <c r="M13" s="410" t="s">
        <v>746</v>
      </c>
      <c r="N13" s="410" t="s">
        <v>1587</v>
      </c>
      <c r="O13" s="410">
        <f>SUM(M12-O12)</f>
        <v>35500</v>
      </c>
      <c r="T13" s="405" t="s">
        <v>778</v>
      </c>
      <c r="U13" s="409">
        <v>18500</v>
      </c>
      <c r="V13" s="218"/>
    </row>
    <row r="14" spans="2:22" ht="15.95" customHeight="1" thickTop="1" x14ac:dyDescent="0.25">
      <c r="V14" s="218"/>
    </row>
    <row r="15" spans="2:22" ht="15.95" customHeight="1" x14ac:dyDescent="0.25">
      <c r="B15" s="10" t="s">
        <v>744</v>
      </c>
      <c r="C15" s="16"/>
      <c r="D15" s="2"/>
      <c r="E15" s="2"/>
      <c r="F15" s="23"/>
      <c r="H15" s="2"/>
      <c r="I15" s="2"/>
      <c r="J15" s="2"/>
      <c r="K15" s="2"/>
      <c r="L15" s="2"/>
      <c r="M15" s="407"/>
      <c r="N15" s="407"/>
      <c r="O15" s="407"/>
      <c r="P15" s="407"/>
      <c r="Q15" s="407"/>
      <c r="S15" s="407"/>
      <c r="T15" s="407"/>
      <c r="U15" s="407"/>
      <c r="V15" s="316"/>
    </row>
    <row r="16" spans="2:22" ht="15.95" customHeight="1" x14ac:dyDescent="0.25">
      <c r="B16" s="24" t="s">
        <v>781</v>
      </c>
      <c r="C16" s="24"/>
      <c r="F16" s="25"/>
      <c r="R16" s="403"/>
      <c r="S16" s="403"/>
      <c r="T16" s="403"/>
      <c r="U16" s="403"/>
      <c r="V16" s="218"/>
    </row>
    <row r="17" spans="2:22" ht="5.0999999999999996" customHeight="1" x14ac:dyDescent="0.25">
      <c r="B17" s="24"/>
      <c r="C17" s="24"/>
      <c r="F17" s="25"/>
      <c r="R17" s="403"/>
      <c r="S17" s="403"/>
      <c r="T17" s="403"/>
      <c r="U17" s="403"/>
      <c r="V17" s="218"/>
    </row>
    <row r="18" spans="2:22" ht="15.95" customHeight="1" x14ac:dyDescent="0.25">
      <c r="B18" s="11" t="s">
        <v>758</v>
      </c>
      <c r="D18" s="354" t="s">
        <v>1490</v>
      </c>
      <c r="E18" s="354"/>
      <c r="F18" s="14" t="s">
        <v>111</v>
      </c>
      <c r="G18" s="16" t="s">
        <v>1491</v>
      </c>
      <c r="H18" s="14" t="s">
        <v>1504</v>
      </c>
      <c r="I18" s="16" t="s">
        <v>1505</v>
      </c>
      <c r="K18" s="16"/>
      <c r="L18" s="16"/>
      <c r="M18" s="414"/>
      <c r="N18" s="407"/>
      <c r="O18" s="407"/>
      <c r="P18" s="407"/>
      <c r="Q18" s="407"/>
      <c r="S18" s="405"/>
      <c r="T18" s="413" t="s">
        <v>1680</v>
      </c>
      <c r="V18" s="316"/>
    </row>
    <row r="19" spans="2:22" ht="15.95" customHeight="1" x14ac:dyDescent="0.25">
      <c r="D19" s="355">
        <f>M19</f>
        <v>425000</v>
      </c>
      <c r="E19" s="355"/>
      <c r="F19" s="14" t="s">
        <v>111</v>
      </c>
      <c r="G19" s="28">
        <f>O19</f>
        <v>260000</v>
      </c>
      <c r="H19" s="14" t="s">
        <v>1504</v>
      </c>
      <c r="I19" s="10" t="s">
        <v>746</v>
      </c>
      <c r="M19" s="410">
        <f>U19</f>
        <v>425000</v>
      </c>
      <c r="N19" s="410" t="s">
        <v>1587</v>
      </c>
      <c r="O19" s="410">
        <f>U20</f>
        <v>260000</v>
      </c>
      <c r="P19" s="410" t="s">
        <v>1588</v>
      </c>
      <c r="Q19" s="410" t="s">
        <v>746</v>
      </c>
      <c r="S19" s="405"/>
      <c r="T19" s="405" t="s">
        <v>780</v>
      </c>
      <c r="U19" s="409">
        <v>425000</v>
      </c>
      <c r="V19" s="316"/>
    </row>
    <row r="20" spans="2:22" ht="15.95" customHeight="1" thickBot="1" x14ac:dyDescent="0.3">
      <c r="D20" s="354" t="s">
        <v>746</v>
      </c>
      <c r="E20" s="354"/>
      <c r="F20" s="14" t="s">
        <v>111</v>
      </c>
      <c r="G20" s="282" t="str">
        <f>CONCATENATE(TEXT(O20,"$#,##0"))</f>
        <v>$165,000</v>
      </c>
      <c r="H20" s="16"/>
      <c r="I20" s="2"/>
      <c r="M20" s="410" t="s">
        <v>746</v>
      </c>
      <c r="N20" s="410" t="s">
        <v>1587</v>
      </c>
      <c r="O20" s="410">
        <f>SUM(M19-O19)</f>
        <v>165000</v>
      </c>
      <c r="S20" s="405"/>
      <c r="T20" s="405" t="s">
        <v>778</v>
      </c>
      <c r="U20" s="409">
        <v>260000</v>
      </c>
      <c r="V20" s="316"/>
    </row>
    <row r="21" spans="2:22" ht="9.9499999999999993" customHeight="1" thickTop="1" x14ac:dyDescent="0.25">
      <c r="C21" s="13"/>
      <c r="D21" s="16"/>
      <c r="E21" s="16"/>
      <c r="G21" s="25"/>
      <c r="V21" s="316"/>
    </row>
    <row r="22" spans="2:22" ht="15.95" customHeight="1" x14ac:dyDescent="0.25">
      <c r="B22" s="11" t="s">
        <v>759</v>
      </c>
      <c r="D22" s="354" t="s">
        <v>1490</v>
      </c>
      <c r="E22" s="354"/>
      <c r="F22" s="14" t="s">
        <v>111</v>
      </c>
      <c r="G22" s="16" t="s">
        <v>1491</v>
      </c>
      <c r="H22" s="14" t="s">
        <v>1504</v>
      </c>
      <c r="I22" s="16" t="s">
        <v>1505</v>
      </c>
      <c r="K22" s="16"/>
      <c r="L22" s="16"/>
      <c r="M22" s="412" t="s">
        <v>748</v>
      </c>
      <c r="N22" s="407"/>
      <c r="O22" s="412" t="s">
        <v>749</v>
      </c>
      <c r="P22" s="407"/>
      <c r="Q22" s="407"/>
      <c r="S22" s="407"/>
      <c r="T22" s="405"/>
      <c r="V22" s="316"/>
    </row>
    <row r="23" spans="2:22" ht="15.95" customHeight="1" x14ac:dyDescent="0.25">
      <c r="D23" s="355">
        <f>M23</f>
        <v>498000</v>
      </c>
      <c r="E23" s="355"/>
      <c r="F23" s="14" t="s">
        <v>111</v>
      </c>
      <c r="G23" s="28">
        <f>O23</f>
        <v>292000</v>
      </c>
      <c r="H23" s="14" t="s">
        <v>1504</v>
      </c>
      <c r="I23" s="10" t="s">
        <v>746</v>
      </c>
      <c r="M23" s="410">
        <f>Q26</f>
        <v>498000</v>
      </c>
      <c r="N23" s="410" t="s">
        <v>1587</v>
      </c>
      <c r="O23" s="410">
        <f>Q27</f>
        <v>292000</v>
      </c>
      <c r="P23" s="410" t="s">
        <v>1588</v>
      </c>
      <c r="Q23" s="410" t="s">
        <v>746</v>
      </c>
      <c r="T23" s="405"/>
      <c r="U23" s="407"/>
      <c r="V23" s="316"/>
    </row>
    <row r="24" spans="2:22" ht="15.95" customHeight="1" thickBot="1" x14ac:dyDescent="0.3">
      <c r="D24" s="354" t="s">
        <v>746</v>
      </c>
      <c r="E24" s="354"/>
      <c r="F24" s="14" t="s">
        <v>111</v>
      </c>
      <c r="G24" s="282">
        <f>O24</f>
        <v>206000</v>
      </c>
      <c r="H24" s="17"/>
      <c r="M24" s="410" t="s">
        <v>746</v>
      </c>
      <c r="N24" s="410" t="s">
        <v>1587</v>
      </c>
      <c r="O24" s="410">
        <f>SUM(M23-O23)</f>
        <v>206000</v>
      </c>
      <c r="S24" s="405"/>
      <c r="T24" s="405"/>
      <c r="U24" s="407"/>
      <c r="V24" s="316"/>
    </row>
    <row r="25" spans="2:22" ht="5.0999999999999996" customHeight="1" thickTop="1" x14ac:dyDescent="0.25">
      <c r="D25" s="25"/>
      <c r="E25" s="25"/>
      <c r="F25" s="14"/>
      <c r="G25" s="17"/>
      <c r="H25" s="17"/>
      <c r="M25" s="407"/>
      <c r="N25" s="407"/>
      <c r="O25" s="407"/>
      <c r="P25" s="407"/>
      <c r="S25" s="405"/>
      <c r="T25" s="405"/>
      <c r="U25" s="410"/>
      <c r="V25" s="316"/>
    </row>
    <row r="26" spans="2:22" ht="15.95" customHeight="1" x14ac:dyDescent="0.25">
      <c r="B26" s="25" t="s">
        <v>748</v>
      </c>
      <c r="C26" s="30" t="str">
        <f>CONCATENATE(TEXT(M26,"$#,##0"),N26,TEXT(O26,"$#,##0"),P26,TEXT(Q26,"$#,##0"),)</f>
        <v>$425,000 + $73,000 = $498,000</v>
      </c>
      <c r="D26" s="31"/>
      <c r="E26" s="31"/>
      <c r="F26" s="29"/>
      <c r="G26" s="32"/>
      <c r="H26" s="29"/>
      <c r="I26" s="29"/>
      <c r="J26" s="29"/>
      <c r="K26" s="29"/>
      <c r="L26" s="29"/>
      <c r="M26" s="410">
        <f>U19</f>
        <v>425000</v>
      </c>
      <c r="N26" s="410" t="s">
        <v>1588</v>
      </c>
      <c r="O26" s="409">
        <v>73000</v>
      </c>
      <c r="P26" s="410" t="s">
        <v>1587</v>
      </c>
      <c r="Q26" s="410">
        <f>SUM(M26+O26)</f>
        <v>498000</v>
      </c>
      <c r="R26" s="415" t="s">
        <v>748</v>
      </c>
      <c r="S26" s="405"/>
      <c r="T26" s="405"/>
      <c r="V26" s="218"/>
    </row>
    <row r="27" spans="2:22" ht="15.95" customHeight="1" x14ac:dyDescent="0.25">
      <c r="B27" s="25" t="s">
        <v>749</v>
      </c>
      <c r="C27" s="30" t="str">
        <f>CONCATENATE(TEXT(M27,"$#,##0"),N27,TEXT(O27,"$#,##0"),P27,TEXT(Q27,"$#,##0"),)</f>
        <v>$260,000 + $32,000 = $292,000</v>
      </c>
      <c r="D27" s="31"/>
      <c r="E27" s="31"/>
      <c r="F27" s="29"/>
      <c r="G27" s="32"/>
      <c r="H27" s="29"/>
      <c r="I27" s="29"/>
      <c r="J27" s="29"/>
      <c r="K27" s="29"/>
      <c r="L27" s="29"/>
      <c r="M27" s="410">
        <f>U20</f>
        <v>260000</v>
      </c>
      <c r="N27" s="410" t="s">
        <v>1588</v>
      </c>
      <c r="O27" s="409">
        <v>32000</v>
      </c>
      <c r="P27" s="410" t="s">
        <v>1587</v>
      </c>
      <c r="Q27" s="410">
        <f>SUM(M27+O27)</f>
        <v>292000</v>
      </c>
      <c r="R27" s="415" t="s">
        <v>749</v>
      </c>
      <c r="S27" s="405"/>
      <c r="T27" s="405"/>
      <c r="V27" s="218"/>
    </row>
    <row r="28" spans="2:22" ht="15.95" customHeight="1" x14ac:dyDescent="0.25">
      <c r="C28" s="33"/>
      <c r="D28" s="16"/>
      <c r="E28" s="16"/>
      <c r="F28" s="2"/>
      <c r="G28" s="23"/>
      <c r="I28" s="2"/>
      <c r="J28" s="2"/>
      <c r="K28" s="2"/>
      <c r="L28" s="2"/>
      <c r="M28" s="407"/>
      <c r="N28" s="407"/>
      <c r="O28" s="407"/>
      <c r="P28" s="407"/>
      <c r="Q28" s="407"/>
      <c r="S28" s="407"/>
      <c r="T28" s="416" t="s">
        <v>904</v>
      </c>
      <c r="U28" s="407"/>
      <c r="V28" s="316"/>
    </row>
    <row r="29" spans="2:22" ht="15.95" customHeight="1" x14ac:dyDescent="0.25">
      <c r="B29" s="11" t="s">
        <v>760</v>
      </c>
      <c r="D29" s="354" t="s">
        <v>1490</v>
      </c>
      <c r="E29" s="354"/>
      <c r="F29" s="14" t="s">
        <v>111</v>
      </c>
      <c r="G29" s="16" t="s">
        <v>1491</v>
      </c>
      <c r="H29" s="14" t="s">
        <v>1504</v>
      </c>
      <c r="I29" s="16" t="s">
        <v>1505</v>
      </c>
      <c r="K29" s="16"/>
      <c r="L29" s="16"/>
      <c r="M29" s="412" t="s">
        <v>748</v>
      </c>
      <c r="N29" s="407"/>
      <c r="O29" s="407"/>
      <c r="P29" s="407"/>
      <c r="Q29" s="412" t="s">
        <v>749</v>
      </c>
      <c r="R29" s="407"/>
      <c r="S29" s="407"/>
      <c r="T29" s="405"/>
      <c r="U29" s="407"/>
      <c r="V29" s="316"/>
    </row>
    <row r="30" spans="2:22" ht="15.95" customHeight="1" x14ac:dyDescent="0.25">
      <c r="D30" s="355">
        <f>Q33</f>
        <v>373000</v>
      </c>
      <c r="E30" s="355"/>
      <c r="F30" s="14" t="s">
        <v>111</v>
      </c>
      <c r="G30" s="16" t="s">
        <v>264</v>
      </c>
      <c r="H30" s="14" t="s">
        <v>1504</v>
      </c>
      <c r="I30" s="356">
        <f>Q34</f>
        <v>200000</v>
      </c>
      <c r="J30" s="356"/>
      <c r="K30" s="28"/>
      <c r="L30" s="17"/>
      <c r="M30" s="410">
        <f>Q33</f>
        <v>373000</v>
      </c>
      <c r="N30" s="410" t="s">
        <v>1587</v>
      </c>
      <c r="O30" s="410" t="s">
        <v>746</v>
      </c>
      <c r="P30" s="410" t="s">
        <v>1588</v>
      </c>
      <c r="Q30" s="410">
        <f>Q34</f>
        <v>200000</v>
      </c>
      <c r="R30" s="407"/>
      <c r="S30" s="407"/>
      <c r="T30" s="405"/>
      <c r="U30" s="410"/>
      <c r="V30" s="312"/>
    </row>
    <row r="31" spans="2:22" ht="15.95" customHeight="1" thickBot="1" x14ac:dyDescent="0.3">
      <c r="D31" s="354" t="s">
        <v>746</v>
      </c>
      <c r="E31" s="354"/>
      <c r="F31" s="14" t="s">
        <v>111</v>
      </c>
      <c r="G31" s="282">
        <f>D30-I30</f>
        <v>173000</v>
      </c>
      <c r="H31" s="17"/>
      <c r="K31" s="16"/>
      <c r="M31" s="410" t="s">
        <v>746</v>
      </c>
      <c r="N31" s="410" t="s">
        <v>1587</v>
      </c>
      <c r="O31" s="410">
        <f>SUM(M30-Q30)</f>
        <v>173000</v>
      </c>
      <c r="R31" s="407"/>
      <c r="S31" s="407"/>
      <c r="T31" s="405"/>
      <c r="V31" s="312"/>
    </row>
    <row r="32" spans="2:22" ht="5.0999999999999996" customHeight="1" thickTop="1" x14ac:dyDescent="0.25">
      <c r="D32" s="25"/>
      <c r="E32" s="16"/>
      <c r="F32" s="14"/>
      <c r="G32" s="17"/>
      <c r="H32" s="17"/>
      <c r="K32" s="16"/>
      <c r="M32" s="410"/>
      <c r="N32" s="410"/>
      <c r="O32" s="410"/>
      <c r="R32" s="407"/>
      <c r="S32" s="407"/>
      <c r="T32" s="407"/>
      <c r="V32" s="312"/>
    </row>
    <row r="33" spans="2:22" ht="15.95" customHeight="1" x14ac:dyDescent="0.25">
      <c r="B33" s="25" t="s">
        <v>748</v>
      </c>
      <c r="C33" s="30" t="str">
        <f>CONCATENATE(TEXT(M33,"$#,##0"),N33,TEXT(O33,"$#,##0"),P33,TEXT(Q33,"$#,##0"),)</f>
        <v>$425,000 – $52,000 = $373,000</v>
      </c>
      <c r="D33" s="16"/>
      <c r="E33" s="16"/>
      <c r="F33" s="2"/>
      <c r="G33" s="23"/>
      <c r="I33" s="2"/>
      <c r="J33" s="2"/>
      <c r="K33" s="35"/>
      <c r="L33" s="2"/>
      <c r="M33" s="410">
        <f>U19</f>
        <v>425000</v>
      </c>
      <c r="N33" s="410" t="s">
        <v>1589</v>
      </c>
      <c r="O33" s="409">
        <v>52000</v>
      </c>
      <c r="P33" s="410" t="s">
        <v>1587</v>
      </c>
      <c r="Q33" s="410">
        <f>SUM(M33-O33)</f>
        <v>373000</v>
      </c>
      <c r="R33" s="415" t="s">
        <v>748</v>
      </c>
      <c r="S33" s="407"/>
      <c r="T33" s="407"/>
      <c r="U33" s="407"/>
      <c r="V33" s="312"/>
    </row>
    <row r="34" spans="2:22" ht="15.95" customHeight="1" x14ac:dyDescent="0.25">
      <c r="B34" s="25" t="s">
        <v>749</v>
      </c>
      <c r="C34" s="30" t="str">
        <f>CONCATENATE(TEXT(M34,"$#,##0")," (","from part 1",")",N34,TEXT(O34,"$#,##0"),P34,TEXT(Q34,"$#,##0"),)</f>
        <v>$165,000 (from part 1) + $35,000 = $200,000</v>
      </c>
      <c r="D34" s="16"/>
      <c r="E34" s="16"/>
      <c r="F34" s="2"/>
      <c r="G34" s="23"/>
      <c r="I34" s="2"/>
      <c r="J34" s="2"/>
      <c r="K34" s="35"/>
      <c r="L34" s="2"/>
      <c r="M34" s="410">
        <f>O20</f>
        <v>165000</v>
      </c>
      <c r="N34" s="410" t="s">
        <v>1588</v>
      </c>
      <c r="O34" s="409">
        <v>35000</v>
      </c>
      <c r="P34" s="410" t="s">
        <v>1587</v>
      </c>
      <c r="Q34" s="410">
        <f>SUM(M34+O34)</f>
        <v>200000</v>
      </c>
      <c r="R34" s="415" t="s">
        <v>749</v>
      </c>
      <c r="S34" s="407"/>
      <c r="T34" s="407"/>
      <c r="U34" s="407"/>
      <c r="V34" s="312"/>
    </row>
    <row r="35" spans="2:22" ht="9.9499999999999993" customHeight="1" x14ac:dyDescent="0.25">
      <c r="C35" s="33"/>
      <c r="D35" s="16"/>
      <c r="E35" s="16"/>
      <c r="F35" s="2"/>
      <c r="G35" s="23"/>
      <c r="I35" s="2"/>
      <c r="J35" s="2"/>
      <c r="K35" s="35"/>
      <c r="L35" s="2"/>
      <c r="M35" s="407"/>
      <c r="N35" s="407"/>
      <c r="R35" s="407"/>
      <c r="S35" s="407"/>
      <c r="T35" s="407"/>
      <c r="U35" s="407"/>
      <c r="V35" s="312"/>
    </row>
    <row r="36" spans="2:22" ht="15.95" customHeight="1" x14ac:dyDescent="0.25">
      <c r="B36" s="11" t="s">
        <v>270</v>
      </c>
      <c r="D36" s="354" t="s">
        <v>1490</v>
      </c>
      <c r="E36" s="354"/>
      <c r="F36" s="14" t="s">
        <v>111</v>
      </c>
      <c r="G36" s="16" t="s">
        <v>1491</v>
      </c>
      <c r="H36" s="14" t="s">
        <v>1504</v>
      </c>
      <c r="I36" s="16" t="s">
        <v>1505</v>
      </c>
      <c r="K36" s="16"/>
      <c r="L36" s="13"/>
      <c r="O36" s="412" t="s">
        <v>748</v>
      </c>
      <c r="P36" s="407"/>
      <c r="Q36" s="412" t="s">
        <v>749</v>
      </c>
      <c r="R36" s="407"/>
      <c r="S36" s="407"/>
      <c r="T36" s="407"/>
      <c r="U36" s="407"/>
      <c r="V36" s="312"/>
    </row>
    <row r="37" spans="2:22" ht="15.95" customHeight="1" x14ac:dyDescent="0.25">
      <c r="D37" s="354" t="s">
        <v>746</v>
      </c>
      <c r="E37" s="354"/>
      <c r="F37" s="14" t="s">
        <v>111</v>
      </c>
      <c r="G37" s="28">
        <f>Q40</f>
        <v>345000</v>
      </c>
      <c r="H37" s="14" t="s">
        <v>1504</v>
      </c>
      <c r="I37" s="356">
        <f>Q41</f>
        <v>92000</v>
      </c>
      <c r="J37" s="356"/>
      <c r="K37" s="28"/>
      <c r="L37" s="17"/>
      <c r="M37" s="410" t="s">
        <v>746</v>
      </c>
      <c r="N37" s="410" t="s">
        <v>1587</v>
      </c>
      <c r="O37" s="410">
        <f>Q40</f>
        <v>345000</v>
      </c>
      <c r="P37" s="410" t="s">
        <v>1588</v>
      </c>
      <c r="Q37" s="410">
        <f>Q41</f>
        <v>92000</v>
      </c>
      <c r="S37" s="407"/>
      <c r="T37" s="407"/>
      <c r="U37" s="407"/>
      <c r="V37" s="312"/>
    </row>
    <row r="38" spans="2:22" ht="15.95" customHeight="1" thickBot="1" x14ac:dyDescent="0.3">
      <c r="D38" s="354" t="s">
        <v>746</v>
      </c>
      <c r="E38" s="354"/>
      <c r="F38" s="14" t="s">
        <v>111</v>
      </c>
      <c r="G38" s="282">
        <f>G37+I37</f>
        <v>437000</v>
      </c>
      <c r="H38" s="17"/>
      <c r="M38" s="410" t="s">
        <v>746</v>
      </c>
      <c r="N38" s="410" t="s">
        <v>1587</v>
      </c>
      <c r="O38" s="410">
        <f>SUM(O37+Q37)</f>
        <v>437000</v>
      </c>
      <c r="S38" s="407"/>
      <c r="T38" s="407"/>
      <c r="U38" s="407"/>
      <c r="V38" s="312"/>
    </row>
    <row r="39" spans="2:22" ht="5.0999999999999996" customHeight="1" thickTop="1" x14ac:dyDescent="0.25">
      <c r="D39" s="25"/>
      <c r="E39" s="16"/>
      <c r="F39" s="14"/>
      <c r="G39" s="17"/>
      <c r="H39" s="17"/>
      <c r="S39" s="407"/>
      <c r="T39" s="407"/>
      <c r="U39" s="407"/>
      <c r="V39" s="312"/>
    </row>
    <row r="40" spans="2:22" ht="15.95" customHeight="1" x14ac:dyDescent="0.25">
      <c r="B40" s="25" t="s">
        <v>748</v>
      </c>
      <c r="C40" s="30" t="str">
        <f>CONCATENATE(TEXT(M40,"$#,##0"),N40,TEXT(O40,"$#,##0"),P40,TEXT(Q40,"$#,##0"),)</f>
        <v>$260,000 + $85,000 = $345,000</v>
      </c>
      <c r="D40" s="2"/>
      <c r="E40" s="2"/>
      <c r="F40" s="23"/>
      <c r="H40" s="2"/>
      <c r="I40" s="2"/>
      <c r="J40" s="2"/>
      <c r="K40" s="2"/>
      <c r="L40" s="2"/>
      <c r="M40" s="410">
        <f>U20</f>
        <v>260000</v>
      </c>
      <c r="N40" s="410" t="s">
        <v>1588</v>
      </c>
      <c r="O40" s="409">
        <v>85000</v>
      </c>
      <c r="P40" s="410" t="s">
        <v>1587</v>
      </c>
      <c r="Q40" s="410">
        <f>SUM(M40+O40)</f>
        <v>345000</v>
      </c>
      <c r="R40" s="415" t="s">
        <v>748</v>
      </c>
      <c r="S40" s="407"/>
      <c r="T40" s="407"/>
      <c r="U40" s="407"/>
      <c r="V40" s="312"/>
    </row>
    <row r="41" spans="2:22" ht="15.95" customHeight="1" x14ac:dyDescent="0.25">
      <c r="B41" s="25" t="s">
        <v>749</v>
      </c>
      <c r="C41" s="29" t="str">
        <f>CONCATENATE(TEXT(M41,"$#,##0")," (","from part 1",")",N41,TEXT(O41,"$#,##0"),P41,TEXT(Q41,"$#,##0"))</f>
        <v>$165,000 (from part 1) – $73,000 = $92,000</v>
      </c>
      <c r="D41" s="2"/>
      <c r="E41" s="2"/>
      <c r="F41" s="23"/>
      <c r="H41" s="2"/>
      <c r="I41" s="2"/>
      <c r="J41" s="2"/>
      <c r="K41" s="2"/>
      <c r="L41" s="2"/>
      <c r="M41" s="410">
        <f>O20</f>
        <v>165000</v>
      </c>
      <c r="N41" s="410" t="s">
        <v>1589</v>
      </c>
      <c r="O41" s="409">
        <v>73000</v>
      </c>
      <c r="P41" s="410" t="s">
        <v>1587</v>
      </c>
      <c r="Q41" s="410">
        <f>SUM(M41-O41)</f>
        <v>92000</v>
      </c>
      <c r="R41" s="415" t="s">
        <v>749</v>
      </c>
      <c r="S41" s="407"/>
      <c r="T41" s="407"/>
      <c r="U41" s="407"/>
      <c r="V41" s="312"/>
    </row>
    <row r="42" spans="2:22" ht="5.0999999999999996" customHeight="1" x14ac:dyDescent="0.25"/>
    <row r="43" spans="2:22" ht="15.95" customHeight="1" x14ac:dyDescent="0.25"/>
  </sheetData>
  <customSheetViews>
    <customSheetView guid="{B2DDA8C4-3089-41F7-BA6E-A0E09596A2CA}" scale="70" showPageBreaks="1" fitToPage="1" printArea="1">
      <selection activeCell="T59" sqref="T59"/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C1" sqref="C1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 topLeftCell="A13">
      <selection activeCell="C42" sqref="C42"/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selection activeCell="C42" sqref="C42"/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selection activeCell="T59" sqref="T59"/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24">
    <mergeCell ref="B2:K2"/>
    <mergeCell ref="D5:E5"/>
    <mergeCell ref="D6:E6"/>
    <mergeCell ref="D7:E7"/>
    <mergeCell ref="D13:E13"/>
    <mergeCell ref="D9:E9"/>
    <mergeCell ref="D12:E12"/>
    <mergeCell ref="D10:E10"/>
    <mergeCell ref="I9:J9"/>
    <mergeCell ref="I6:J6"/>
    <mergeCell ref="D38:E38"/>
    <mergeCell ref="D23:E23"/>
    <mergeCell ref="D24:E24"/>
    <mergeCell ref="D29:E29"/>
    <mergeCell ref="D30:E30"/>
    <mergeCell ref="D18:E18"/>
    <mergeCell ref="D19:E19"/>
    <mergeCell ref="D20:E20"/>
    <mergeCell ref="D22:E22"/>
    <mergeCell ref="I37:J37"/>
    <mergeCell ref="I30:J30"/>
    <mergeCell ref="D31:E31"/>
    <mergeCell ref="D36:E36"/>
    <mergeCell ref="D37:E37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drawing r:id="rId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="70" zoomScaleNormal="70" workbookViewId="0"/>
  </sheetViews>
  <sheetFormatPr defaultRowHeight="15.75" x14ac:dyDescent="0.25"/>
  <cols>
    <col min="1" max="1" width="1.7109375" style="10" customWidth="1"/>
    <col min="2" max="2" width="4.7109375" style="10" customWidth="1"/>
    <col min="3" max="3" width="7" style="2" customWidth="1"/>
    <col min="4" max="4" width="1.42578125" style="16" customWidth="1"/>
    <col min="5" max="5" width="5.7109375" style="2" customWidth="1"/>
    <col min="6" max="6" width="14" style="23" customWidth="1"/>
    <col min="7" max="7" width="2.28515625" style="10" customWidth="1"/>
    <col min="8" max="8" width="5.7109375" style="2" customWidth="1"/>
    <col min="9" max="9" width="10.7109375" style="2" customWidth="1"/>
    <col min="10" max="10" width="4.28515625" style="2" customWidth="1"/>
    <col min="11" max="11" width="35.5703125" style="2" customWidth="1"/>
    <col min="12" max="12" width="11.7109375" style="2" customWidth="1"/>
    <col min="13" max="13" width="2.7109375" style="2" customWidth="1"/>
    <col min="14" max="14" width="10.7109375" style="2" customWidth="1"/>
    <col min="15" max="15" width="2.7109375" style="2" customWidth="1"/>
    <col min="16" max="16" width="10.7109375" style="2" customWidth="1"/>
    <col min="17" max="17" width="2.7109375" style="2" customWidth="1"/>
    <col min="18" max="18" width="13.42578125" style="2" customWidth="1"/>
    <col min="19" max="19" width="2.7109375" style="2" customWidth="1"/>
    <col min="20" max="20" width="9.140625" style="2"/>
    <col min="21" max="21" width="2.7109375" style="2" customWidth="1"/>
    <col min="22" max="22" width="9.140625" style="2"/>
    <col min="23" max="23" width="2.7109375" style="2" customWidth="1"/>
    <col min="24" max="16384" width="9.140625" style="2"/>
  </cols>
  <sheetData>
    <row r="1" spans="2:11" ht="28.5" customHeight="1" x14ac:dyDescent="0.25">
      <c r="C1" s="10"/>
      <c r="D1" s="10"/>
      <c r="E1" s="10"/>
      <c r="F1" s="10"/>
      <c r="H1" s="10"/>
      <c r="I1" s="10"/>
      <c r="J1" s="10"/>
      <c r="K1" s="10"/>
    </row>
    <row r="2" spans="2:11" ht="15.95" customHeight="1" x14ac:dyDescent="0.25">
      <c r="B2" s="10" t="s">
        <v>750</v>
      </c>
    </row>
    <row r="3" spans="2:11" ht="15.95" customHeight="1" x14ac:dyDescent="0.25">
      <c r="B3" s="38" t="s">
        <v>55</v>
      </c>
      <c r="C3" s="69" t="s">
        <v>751</v>
      </c>
      <c r="E3" s="29"/>
      <c r="F3" s="32"/>
    </row>
    <row r="4" spans="2:11" ht="15.95" customHeight="1" x14ac:dyDescent="0.25">
      <c r="B4" s="38" t="s">
        <v>58</v>
      </c>
      <c r="C4" s="69" t="s">
        <v>752</v>
      </c>
      <c r="E4" s="29"/>
      <c r="F4" s="32"/>
    </row>
    <row r="5" spans="2:11" ht="15.95" customHeight="1" x14ac:dyDescent="0.25">
      <c r="B5" s="38" t="s">
        <v>60</v>
      </c>
      <c r="C5" s="69" t="s">
        <v>751</v>
      </c>
      <c r="E5" s="29"/>
      <c r="F5" s="32"/>
    </row>
    <row r="6" spans="2:11" ht="15.95" customHeight="1" x14ac:dyDescent="0.25">
      <c r="B6" s="38" t="s">
        <v>67</v>
      </c>
      <c r="C6" s="69" t="s">
        <v>753</v>
      </c>
      <c r="E6" s="29"/>
      <c r="F6" s="32"/>
    </row>
    <row r="7" spans="2:11" ht="15.95" customHeight="1" x14ac:dyDescent="0.25">
      <c r="B7" s="38" t="s">
        <v>70</v>
      </c>
      <c r="C7" s="69" t="s">
        <v>752</v>
      </c>
      <c r="E7" s="29"/>
      <c r="F7" s="32"/>
    </row>
    <row r="8" spans="2:11" ht="15.95" customHeight="1" x14ac:dyDescent="0.25">
      <c r="B8" s="38" t="s">
        <v>754</v>
      </c>
      <c r="C8" s="69" t="s">
        <v>753</v>
      </c>
      <c r="E8" s="29"/>
      <c r="F8" s="32"/>
    </row>
    <row r="9" spans="2:11" ht="15.95" customHeight="1" x14ac:dyDescent="0.25">
      <c r="B9" s="38" t="s">
        <v>755</v>
      </c>
      <c r="C9" s="69" t="s">
        <v>751</v>
      </c>
      <c r="E9" s="29"/>
      <c r="F9" s="32"/>
    </row>
    <row r="10" spans="2:11" ht="15.95" customHeight="1" x14ac:dyDescent="0.25">
      <c r="B10" s="38" t="s">
        <v>756</v>
      </c>
      <c r="C10" s="69" t="s">
        <v>1061</v>
      </c>
      <c r="E10" s="29"/>
      <c r="F10" s="32"/>
    </row>
    <row r="11" spans="2:11" ht="15.95" customHeight="1" x14ac:dyDescent="0.25"/>
    <row r="12" spans="2:11" ht="15.95" customHeight="1" x14ac:dyDescent="0.25">
      <c r="B12" s="10" t="s">
        <v>733</v>
      </c>
      <c r="D12" s="2"/>
    </row>
    <row r="13" spans="2:11" ht="15.95" customHeight="1" x14ac:dyDescent="0.25">
      <c r="B13" s="38" t="s">
        <v>758</v>
      </c>
      <c r="C13" s="69" t="s">
        <v>1492</v>
      </c>
      <c r="D13" s="2"/>
    </row>
    <row r="14" spans="2:11" ht="15" customHeight="1" x14ac:dyDescent="0.25">
      <c r="B14" s="38" t="s">
        <v>759</v>
      </c>
      <c r="C14" s="69" t="s">
        <v>1489</v>
      </c>
      <c r="D14" s="2"/>
    </row>
    <row r="15" spans="2:11" ht="15.95" customHeight="1" x14ac:dyDescent="0.25">
      <c r="B15" s="38" t="s">
        <v>760</v>
      </c>
      <c r="C15" s="69" t="s">
        <v>1488</v>
      </c>
      <c r="D15" s="2"/>
    </row>
    <row r="16" spans="2:11" ht="15.95" customHeight="1" x14ac:dyDescent="0.25">
      <c r="B16" s="38" t="s">
        <v>270</v>
      </c>
      <c r="C16" s="69" t="s">
        <v>761</v>
      </c>
      <c r="D16" s="2"/>
    </row>
    <row r="17" spans="2:4" ht="15.95" customHeight="1" x14ac:dyDescent="0.25">
      <c r="B17" s="38" t="s">
        <v>1012</v>
      </c>
      <c r="C17" s="69" t="s">
        <v>866</v>
      </c>
      <c r="D17" s="2"/>
    </row>
    <row r="18" spans="2:4" ht="15.95" customHeight="1" x14ac:dyDescent="0.25">
      <c r="B18" s="38" t="s">
        <v>1014</v>
      </c>
      <c r="C18" s="69" t="s">
        <v>1488</v>
      </c>
      <c r="D18" s="2"/>
    </row>
    <row r="19" spans="2:4" ht="15.95" customHeight="1" x14ac:dyDescent="0.25">
      <c r="B19" s="38" t="s">
        <v>1403</v>
      </c>
      <c r="C19" s="69" t="s">
        <v>1495</v>
      </c>
      <c r="D19" s="2"/>
    </row>
    <row r="20" spans="2:4" ht="15.95" customHeight="1" x14ac:dyDescent="0.25">
      <c r="B20" s="38" t="s">
        <v>1408</v>
      </c>
      <c r="C20" s="69" t="s">
        <v>737</v>
      </c>
      <c r="D20" s="16" t="s">
        <v>1670</v>
      </c>
    </row>
    <row r="21" spans="2:4" ht="15.95" customHeight="1" x14ac:dyDescent="0.25">
      <c r="B21" s="38"/>
      <c r="C21" s="163"/>
      <c r="D21" s="16" t="s">
        <v>734</v>
      </c>
    </row>
    <row r="22" spans="2:4" ht="15.95" customHeight="1" x14ac:dyDescent="0.25">
      <c r="B22" s="38"/>
      <c r="C22" s="163"/>
      <c r="D22" s="16" t="s">
        <v>735</v>
      </c>
    </row>
    <row r="23" spans="2:4" ht="15.95" customHeight="1" x14ac:dyDescent="0.25">
      <c r="B23" s="38"/>
      <c r="C23" s="163"/>
      <c r="D23" s="16" t="s">
        <v>736</v>
      </c>
    </row>
    <row r="24" spans="2:4" ht="5.0999999999999996" customHeight="1" x14ac:dyDescent="0.25">
      <c r="B24" s="38"/>
      <c r="C24" s="163"/>
    </row>
    <row r="25" spans="2:4" ht="15.95" customHeight="1" x14ac:dyDescent="0.25">
      <c r="B25" s="38" t="s">
        <v>1416</v>
      </c>
      <c r="C25" s="69" t="s">
        <v>1489</v>
      </c>
      <c r="D25" s="2"/>
    </row>
    <row r="26" spans="2:4" ht="15.95" customHeight="1" x14ac:dyDescent="0.25">
      <c r="B26" s="38" t="s">
        <v>77</v>
      </c>
      <c r="C26" s="69" t="s">
        <v>1488</v>
      </c>
      <c r="D26" s="2"/>
    </row>
    <row r="27" spans="2:4" ht="5.0999999999999996" customHeight="1" x14ac:dyDescent="0.25"/>
    <row r="28" spans="2:4" ht="15.95" customHeight="1" x14ac:dyDescent="0.25"/>
    <row r="29" spans="2:4" ht="15.95" customHeight="1" x14ac:dyDescent="0.25"/>
    <row r="30" spans="2:4" ht="15.95" customHeight="1" x14ac:dyDescent="0.25"/>
    <row r="31" spans="2:4" ht="15.95" customHeight="1" x14ac:dyDescent="0.25"/>
    <row r="32" spans="2:4" ht="15.95" customHeight="1" x14ac:dyDescent="0.25"/>
    <row r="33" ht="15.95" customHeight="1" x14ac:dyDescent="0.25"/>
    <row r="34" ht="15.95" customHeight="1" x14ac:dyDescent="0.25"/>
    <row r="35" ht="15.95" customHeight="1" x14ac:dyDescent="0.25"/>
    <row r="36" ht="15.95" customHeight="1" x14ac:dyDescent="0.25"/>
    <row r="37" ht="15.95" customHeight="1" x14ac:dyDescent="0.25"/>
    <row r="38" ht="15.95" customHeight="1" x14ac:dyDescent="0.25"/>
    <row r="39" ht="15.95" customHeight="1" x14ac:dyDescent="0.25"/>
    <row r="40" ht="15.95" customHeight="1" x14ac:dyDescent="0.25"/>
  </sheetData>
  <customSheetViews>
    <customSheetView guid="{B2DDA8C4-3089-41F7-BA6E-A0E09596A2CA}" scale="70" showPageBreaks="1" fitToPage="1" printArea="1">
      <selection activeCell="Y37" sqref="Y37"/>
      <pageMargins left="0.75" right="1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Y37" sqref="Y37"/>
      <pageMargins left="0.75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Y37" sqref="Y37"/>
      <pageMargins left="0.75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selection activeCell="Y37" sqref="Y37"/>
      <pageMargins left="0.75" right="1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selection activeCell="Y37" sqref="Y37"/>
      <pageMargins left="0.75" right="1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&amp;L&amp;"Times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9" type="noConversion"/>
  <printOptions horizontalCentered="1"/>
  <pageMargins left="1" right="0.75" top="0.85" bottom="0.8" header="0.5" footer="0.35"/>
  <pageSetup scale="93" orientation="portrait" useFirstPageNumber="1" horizontalDpi="1200" verticalDpi="1200" r:id="rId6"/>
  <headerFooter alignWithMargins="0"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showGridLines="0" zoomScale="70" zoomScaleNormal="70" workbookViewId="0">
      <selection activeCell="B1" sqref="B1"/>
    </sheetView>
  </sheetViews>
  <sheetFormatPr defaultRowHeight="12.75" x14ac:dyDescent="0.2"/>
  <cols>
    <col min="1" max="1" width="1.7109375" style="2" customWidth="1"/>
    <col min="2" max="3" width="4.7109375" style="2" customWidth="1"/>
    <col min="4" max="4" width="4" style="2" customWidth="1"/>
    <col min="5" max="5" width="4.28515625" style="2" customWidth="1"/>
    <col min="6" max="6" width="15.7109375" style="2" customWidth="1"/>
    <col min="7" max="7" width="3.7109375" style="2" customWidth="1"/>
    <col min="8" max="8" width="20.28515625" style="2" customWidth="1"/>
    <col min="9" max="9" width="8" style="2" customWidth="1"/>
    <col min="10" max="10" width="10.7109375" style="2" customWidth="1"/>
    <col min="11" max="11" width="2.7109375" style="2" customWidth="1"/>
    <col min="12" max="12" width="12.28515625" style="2" customWidth="1"/>
    <col min="13" max="13" width="5.5703125" style="2" customWidth="1"/>
    <col min="14" max="14" width="2.7109375" style="407" hidden="1" customWidth="1"/>
    <col min="15" max="15" width="8.7109375" style="407" hidden="1" customWidth="1"/>
    <col min="16" max="16" width="2.7109375" style="407" hidden="1" customWidth="1"/>
    <col min="17" max="17" width="8.7109375" style="407" hidden="1" customWidth="1"/>
    <col min="18" max="18" width="2.7109375" style="407" hidden="1" customWidth="1"/>
    <col min="19" max="19" width="8.7109375" style="407" hidden="1" customWidth="1"/>
    <col min="20" max="20" width="2.7109375" style="407" hidden="1" customWidth="1"/>
    <col min="21" max="21" width="8.7109375" style="407" hidden="1" customWidth="1"/>
    <col min="22" max="22" width="2.7109375" style="407" hidden="1" customWidth="1"/>
    <col min="23" max="23" width="0" style="407" hidden="1" customWidth="1"/>
    <col min="24" max="24" width="2.7109375" style="312" customWidth="1"/>
    <col min="25" max="28" width="9.140625" style="312"/>
    <col min="29" max="16384" width="9.140625" style="2"/>
  </cols>
  <sheetData>
    <row r="1" spans="1:22" ht="28.5" customHeight="1" x14ac:dyDescent="0.2"/>
    <row r="2" spans="1:22" ht="15.95" customHeight="1" x14ac:dyDescent="0.25">
      <c r="B2" s="26" t="s">
        <v>757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22" ht="5.0999999999999996" customHeight="1" x14ac:dyDescent="0.25">
      <c r="B3" s="39"/>
      <c r="C3" s="40"/>
      <c r="D3" s="40"/>
      <c r="E3" s="40"/>
      <c r="F3" s="40"/>
      <c r="G3" s="40"/>
      <c r="H3" s="40"/>
      <c r="I3" s="40"/>
      <c r="J3" s="40"/>
      <c r="K3" s="40"/>
      <c r="L3" s="40"/>
      <c r="M3" s="48"/>
    </row>
    <row r="4" spans="1:22" ht="15.95" customHeight="1" x14ac:dyDescent="0.25">
      <c r="B4" s="359" t="s">
        <v>487</v>
      </c>
      <c r="C4" s="360"/>
      <c r="D4" s="360"/>
      <c r="E4" s="360"/>
      <c r="F4" s="360"/>
      <c r="G4" s="360"/>
      <c r="H4" s="360"/>
      <c r="I4" s="360"/>
      <c r="J4" s="360"/>
      <c r="K4" s="360"/>
      <c r="L4" s="361"/>
      <c r="M4" s="303"/>
    </row>
    <row r="5" spans="1:22" ht="15.95" customHeight="1" x14ac:dyDescent="0.25">
      <c r="B5" s="362" t="s">
        <v>763</v>
      </c>
      <c r="C5" s="363"/>
      <c r="D5" s="363"/>
      <c r="E5" s="363"/>
      <c r="F5" s="363"/>
      <c r="G5" s="363"/>
      <c r="H5" s="363"/>
      <c r="I5" s="363"/>
      <c r="J5" s="363"/>
      <c r="K5" s="363"/>
      <c r="L5" s="364"/>
      <c r="M5" s="303"/>
    </row>
    <row r="6" spans="1:22" ht="15.95" customHeight="1" x14ac:dyDescent="0.25">
      <c r="B6" s="365" t="s">
        <v>1119</v>
      </c>
      <c r="C6" s="366"/>
      <c r="D6" s="366"/>
      <c r="E6" s="366"/>
      <c r="F6" s="366"/>
      <c r="G6" s="366"/>
      <c r="H6" s="366"/>
      <c r="I6" s="366"/>
      <c r="J6" s="366"/>
      <c r="K6" s="366"/>
      <c r="L6" s="367"/>
      <c r="M6" s="304"/>
    </row>
    <row r="7" spans="1:22" ht="5.0999999999999996" customHeight="1" x14ac:dyDescent="0.25"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</row>
    <row r="8" spans="1:22" ht="15.95" customHeight="1" x14ac:dyDescent="0.25">
      <c r="B8" s="358" t="s">
        <v>1490</v>
      </c>
      <c r="C8" s="358"/>
      <c r="D8" s="358"/>
      <c r="E8" s="358"/>
      <c r="F8" s="358"/>
      <c r="G8" s="358"/>
      <c r="H8" s="358"/>
      <c r="I8" s="358"/>
      <c r="J8" s="358"/>
      <c r="K8" s="358"/>
      <c r="L8" s="358"/>
      <c r="M8" s="20"/>
      <c r="T8" s="402"/>
    </row>
    <row r="9" spans="1:22" ht="15.95" customHeight="1" x14ac:dyDescent="0.25">
      <c r="A9" s="10"/>
      <c r="B9" s="10" t="s">
        <v>764</v>
      </c>
      <c r="C9" s="10"/>
      <c r="D9" s="10"/>
      <c r="E9" s="10"/>
      <c r="F9" s="10"/>
      <c r="G9" s="10"/>
      <c r="H9" s="10"/>
      <c r="I9" s="10"/>
      <c r="J9" s="41">
        <f>U10</f>
        <v>3200</v>
      </c>
      <c r="K9" s="10"/>
      <c r="L9" s="10"/>
      <c r="M9" s="10"/>
      <c r="U9" s="417" t="s">
        <v>1681</v>
      </c>
      <c r="V9" s="403"/>
    </row>
    <row r="10" spans="1:22" ht="15.95" customHeight="1" x14ac:dyDescent="0.25">
      <c r="A10" s="10"/>
      <c r="B10" s="10" t="s">
        <v>765</v>
      </c>
      <c r="C10" s="10"/>
      <c r="D10" s="10"/>
      <c r="E10" s="10"/>
      <c r="F10" s="10"/>
      <c r="G10" s="10"/>
      <c r="H10" s="10"/>
      <c r="I10" s="10"/>
      <c r="J10" s="42">
        <f>U11</f>
        <v>4500</v>
      </c>
      <c r="K10" s="10"/>
      <c r="L10" s="10"/>
      <c r="M10" s="10"/>
      <c r="T10" s="405" t="s">
        <v>766</v>
      </c>
      <c r="U10" s="409">
        <v>3200</v>
      </c>
    </row>
    <row r="11" spans="1:22" ht="18.75" customHeight="1" x14ac:dyDescent="0.55000000000000004">
      <c r="A11" s="10"/>
      <c r="B11" s="10" t="s">
        <v>767</v>
      </c>
      <c r="C11" s="10"/>
      <c r="D11" s="10"/>
      <c r="E11" s="10"/>
      <c r="F11" s="10"/>
      <c r="G11" s="10"/>
      <c r="H11" s="10"/>
      <c r="I11" s="10"/>
      <c r="J11" s="232">
        <f>U12</f>
        <v>8100</v>
      </c>
      <c r="K11" s="10"/>
      <c r="L11" s="10"/>
      <c r="M11" s="10"/>
      <c r="T11" s="405" t="s">
        <v>768</v>
      </c>
      <c r="U11" s="409">
        <v>4500</v>
      </c>
    </row>
    <row r="12" spans="1:22" ht="18.75" customHeight="1" x14ac:dyDescent="0.4">
      <c r="A12" s="10"/>
      <c r="B12" s="10" t="s">
        <v>769</v>
      </c>
      <c r="D12" s="10"/>
      <c r="E12" s="10"/>
      <c r="F12" s="10"/>
      <c r="G12" s="10"/>
      <c r="H12" s="10"/>
      <c r="I12" s="10"/>
      <c r="J12" s="10" t="s">
        <v>337</v>
      </c>
      <c r="K12" s="10"/>
      <c r="L12" s="233">
        <f>SUM(J9:J11)</f>
        <v>15800</v>
      </c>
      <c r="M12" s="233"/>
      <c r="T12" s="405" t="s">
        <v>770</v>
      </c>
      <c r="U12" s="409">
        <v>8100</v>
      </c>
    </row>
    <row r="13" spans="1:22" ht="5.0999999999999996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41"/>
      <c r="M13" s="41"/>
      <c r="T13" s="405"/>
      <c r="U13" s="410"/>
    </row>
    <row r="14" spans="1:22" ht="15.95" customHeight="1" x14ac:dyDescent="0.25">
      <c r="B14" s="357" t="s">
        <v>771</v>
      </c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13"/>
    </row>
    <row r="15" spans="1:22" ht="15.95" customHeight="1" x14ac:dyDescent="0.25">
      <c r="A15" s="10"/>
      <c r="B15" s="10" t="s">
        <v>773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22" ht="18.75" customHeight="1" x14ac:dyDescent="0.55000000000000004">
      <c r="A16" s="10"/>
      <c r="B16" s="10" t="s">
        <v>774</v>
      </c>
      <c r="C16" s="10" t="s">
        <v>775</v>
      </c>
      <c r="D16" s="10"/>
      <c r="E16" s="10"/>
      <c r="F16" s="10"/>
      <c r="G16" s="10"/>
      <c r="H16" s="10"/>
      <c r="I16" s="10"/>
      <c r="J16" s="234">
        <f>U16</f>
        <v>5000</v>
      </c>
      <c r="K16" s="10"/>
      <c r="L16" s="10"/>
      <c r="M16" s="10"/>
      <c r="T16" s="405" t="s">
        <v>772</v>
      </c>
      <c r="U16" s="409">
        <v>5000</v>
      </c>
    </row>
    <row r="17" spans="1:23" ht="15.95" customHeight="1" x14ac:dyDescent="0.25">
      <c r="A17" s="10"/>
      <c r="C17" s="15" t="s">
        <v>777</v>
      </c>
      <c r="D17" s="10"/>
      <c r="E17" s="10"/>
      <c r="F17" s="10"/>
      <c r="G17" s="10"/>
      <c r="H17" s="10"/>
      <c r="I17" s="10"/>
      <c r="J17" s="26" t="s">
        <v>337</v>
      </c>
      <c r="K17" s="10"/>
      <c r="L17" s="223">
        <f>J16</f>
        <v>5000</v>
      </c>
      <c r="M17" s="223"/>
    </row>
    <row r="18" spans="1:23" ht="5.0999999999999996" customHeight="1" x14ac:dyDescent="0.25">
      <c r="A18" s="10"/>
      <c r="C18" s="15"/>
      <c r="D18" s="10"/>
      <c r="E18" s="10"/>
      <c r="F18" s="10"/>
      <c r="G18" s="10"/>
      <c r="H18" s="10"/>
      <c r="I18" s="10"/>
      <c r="J18" s="26"/>
      <c r="K18" s="10"/>
      <c r="L18" s="17"/>
      <c r="M18" s="17"/>
    </row>
    <row r="19" spans="1:23" ht="15.95" customHeight="1" x14ac:dyDescent="0.25">
      <c r="A19" s="10"/>
      <c r="B19" s="10" t="s">
        <v>1590</v>
      </c>
      <c r="C19" s="10"/>
      <c r="D19" s="10"/>
      <c r="E19" s="10"/>
      <c r="F19" s="10"/>
      <c r="G19" s="10"/>
      <c r="H19" s="10"/>
      <c r="I19" s="10"/>
      <c r="J19" s="26"/>
      <c r="K19" s="10"/>
      <c r="L19" s="10"/>
      <c r="M19" s="10"/>
    </row>
    <row r="20" spans="1:23" ht="15.95" customHeight="1" x14ac:dyDescent="0.25">
      <c r="A20" s="10"/>
      <c r="B20" s="10" t="s">
        <v>774</v>
      </c>
      <c r="C20" s="10" t="s">
        <v>1591</v>
      </c>
      <c r="D20" s="10"/>
      <c r="E20" s="10"/>
      <c r="F20" s="10"/>
      <c r="G20" s="10"/>
      <c r="H20" s="10"/>
      <c r="I20" s="10"/>
      <c r="J20" s="45">
        <f>U20</f>
        <v>7000</v>
      </c>
      <c r="K20" s="10"/>
      <c r="L20" s="10"/>
      <c r="M20" s="10"/>
      <c r="T20" s="405" t="s">
        <v>1496</v>
      </c>
      <c r="U20" s="409">
        <v>7000</v>
      </c>
    </row>
    <row r="21" spans="1:23" ht="18.75" customHeight="1" x14ac:dyDescent="0.55000000000000004">
      <c r="A21" s="10"/>
      <c r="B21" s="10" t="s">
        <v>774</v>
      </c>
      <c r="C21" s="10" t="s">
        <v>1592</v>
      </c>
      <c r="D21" s="10"/>
      <c r="E21" s="10"/>
      <c r="F21" s="10"/>
      <c r="G21" s="10"/>
      <c r="H21" s="10"/>
      <c r="I21" s="10"/>
      <c r="J21" s="232">
        <f>U21</f>
        <v>3800</v>
      </c>
      <c r="K21" s="10"/>
      <c r="L21" s="10"/>
      <c r="M21" s="10"/>
      <c r="T21" s="405" t="s">
        <v>776</v>
      </c>
      <c r="U21" s="409">
        <v>3800</v>
      </c>
    </row>
    <row r="22" spans="1:23" ht="18.75" customHeight="1" x14ac:dyDescent="0.55000000000000004">
      <c r="A22" s="10"/>
      <c r="B22" s="10"/>
      <c r="C22" s="15" t="s">
        <v>1593</v>
      </c>
      <c r="D22" s="10"/>
      <c r="E22" s="10"/>
      <c r="F22" s="10"/>
      <c r="G22" s="10"/>
      <c r="H22" s="10"/>
      <c r="I22" s="10"/>
      <c r="J22" s="26" t="s">
        <v>337</v>
      </c>
      <c r="K22" s="10"/>
      <c r="L22" s="235">
        <f>SUM(J20:J21)</f>
        <v>10800</v>
      </c>
      <c r="M22" s="235"/>
    </row>
    <row r="23" spans="1:23" ht="15.95" customHeight="1" x14ac:dyDescent="0.4">
      <c r="A23" s="10"/>
      <c r="B23" s="10" t="s">
        <v>316</v>
      </c>
      <c r="C23" s="10"/>
      <c r="D23" s="10"/>
      <c r="E23" s="10"/>
      <c r="F23" s="10"/>
      <c r="G23" s="10"/>
      <c r="H23" s="10"/>
      <c r="I23" s="10"/>
      <c r="J23" s="26" t="s">
        <v>337</v>
      </c>
      <c r="K23" s="10"/>
      <c r="L23" s="233">
        <f>SUM(L17:L22)</f>
        <v>15800</v>
      </c>
      <c r="M23" s="233"/>
    </row>
    <row r="24" spans="1:23" ht="15.95" customHeight="1" x14ac:dyDescent="0.2">
      <c r="T24" s="402"/>
    </row>
    <row r="25" spans="1:23" ht="15.95" customHeight="1" x14ac:dyDescent="0.25">
      <c r="B25" s="10" t="s">
        <v>762</v>
      </c>
      <c r="Q25" s="412"/>
      <c r="T25" s="403"/>
      <c r="U25" s="403"/>
      <c r="W25" s="417" t="s">
        <v>1681</v>
      </c>
    </row>
    <row r="26" spans="1:23" ht="15.95" customHeight="1" x14ac:dyDescent="0.25">
      <c r="B26" s="10" t="s">
        <v>318</v>
      </c>
      <c r="E26" s="14" t="s">
        <v>111</v>
      </c>
      <c r="F26" s="13" t="s">
        <v>319</v>
      </c>
      <c r="G26" s="14" t="s">
        <v>320</v>
      </c>
      <c r="H26" s="13" t="s">
        <v>321</v>
      </c>
      <c r="I26" s="13"/>
      <c r="L26" s="10"/>
      <c r="M26" s="10"/>
      <c r="O26" s="402"/>
      <c r="P26" s="412" t="s">
        <v>794</v>
      </c>
      <c r="Q26" s="402"/>
      <c r="R26" s="402"/>
      <c r="S26" s="402"/>
      <c r="V26" s="405" t="s">
        <v>322</v>
      </c>
      <c r="W26" s="409">
        <v>78000</v>
      </c>
    </row>
    <row r="27" spans="1:23" ht="15.95" customHeight="1" x14ac:dyDescent="0.25">
      <c r="B27" s="10" t="s">
        <v>318</v>
      </c>
      <c r="E27" s="14" t="s">
        <v>111</v>
      </c>
      <c r="F27" s="34">
        <f>O27</f>
        <v>78000</v>
      </c>
      <c r="G27" s="14" t="s">
        <v>320</v>
      </c>
      <c r="H27" s="13" t="str">
        <f>CONCATENATE("(",TEXT(Q27,"$#,##0"),R27,TEXT(S27,"$#,##0"),")",)</f>
        <v>($33,200 + $20,500)</v>
      </c>
      <c r="I27" s="13"/>
      <c r="L27" s="10"/>
      <c r="M27" s="10"/>
      <c r="O27" s="410">
        <f>W26</f>
        <v>78000</v>
      </c>
      <c r="P27" s="410" t="s">
        <v>1589</v>
      </c>
      <c r="Q27" s="410">
        <f>W27</f>
        <v>33200</v>
      </c>
      <c r="R27" s="410" t="s">
        <v>1588</v>
      </c>
      <c r="S27" s="410">
        <f>W28</f>
        <v>20500</v>
      </c>
      <c r="V27" s="405" t="s">
        <v>486</v>
      </c>
      <c r="W27" s="409">
        <v>33200</v>
      </c>
    </row>
    <row r="28" spans="1:23" ht="15.95" customHeight="1" thickBot="1" x14ac:dyDescent="0.3">
      <c r="B28" s="10" t="s">
        <v>318</v>
      </c>
      <c r="E28" s="14" t="s">
        <v>111</v>
      </c>
      <c r="F28" s="283">
        <f>O28</f>
        <v>24300</v>
      </c>
      <c r="G28" s="34"/>
      <c r="H28" s="10"/>
      <c r="I28" s="10"/>
      <c r="J28" s="10"/>
      <c r="K28" s="10"/>
      <c r="L28" s="10"/>
      <c r="M28" s="10"/>
      <c r="N28" s="410" t="s">
        <v>1587</v>
      </c>
      <c r="O28" s="410">
        <f>SUM(O27-(Q27+S27))</f>
        <v>24300</v>
      </c>
      <c r="P28" s="402"/>
      <c r="Q28" s="402"/>
      <c r="R28" s="402"/>
      <c r="S28" s="402"/>
      <c r="V28" s="405" t="s">
        <v>323</v>
      </c>
      <c r="W28" s="409">
        <v>20500</v>
      </c>
    </row>
    <row r="29" spans="1:23" ht="5.0999999999999996" customHeight="1" thickTop="1" x14ac:dyDescent="0.2"/>
    <row r="30" spans="1:23" ht="15.95" customHeight="1" x14ac:dyDescent="0.25">
      <c r="B30" s="49" t="s">
        <v>738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O30" s="402"/>
      <c r="P30" s="402"/>
      <c r="Q30" s="402"/>
      <c r="R30" s="402"/>
      <c r="S30" s="402"/>
      <c r="T30" s="402"/>
      <c r="U30" s="402"/>
      <c r="V30" s="402"/>
    </row>
    <row r="31" spans="1:23" ht="15.95" customHeight="1" x14ac:dyDescent="0.25">
      <c r="B31" s="10" t="s">
        <v>324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O31" s="402"/>
      <c r="P31" s="402"/>
      <c r="Q31" s="402"/>
      <c r="R31" s="402"/>
      <c r="S31" s="402"/>
      <c r="T31" s="402"/>
      <c r="U31" s="402"/>
      <c r="V31" s="402"/>
    </row>
    <row r="32" spans="1:23" ht="15.95" customHeight="1" x14ac:dyDescent="0.25">
      <c r="B32" s="10" t="s">
        <v>325</v>
      </c>
    </row>
    <row r="33" spans="2:23" ht="15.95" customHeight="1" x14ac:dyDescent="0.2">
      <c r="T33" s="402"/>
      <c r="V33" s="413" t="s">
        <v>1679</v>
      </c>
    </row>
    <row r="34" spans="2:23" ht="15.95" customHeight="1" x14ac:dyDescent="0.25">
      <c r="B34" s="10" t="s">
        <v>317</v>
      </c>
      <c r="Q34" s="412"/>
      <c r="T34" s="403"/>
      <c r="U34" s="403"/>
    </row>
    <row r="35" spans="2:23" ht="15.95" customHeight="1" x14ac:dyDescent="0.25">
      <c r="B35" s="10" t="s">
        <v>326</v>
      </c>
      <c r="D35" s="10"/>
      <c r="E35" s="10"/>
      <c r="K35" s="48"/>
      <c r="L35" s="21">
        <f>W35</f>
        <v>35000</v>
      </c>
      <c r="M35" s="21"/>
      <c r="P35" s="412" t="s">
        <v>794</v>
      </c>
      <c r="Q35" s="412"/>
      <c r="V35" s="405" t="s">
        <v>327</v>
      </c>
      <c r="W35" s="409">
        <v>35000</v>
      </c>
    </row>
    <row r="36" spans="2:23" ht="15.95" customHeight="1" x14ac:dyDescent="0.25">
      <c r="B36" s="10" t="s">
        <v>1504</v>
      </c>
      <c r="C36" s="10" t="str">
        <f>CONCATENATE("Net income (","$",TEXT(W36,"#,##0")," – ","$",TEXT(W37,"#,##0"),")"," ………………………………………………………………")</f>
        <v>Net income ($82,000 – $55,000) ………………………………………………………………</v>
      </c>
      <c r="E36" s="10"/>
      <c r="F36" s="10"/>
      <c r="K36" s="48"/>
      <c r="L36" s="50">
        <f>S36</f>
        <v>27000</v>
      </c>
      <c r="M36" s="50"/>
      <c r="O36" s="410">
        <f>W36</f>
        <v>82000</v>
      </c>
      <c r="P36" s="410" t="s">
        <v>1589</v>
      </c>
      <c r="Q36" s="410">
        <f>W37</f>
        <v>55000</v>
      </c>
      <c r="R36" s="410" t="s">
        <v>1587</v>
      </c>
      <c r="S36" s="410">
        <f>SUM(O36-Q36)</f>
        <v>27000</v>
      </c>
      <c r="V36" s="405" t="s">
        <v>328</v>
      </c>
      <c r="W36" s="409">
        <v>82000</v>
      </c>
    </row>
    <row r="37" spans="2:23" ht="18.75" customHeight="1" x14ac:dyDescent="0.55000000000000004">
      <c r="B37" s="10" t="s">
        <v>329</v>
      </c>
      <c r="C37" s="10" t="s">
        <v>330</v>
      </c>
      <c r="K37" s="48"/>
      <c r="L37" s="236">
        <f>-W38</f>
        <v>-8000</v>
      </c>
      <c r="M37" s="236"/>
      <c r="V37" s="405" t="s">
        <v>331</v>
      </c>
      <c r="W37" s="409">
        <v>55000</v>
      </c>
    </row>
    <row r="38" spans="2:23" ht="15.75" customHeight="1" x14ac:dyDescent="0.4">
      <c r="B38" s="10" t="s">
        <v>111</v>
      </c>
      <c r="C38" s="10" t="s">
        <v>332</v>
      </c>
      <c r="K38" s="48"/>
      <c r="L38" s="237">
        <f>SUM(L35:L37)</f>
        <v>54000</v>
      </c>
      <c r="M38" s="237"/>
      <c r="V38" s="405" t="s">
        <v>688</v>
      </c>
      <c r="W38" s="409">
        <v>8000</v>
      </c>
    </row>
    <row r="39" spans="2:23" ht="5.0999999999999996" customHeight="1" x14ac:dyDescent="0.2"/>
    <row r="40" spans="2:23" ht="15.95" customHeight="1" x14ac:dyDescent="0.2"/>
    <row r="41" spans="2:23" ht="15.95" customHeight="1" x14ac:dyDescent="0.2"/>
  </sheetData>
  <customSheetViews>
    <customSheetView guid="{B2DDA8C4-3089-41F7-BA6E-A0E09596A2CA}" scale="70" showPageBreaks="1" fitToPage="1" printArea="1">
      <selection activeCell="O26" sqref="O26"/>
      <pageMargins left="1" right="0.75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4EC5969-5D8D-4CA9-981C-456D4B800286}" scale="80" showPageBreaks="1" fitToPage="1" printArea="1">
      <selection activeCell="V1" sqref="V1"/>
      <pageMargins left="1" right="0.75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773A59C-8681-44F8-B8A6-B41D569D15E5}" scale="80" fitToPage="1">
      <selection activeCell="V38" sqref="V38"/>
      <pageMargins left="1" right="0.75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4466D771-49B5-4680-AFB2-AE1BC2D40EE1}" scale="70" showPageBreaks="1" fitToPage="1" printArea="1">
      <selection activeCell="V38" sqref="V38"/>
      <pageMargins left="1" right="0.75" top="0.85" bottom="0.8" header="0.5" footer="0.35"/>
      <printOptions horizontalCentered="1"/>
      <pageSetup scale="93" orientation="portrait" useFirstPageNumber="1" horizontalDpi="1200" verticalDpi="1200" r:id="rId4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92AEB71B-C088-46D1-AFBE-855E5EC7C157}" scale="70" fitToPage="1" showRuler="0">
      <selection activeCell="O26" sqref="O26"/>
      <pageMargins left="1" right="0.75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&amp;R&amp;"Times New Roman,Regular"CHAPTER 1        Accounting and the Financial Statements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5">
    <mergeCell ref="B14:L14"/>
    <mergeCell ref="B8:L8"/>
    <mergeCell ref="B4:L4"/>
    <mergeCell ref="B5:L5"/>
    <mergeCell ref="B6:L6"/>
  </mergeCells>
  <phoneticPr fontId="19" type="noConversion"/>
  <printOptions horizontalCentered="1"/>
  <pageMargins left="0.75" right="1" top="0.85" bottom="0.8" header="0.5" footer="0.35"/>
  <pageSetup scale="93" orientation="portrait" useFirstPageNumber="1" horizontalDpi="1200" verticalDpi="1200" r:id="rId6"/>
  <headerFooter alignWithMargins="0">
    <oddHeader>&amp;L&amp;"Times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showGridLines="0" zoomScale="70" zoomScaleNormal="70" workbookViewId="0">
      <selection activeCell="B1" sqref="B1"/>
    </sheetView>
  </sheetViews>
  <sheetFormatPr defaultRowHeight="12.75" x14ac:dyDescent="0.2"/>
  <cols>
    <col min="1" max="1" width="1.5703125" customWidth="1"/>
    <col min="2" max="4" width="4.7109375" customWidth="1"/>
    <col min="5" max="5" width="73.85546875" customWidth="1"/>
    <col min="6" max="7" width="8.85546875" style="317" customWidth="1"/>
    <col min="8" max="8" width="8.85546875" style="407" hidden="1" customWidth="1"/>
    <col min="9" max="9" width="12.28515625" style="407" hidden="1" customWidth="1"/>
    <col min="10" max="10" width="8.85546875" style="407" hidden="1" customWidth="1"/>
    <col min="11" max="11" width="10.5703125" style="407" hidden="1" customWidth="1"/>
    <col min="12" max="12" width="10.28515625" style="407" hidden="1" customWidth="1"/>
    <col min="13" max="13" width="10.85546875" style="407" hidden="1" customWidth="1"/>
    <col min="14" max="19" width="8.85546875" style="317" customWidth="1"/>
  </cols>
  <sheetData>
    <row r="1" spans="1:19" ht="29.25" customHeight="1" x14ac:dyDescent="0.2">
      <c r="A1" s="227"/>
      <c r="B1" s="227"/>
      <c r="C1" s="227"/>
      <c r="D1" s="227"/>
      <c r="E1" s="227"/>
    </row>
    <row r="2" spans="1:19" ht="18" x14ac:dyDescent="0.25">
      <c r="A2" s="368" t="s">
        <v>265</v>
      </c>
      <c r="B2" s="368"/>
      <c r="C2" s="368"/>
      <c r="D2" s="368"/>
      <c r="E2" s="368"/>
    </row>
    <row r="3" spans="1:19" ht="15" x14ac:dyDescent="0.2">
      <c r="A3" s="227"/>
      <c r="B3" s="227"/>
      <c r="C3" s="227"/>
      <c r="D3" s="227"/>
      <c r="E3" s="227"/>
    </row>
    <row r="4" spans="1:19" ht="15.75" x14ac:dyDescent="0.25">
      <c r="B4" s="120" t="s">
        <v>259</v>
      </c>
      <c r="C4" s="120"/>
      <c r="D4" s="120"/>
      <c r="E4" s="227"/>
    </row>
    <row r="5" spans="1:19" s="238" customFormat="1" ht="15.75" x14ac:dyDescent="0.25">
      <c r="B5" s="230" t="s">
        <v>55</v>
      </c>
      <c r="C5" s="231" t="s">
        <v>1277</v>
      </c>
      <c r="D5" s="231"/>
      <c r="F5" s="318"/>
      <c r="G5" s="318"/>
      <c r="H5" s="402"/>
      <c r="I5" s="402"/>
      <c r="J5" s="402"/>
      <c r="K5" s="402"/>
      <c r="L5" s="402"/>
      <c r="M5" s="402"/>
      <c r="N5" s="318"/>
      <c r="O5" s="318"/>
      <c r="P5" s="318"/>
      <c r="Q5" s="318"/>
      <c r="R5" s="318"/>
      <c r="S5" s="318"/>
    </row>
    <row r="6" spans="1:19" s="238" customFormat="1" ht="15.75" x14ac:dyDescent="0.25">
      <c r="B6" s="242" t="s">
        <v>58</v>
      </c>
      <c r="C6" s="239" t="s">
        <v>1278</v>
      </c>
      <c r="D6" s="239"/>
      <c r="F6" s="318"/>
      <c r="G6" s="318"/>
      <c r="H6" s="402"/>
      <c r="I6" s="402"/>
      <c r="J6" s="402"/>
      <c r="K6" s="402"/>
      <c r="L6" s="402"/>
      <c r="M6" s="402"/>
      <c r="N6" s="318"/>
      <c r="O6" s="318"/>
      <c r="P6" s="318"/>
      <c r="Q6" s="318"/>
      <c r="R6" s="318"/>
      <c r="S6" s="318"/>
    </row>
    <row r="7" spans="1:19" s="238" customFormat="1" ht="15.75" x14ac:dyDescent="0.25">
      <c r="B7" s="242" t="s">
        <v>60</v>
      </c>
      <c r="C7" s="239" t="s">
        <v>1279</v>
      </c>
      <c r="D7" s="239"/>
      <c r="F7" s="318"/>
      <c r="G7" s="318"/>
      <c r="H7" s="402"/>
      <c r="I7" s="402"/>
      <c r="J7" s="402"/>
      <c r="K7" s="402"/>
      <c r="L7" s="402"/>
      <c r="M7" s="402"/>
      <c r="N7" s="318"/>
      <c r="O7" s="318"/>
      <c r="P7" s="318"/>
      <c r="Q7" s="318"/>
      <c r="R7" s="318"/>
      <c r="S7" s="318"/>
    </row>
    <row r="8" spans="1:19" s="238" customFormat="1" ht="15.75" x14ac:dyDescent="0.25">
      <c r="B8" s="242" t="s">
        <v>67</v>
      </c>
      <c r="C8" s="239" t="s">
        <v>1281</v>
      </c>
      <c r="D8" s="239"/>
      <c r="F8" s="318"/>
      <c r="G8" s="318"/>
      <c r="H8" s="402"/>
      <c r="I8" s="402"/>
      <c r="J8" s="402"/>
      <c r="K8" s="402"/>
      <c r="L8" s="402"/>
      <c r="M8" s="402"/>
      <c r="N8" s="318"/>
      <c r="O8" s="318"/>
      <c r="P8" s="318"/>
      <c r="Q8" s="318"/>
      <c r="R8" s="318"/>
      <c r="S8" s="318"/>
    </row>
    <row r="9" spans="1:19" s="238" customFormat="1" ht="15.75" x14ac:dyDescent="0.25">
      <c r="B9" s="242" t="s">
        <v>70</v>
      </c>
      <c r="C9" s="239" t="s">
        <v>1280</v>
      </c>
      <c r="D9" s="239"/>
      <c r="F9" s="318"/>
      <c r="G9" s="318"/>
      <c r="H9" s="402"/>
      <c r="I9" s="402"/>
      <c r="J9" s="402"/>
      <c r="K9" s="402"/>
      <c r="L9" s="402"/>
      <c r="M9" s="402"/>
      <c r="N9" s="318"/>
      <c r="O9" s="318"/>
      <c r="P9" s="318"/>
      <c r="Q9" s="318"/>
      <c r="R9" s="318"/>
      <c r="S9" s="318"/>
    </row>
    <row r="10" spans="1:19" ht="7.5" customHeight="1" x14ac:dyDescent="0.2">
      <c r="A10" s="227"/>
      <c r="B10" s="227"/>
      <c r="C10" s="227"/>
      <c r="D10" s="227"/>
      <c r="E10" s="227"/>
    </row>
    <row r="11" spans="1:19" ht="15.75" x14ac:dyDescent="0.25">
      <c r="B11" s="120" t="s">
        <v>260</v>
      </c>
      <c r="C11" s="120"/>
      <c r="D11" s="120"/>
      <c r="E11" s="227"/>
    </row>
    <row r="12" spans="1:19" s="238" customFormat="1" ht="15.75" x14ac:dyDescent="0.25">
      <c r="B12" s="230" t="s">
        <v>55</v>
      </c>
      <c r="C12" s="231" t="s">
        <v>1273</v>
      </c>
      <c r="D12" s="231"/>
      <c r="F12" s="318"/>
      <c r="G12" s="318"/>
      <c r="H12" s="402"/>
      <c r="I12" s="402"/>
      <c r="J12" s="402"/>
      <c r="K12" s="402"/>
      <c r="L12" s="402"/>
      <c r="M12" s="402"/>
      <c r="N12" s="318"/>
      <c r="O12" s="318"/>
      <c r="P12" s="318"/>
      <c r="Q12" s="318"/>
      <c r="R12" s="318"/>
      <c r="S12" s="318"/>
    </row>
    <row r="13" spans="1:19" s="238" customFormat="1" ht="15.75" x14ac:dyDescent="0.25">
      <c r="B13" s="242" t="s">
        <v>58</v>
      </c>
      <c r="C13" s="239" t="s">
        <v>1282</v>
      </c>
      <c r="D13" s="239"/>
      <c r="F13" s="318"/>
      <c r="G13" s="318"/>
      <c r="H13" s="402"/>
      <c r="I13" s="402"/>
      <c r="J13" s="402"/>
      <c r="K13" s="402"/>
      <c r="L13" s="402"/>
      <c r="M13" s="402"/>
      <c r="N13" s="318"/>
      <c r="O13" s="318"/>
      <c r="P13" s="318"/>
      <c r="Q13" s="318"/>
      <c r="R13" s="318"/>
      <c r="S13" s="318"/>
    </row>
    <row r="14" spans="1:19" s="238" customFormat="1" ht="15.75" x14ac:dyDescent="0.25">
      <c r="B14" s="242" t="s">
        <v>60</v>
      </c>
      <c r="C14" s="239" t="s">
        <v>1283</v>
      </c>
      <c r="D14" s="239"/>
      <c r="F14" s="318"/>
      <c r="G14" s="318"/>
      <c r="H14" s="402"/>
      <c r="I14" s="402"/>
      <c r="J14" s="402"/>
      <c r="K14" s="402"/>
      <c r="L14" s="402"/>
      <c r="M14" s="402"/>
      <c r="N14" s="318"/>
      <c r="O14" s="318"/>
      <c r="P14" s="318"/>
      <c r="Q14" s="318"/>
      <c r="R14" s="318"/>
      <c r="S14" s="318"/>
    </row>
    <row r="15" spans="1:19" s="238" customFormat="1" ht="15.75" x14ac:dyDescent="0.25">
      <c r="B15" s="242" t="s">
        <v>67</v>
      </c>
      <c r="C15" s="239" t="s">
        <v>1273</v>
      </c>
      <c r="D15" s="239"/>
      <c r="F15" s="318"/>
      <c r="G15" s="318"/>
      <c r="H15" s="402"/>
      <c r="I15" s="402"/>
      <c r="J15" s="402"/>
      <c r="K15" s="402"/>
      <c r="L15" s="402"/>
      <c r="M15" s="402"/>
      <c r="N15" s="318"/>
      <c r="O15" s="318"/>
      <c r="P15" s="318"/>
      <c r="Q15" s="318"/>
      <c r="R15" s="318"/>
      <c r="S15" s="318"/>
    </row>
    <row r="16" spans="1:19" s="238" customFormat="1" ht="15.75" x14ac:dyDescent="0.25">
      <c r="B16" s="242" t="s">
        <v>70</v>
      </c>
      <c r="C16" s="239" t="s">
        <v>1273</v>
      </c>
      <c r="D16" s="239"/>
      <c r="F16" s="318"/>
      <c r="G16" s="318"/>
      <c r="H16" s="402"/>
      <c r="I16" s="402"/>
      <c r="J16" s="402"/>
      <c r="K16" s="402"/>
      <c r="L16" s="402"/>
      <c r="M16" s="402"/>
      <c r="N16" s="318"/>
      <c r="O16" s="318"/>
      <c r="P16" s="318"/>
      <c r="Q16" s="318"/>
      <c r="R16" s="318"/>
      <c r="S16" s="318"/>
    </row>
    <row r="17" spans="1:19" s="238" customFormat="1" ht="15.75" x14ac:dyDescent="0.25">
      <c r="B17" s="242" t="s">
        <v>754</v>
      </c>
      <c r="C17" s="239" t="s">
        <v>853</v>
      </c>
      <c r="D17" s="239"/>
      <c r="F17" s="318"/>
      <c r="G17" s="318"/>
      <c r="H17" s="402"/>
      <c r="I17" s="402"/>
      <c r="J17" s="402"/>
      <c r="K17" s="402"/>
      <c r="L17" s="402"/>
      <c r="M17" s="402"/>
      <c r="N17" s="318"/>
      <c r="O17" s="318"/>
      <c r="P17" s="318"/>
      <c r="Q17" s="318"/>
      <c r="R17" s="318"/>
      <c r="S17" s="318"/>
    </row>
    <row r="18" spans="1:19" s="238" customFormat="1" ht="15.75" x14ac:dyDescent="0.25">
      <c r="B18" s="242" t="s">
        <v>755</v>
      </c>
      <c r="C18" s="239" t="s">
        <v>1273</v>
      </c>
      <c r="D18" s="239"/>
      <c r="F18" s="318"/>
      <c r="G18" s="318"/>
      <c r="H18" s="402"/>
      <c r="I18" s="402"/>
      <c r="J18" s="402"/>
      <c r="K18" s="402"/>
      <c r="L18" s="402"/>
      <c r="M18" s="402"/>
      <c r="N18" s="318"/>
      <c r="O18" s="318"/>
      <c r="P18" s="318"/>
      <c r="Q18" s="318"/>
      <c r="R18" s="318"/>
      <c r="S18" s="318"/>
    </row>
    <row r="19" spans="1:19" ht="9" customHeight="1" x14ac:dyDescent="0.2">
      <c r="A19" s="227"/>
      <c r="B19" s="227"/>
      <c r="C19" s="227"/>
      <c r="D19" s="227"/>
      <c r="E19" s="227"/>
    </row>
    <row r="20" spans="1:19" ht="15.75" x14ac:dyDescent="0.25">
      <c r="B20" s="120" t="s">
        <v>261</v>
      </c>
      <c r="C20" s="120"/>
      <c r="D20" s="120"/>
      <c r="E20" s="227"/>
    </row>
    <row r="21" spans="1:19" s="238" customFormat="1" ht="15.75" x14ac:dyDescent="0.25">
      <c r="B21" s="230" t="s">
        <v>55</v>
      </c>
      <c r="C21" s="231" t="s">
        <v>1274</v>
      </c>
      <c r="D21" s="231"/>
      <c r="F21" s="318"/>
      <c r="G21" s="318"/>
      <c r="H21" s="402"/>
      <c r="I21" s="402"/>
      <c r="J21" s="402"/>
      <c r="K21" s="402"/>
      <c r="L21" s="402"/>
      <c r="M21" s="402"/>
      <c r="N21" s="318"/>
      <c r="O21" s="318"/>
      <c r="P21" s="318"/>
      <c r="Q21" s="318"/>
      <c r="R21" s="318"/>
      <c r="S21" s="318"/>
    </row>
    <row r="22" spans="1:19" s="238" customFormat="1" ht="15.75" x14ac:dyDescent="0.25">
      <c r="B22" s="242" t="s">
        <v>58</v>
      </c>
      <c r="C22" s="239" t="s">
        <v>1284</v>
      </c>
      <c r="D22" s="239"/>
      <c r="F22" s="318"/>
      <c r="G22" s="318"/>
      <c r="H22" s="402"/>
      <c r="I22" s="402"/>
      <c r="J22" s="402"/>
      <c r="K22" s="402"/>
      <c r="L22" s="402"/>
      <c r="M22" s="402"/>
      <c r="N22" s="318"/>
      <c r="O22" s="318"/>
      <c r="P22" s="318"/>
      <c r="Q22" s="318"/>
      <c r="R22" s="318"/>
      <c r="S22" s="318"/>
    </row>
    <row r="23" spans="1:19" s="238" customFormat="1" ht="15.75" x14ac:dyDescent="0.25">
      <c r="B23" s="242" t="s">
        <v>60</v>
      </c>
      <c r="C23" s="239" t="s">
        <v>1285</v>
      </c>
      <c r="D23" s="239"/>
      <c r="F23" s="318"/>
      <c r="G23" s="318"/>
      <c r="H23" s="402"/>
      <c r="I23" s="402"/>
      <c r="J23" s="402"/>
      <c r="K23" s="402"/>
      <c r="L23" s="402"/>
      <c r="M23" s="402"/>
      <c r="N23" s="318"/>
      <c r="O23" s="318"/>
      <c r="P23" s="318"/>
      <c r="Q23" s="318"/>
      <c r="R23" s="318"/>
      <c r="S23" s="318"/>
    </row>
    <row r="24" spans="1:19" s="238" customFormat="1" ht="15.75" x14ac:dyDescent="0.25">
      <c r="B24" s="242" t="s">
        <v>67</v>
      </c>
      <c r="C24" s="239" t="s">
        <v>1274</v>
      </c>
      <c r="D24" s="239"/>
      <c r="F24" s="318"/>
      <c r="G24" s="318"/>
      <c r="H24" s="402"/>
      <c r="I24" s="402"/>
      <c r="J24" s="402"/>
      <c r="K24" s="402"/>
      <c r="L24" s="402"/>
      <c r="M24" s="402"/>
      <c r="N24" s="318"/>
      <c r="O24" s="318"/>
      <c r="P24" s="318"/>
      <c r="Q24" s="318"/>
      <c r="R24" s="318"/>
      <c r="S24" s="318"/>
    </row>
    <row r="25" spans="1:19" s="238" customFormat="1" ht="15.75" x14ac:dyDescent="0.25">
      <c r="B25" s="242" t="s">
        <v>70</v>
      </c>
      <c r="C25" s="239" t="s">
        <v>1284</v>
      </c>
      <c r="D25" s="239"/>
      <c r="F25" s="318"/>
      <c r="G25" s="318"/>
      <c r="H25" s="402"/>
      <c r="I25" s="402"/>
      <c r="J25" s="402"/>
      <c r="K25" s="402"/>
      <c r="L25" s="402"/>
      <c r="M25" s="402"/>
      <c r="N25" s="318"/>
      <c r="O25" s="318"/>
      <c r="P25" s="318"/>
      <c r="Q25" s="318"/>
      <c r="R25" s="318"/>
      <c r="S25" s="318"/>
    </row>
    <row r="26" spans="1:19" s="238" customFormat="1" ht="15.75" x14ac:dyDescent="0.25">
      <c r="B26" s="242" t="s">
        <v>754</v>
      </c>
      <c r="C26" s="239" t="s">
        <v>1284</v>
      </c>
      <c r="D26" s="239"/>
      <c r="F26" s="318"/>
      <c r="G26" s="318"/>
      <c r="H26" s="402"/>
      <c r="I26" s="409"/>
      <c r="J26" s="402"/>
      <c r="K26" s="409"/>
      <c r="L26" s="402"/>
      <c r="M26" s="409"/>
      <c r="N26" s="318"/>
      <c r="O26" s="318"/>
      <c r="P26" s="318"/>
      <c r="Q26" s="318"/>
      <c r="R26" s="318"/>
      <c r="S26" s="318"/>
    </row>
    <row r="27" spans="1:19" s="238" customFormat="1" ht="15.75" x14ac:dyDescent="0.25">
      <c r="B27" s="242" t="s">
        <v>755</v>
      </c>
      <c r="C27" s="239" t="s">
        <v>1274</v>
      </c>
      <c r="D27" s="239"/>
      <c r="F27" s="318"/>
      <c r="G27" s="318"/>
      <c r="H27" s="413"/>
      <c r="I27" s="409"/>
      <c r="J27" s="413"/>
      <c r="K27" s="409"/>
      <c r="L27" s="413"/>
      <c r="M27" s="409"/>
      <c r="N27" s="318"/>
      <c r="O27" s="318"/>
      <c r="P27" s="318"/>
      <c r="Q27" s="318"/>
      <c r="R27" s="318"/>
      <c r="S27" s="318"/>
    </row>
    <row r="28" spans="1:19" ht="9" customHeight="1" x14ac:dyDescent="0.2">
      <c r="A28" s="227"/>
      <c r="B28" s="227"/>
      <c r="C28" s="227"/>
      <c r="D28" s="227"/>
      <c r="E28" s="227"/>
      <c r="H28" s="405"/>
      <c r="I28" s="410"/>
      <c r="J28" s="405"/>
      <c r="K28" s="410"/>
      <c r="L28" s="405"/>
      <c r="M28" s="410"/>
    </row>
    <row r="29" spans="1:19" ht="15.75" x14ac:dyDescent="0.25">
      <c r="B29" s="120" t="s">
        <v>262</v>
      </c>
      <c r="C29" s="120"/>
      <c r="D29" s="120"/>
      <c r="E29" s="227"/>
      <c r="H29" s="402"/>
      <c r="I29" s="409" t="s">
        <v>55</v>
      </c>
      <c r="J29" s="402"/>
      <c r="K29" s="409" t="s">
        <v>58</v>
      </c>
      <c r="L29" s="402"/>
      <c r="M29" s="409" t="s">
        <v>60</v>
      </c>
    </row>
    <row r="30" spans="1:19" s="238" customFormat="1" ht="15.75" x14ac:dyDescent="0.25">
      <c r="B30" s="243" t="s">
        <v>55</v>
      </c>
      <c r="C30" s="127" t="str">
        <f>CONCATENATE("Total assets = ",TEXT(I32,"$#,##0"))</f>
        <v>Total assets = $202,000</v>
      </c>
      <c r="D30" s="127"/>
      <c r="E30" s="12"/>
      <c r="F30" s="318"/>
      <c r="G30" s="313"/>
      <c r="H30" s="413" t="s">
        <v>778</v>
      </c>
      <c r="I30" s="409">
        <v>82000</v>
      </c>
      <c r="J30" s="413" t="s">
        <v>780</v>
      </c>
      <c r="K30" s="409">
        <v>55000</v>
      </c>
      <c r="L30" s="413" t="s">
        <v>1275</v>
      </c>
      <c r="M30" s="409">
        <v>60000</v>
      </c>
      <c r="N30" s="318"/>
      <c r="O30" s="318"/>
      <c r="P30" s="318"/>
      <c r="Q30" s="318"/>
      <c r="R30" s="318"/>
      <c r="S30" s="318"/>
    </row>
    <row r="31" spans="1:19" s="238" customFormat="1" ht="15.75" x14ac:dyDescent="0.25">
      <c r="B31" s="230" t="s">
        <v>58</v>
      </c>
      <c r="C31" s="127" t="str">
        <f>CONCATENATE("Total liabilities = ",TEXT(K34,"$#,##0"))</f>
        <v>Total liabilities = $32,500</v>
      </c>
      <c r="D31" s="127"/>
      <c r="E31" s="12"/>
      <c r="F31" s="318"/>
      <c r="G31" s="313"/>
      <c r="H31" s="405" t="s">
        <v>779</v>
      </c>
      <c r="I31" s="410">
        <v>120000</v>
      </c>
      <c r="J31" s="405" t="s">
        <v>779</v>
      </c>
      <c r="K31" s="410">
        <v>22500</v>
      </c>
      <c r="L31" s="405" t="s">
        <v>1276</v>
      </c>
      <c r="M31" s="410">
        <v>35000</v>
      </c>
      <c r="N31" s="318"/>
      <c r="O31" s="318"/>
      <c r="P31" s="318"/>
      <c r="Q31" s="318"/>
      <c r="R31" s="318"/>
      <c r="S31" s="318"/>
    </row>
    <row r="32" spans="1:19" s="238" customFormat="1" ht="15.75" x14ac:dyDescent="0.25">
      <c r="B32" s="230" t="s">
        <v>60</v>
      </c>
      <c r="C32" s="127" t="str">
        <f>CONCATENATE("Increase in stockholders’ equity = ",TEXT(M32,"$#,##0"))</f>
        <v>Increase in stockholders’ equity = $95,000</v>
      </c>
      <c r="D32" s="127"/>
      <c r="E32" s="12"/>
      <c r="F32" s="318"/>
      <c r="G32" s="313"/>
      <c r="H32" s="413" t="s">
        <v>780</v>
      </c>
      <c r="I32" s="409">
        <f>I30+I31</f>
        <v>202000</v>
      </c>
      <c r="J32" s="402"/>
      <c r="K32" s="402"/>
      <c r="L32" s="413" t="s">
        <v>779</v>
      </c>
      <c r="M32" s="409">
        <f>M30+M31</f>
        <v>95000</v>
      </c>
      <c r="N32" s="318"/>
      <c r="O32" s="318"/>
      <c r="P32" s="318"/>
      <c r="Q32" s="318"/>
      <c r="R32" s="318"/>
      <c r="S32" s="318"/>
    </row>
    <row r="33" spans="1:19" s="238" customFormat="1" ht="9" customHeight="1" x14ac:dyDescent="0.25">
      <c r="A33" s="231"/>
      <c r="B33" s="231"/>
      <c r="C33" s="231"/>
      <c r="D33" s="231"/>
      <c r="E33" s="120"/>
      <c r="F33" s="318"/>
      <c r="G33" s="318"/>
      <c r="H33" s="402"/>
      <c r="I33" s="402"/>
      <c r="J33" s="402"/>
      <c r="K33" s="402"/>
      <c r="L33" s="402"/>
      <c r="M33" s="402"/>
      <c r="N33" s="318"/>
      <c r="O33" s="318"/>
      <c r="P33" s="318"/>
      <c r="Q33" s="318"/>
      <c r="R33" s="318"/>
      <c r="S33" s="318"/>
    </row>
    <row r="34" spans="1:19" ht="15.75" x14ac:dyDescent="0.25">
      <c r="B34" s="120" t="s">
        <v>263</v>
      </c>
      <c r="C34" s="120"/>
      <c r="D34" s="120"/>
      <c r="E34" s="227"/>
      <c r="J34" s="413" t="s">
        <v>778</v>
      </c>
      <c r="K34" s="409">
        <f>K30-K31</f>
        <v>32500</v>
      </c>
    </row>
    <row r="35" spans="1:19" s="238" customFormat="1" ht="15.75" x14ac:dyDescent="0.25">
      <c r="B35" s="244" t="s">
        <v>758</v>
      </c>
      <c r="C35" s="231" t="s">
        <v>1489</v>
      </c>
      <c r="D35" s="241"/>
      <c r="F35" s="318"/>
      <c r="G35" s="318"/>
      <c r="H35" s="402"/>
      <c r="I35" s="402"/>
      <c r="J35" s="402"/>
      <c r="K35" s="402"/>
      <c r="L35" s="413" t="s">
        <v>779</v>
      </c>
      <c r="M35" s="409">
        <f>N31+N32</f>
        <v>0</v>
      </c>
      <c r="N35" s="318"/>
      <c r="O35" s="318"/>
      <c r="P35" s="318"/>
      <c r="Q35" s="318"/>
      <c r="R35" s="318"/>
      <c r="S35" s="318"/>
    </row>
    <row r="36" spans="1:19" s="238" customFormat="1" ht="15.75" x14ac:dyDescent="0.25">
      <c r="B36" s="244" t="s">
        <v>759</v>
      </c>
      <c r="C36" s="231" t="s">
        <v>1495</v>
      </c>
      <c r="D36" s="241"/>
      <c r="F36" s="318"/>
      <c r="G36" s="318"/>
      <c r="H36" s="402"/>
      <c r="I36" s="402"/>
      <c r="J36" s="402"/>
      <c r="K36" s="402"/>
      <c r="L36" s="402"/>
      <c r="M36" s="402"/>
      <c r="N36" s="318"/>
      <c r="O36" s="318"/>
      <c r="P36" s="318"/>
      <c r="Q36" s="318"/>
      <c r="R36" s="318"/>
      <c r="S36" s="318"/>
    </row>
    <row r="37" spans="1:19" s="238" customFormat="1" ht="15.75" x14ac:dyDescent="0.25">
      <c r="B37" s="244" t="s">
        <v>760</v>
      </c>
      <c r="C37" s="231" t="s">
        <v>1488</v>
      </c>
      <c r="D37" s="241"/>
      <c r="F37" s="318"/>
      <c r="G37" s="318"/>
      <c r="H37" s="402"/>
      <c r="I37" s="402"/>
      <c r="J37" s="402"/>
      <c r="K37" s="402"/>
      <c r="L37" s="402"/>
      <c r="M37" s="402"/>
      <c r="N37" s="318"/>
      <c r="O37" s="318"/>
      <c r="P37" s="318"/>
      <c r="Q37" s="318"/>
      <c r="R37" s="318"/>
      <c r="S37" s="318"/>
    </row>
    <row r="38" spans="1:19" s="238" customFormat="1" ht="15.75" x14ac:dyDescent="0.25">
      <c r="B38" s="244" t="s">
        <v>270</v>
      </c>
      <c r="C38" s="231" t="s">
        <v>1492</v>
      </c>
      <c r="D38" s="241"/>
      <c r="F38" s="318"/>
      <c r="G38" s="318"/>
      <c r="H38" s="402"/>
      <c r="I38" s="402"/>
      <c r="J38" s="402" t="s">
        <v>337</v>
      </c>
      <c r="K38" s="402"/>
      <c r="L38" s="402"/>
      <c r="M38" s="402"/>
      <c r="N38" s="318"/>
      <c r="O38" s="318"/>
      <c r="P38" s="318"/>
      <c r="Q38" s="318"/>
      <c r="R38" s="318"/>
      <c r="S38" s="318"/>
    </row>
    <row r="39" spans="1:19" s="238" customFormat="1" ht="15.75" x14ac:dyDescent="0.25">
      <c r="B39" s="244" t="s">
        <v>1012</v>
      </c>
      <c r="C39" s="231" t="s">
        <v>1488</v>
      </c>
      <c r="D39" s="241"/>
      <c r="F39" s="318"/>
      <c r="G39" s="318"/>
      <c r="H39" s="402"/>
      <c r="I39" s="402"/>
      <c r="J39" s="402"/>
      <c r="K39" s="402"/>
      <c r="L39" s="402"/>
      <c r="M39" s="402"/>
      <c r="N39" s="318"/>
      <c r="O39" s="318"/>
      <c r="P39" s="318"/>
      <c r="Q39" s="318"/>
      <c r="R39" s="318"/>
      <c r="S39" s="318"/>
    </row>
    <row r="40" spans="1:19" s="238" customFormat="1" ht="15.75" x14ac:dyDescent="0.25">
      <c r="B40" s="244" t="s">
        <v>1014</v>
      </c>
      <c r="C40" s="231" t="s">
        <v>761</v>
      </c>
      <c r="D40" s="241"/>
      <c r="F40" s="318"/>
      <c r="G40" s="318"/>
      <c r="H40" s="402"/>
      <c r="I40" s="402"/>
      <c r="J40" s="402"/>
      <c r="K40" s="402"/>
      <c r="L40" s="402"/>
      <c r="M40" s="402"/>
      <c r="N40" s="318"/>
      <c r="O40" s="318"/>
      <c r="P40" s="318"/>
      <c r="Q40" s="318"/>
      <c r="R40" s="318"/>
      <c r="S40" s="318"/>
    </row>
    <row r="41" spans="1:19" s="238" customFormat="1" ht="15.75" x14ac:dyDescent="0.25">
      <c r="B41" s="244" t="s">
        <v>1403</v>
      </c>
      <c r="C41" s="231" t="s">
        <v>1492</v>
      </c>
      <c r="D41" s="241"/>
      <c r="F41" s="318"/>
      <c r="G41" s="318"/>
      <c r="H41" s="402"/>
      <c r="I41" s="402"/>
      <c r="J41" s="402"/>
      <c r="K41" s="402"/>
      <c r="L41" s="402"/>
      <c r="M41" s="402"/>
      <c r="N41" s="318"/>
      <c r="O41" s="318"/>
      <c r="P41" s="318"/>
      <c r="Q41" s="318"/>
      <c r="R41" s="318"/>
      <c r="S41" s="318"/>
    </row>
    <row r="42" spans="1:19" s="238" customFormat="1" ht="15.75" x14ac:dyDescent="0.25">
      <c r="B42" s="244" t="s">
        <v>1408</v>
      </c>
      <c r="C42" s="231" t="s">
        <v>1488</v>
      </c>
      <c r="D42" s="241"/>
      <c r="F42" s="318"/>
      <c r="G42" s="318"/>
      <c r="H42" s="402"/>
      <c r="I42" s="402"/>
      <c r="J42" s="402"/>
      <c r="K42" s="402"/>
      <c r="L42" s="402"/>
      <c r="M42" s="402"/>
      <c r="N42" s="318"/>
      <c r="O42" s="318"/>
      <c r="P42" s="318"/>
      <c r="Q42" s="318"/>
      <c r="R42" s="318"/>
      <c r="S42" s="318"/>
    </row>
    <row r="43" spans="1:19" s="238" customFormat="1" ht="15.75" x14ac:dyDescent="0.25">
      <c r="B43" s="244" t="s">
        <v>1416</v>
      </c>
      <c r="C43" s="231" t="s">
        <v>1488</v>
      </c>
      <c r="D43" s="241"/>
      <c r="F43" s="318"/>
      <c r="G43" s="318"/>
      <c r="H43" s="402"/>
      <c r="I43" s="402"/>
      <c r="J43" s="402"/>
      <c r="K43" s="402"/>
      <c r="L43" s="402"/>
      <c r="M43" s="402"/>
      <c r="N43" s="318"/>
      <c r="O43" s="318"/>
      <c r="P43" s="318"/>
      <c r="Q43" s="318"/>
      <c r="R43" s="318"/>
      <c r="S43" s="318"/>
    </row>
    <row r="44" spans="1:19" s="238" customFormat="1" ht="15.75" x14ac:dyDescent="0.25">
      <c r="B44" s="244" t="s">
        <v>77</v>
      </c>
      <c r="C44" s="231" t="s">
        <v>866</v>
      </c>
      <c r="D44" s="241"/>
      <c r="F44" s="318"/>
      <c r="G44" s="318"/>
      <c r="H44" s="402"/>
      <c r="I44" s="402"/>
      <c r="J44" s="402"/>
      <c r="K44" s="402"/>
      <c r="L44" s="402"/>
      <c r="M44" s="402"/>
      <c r="N44" s="318"/>
      <c r="O44" s="318"/>
      <c r="P44" s="318"/>
      <c r="Q44" s="318"/>
      <c r="R44" s="318"/>
      <c r="S44" s="318"/>
    </row>
    <row r="45" spans="1:19" s="238" customFormat="1" ht="6.75" customHeight="1" x14ac:dyDescent="0.25">
      <c r="B45" s="244"/>
      <c r="C45" s="231"/>
      <c r="D45" s="241"/>
      <c r="F45" s="318"/>
      <c r="G45" s="318"/>
      <c r="H45" s="402"/>
      <c r="I45" s="402"/>
      <c r="J45" s="402"/>
      <c r="K45" s="402"/>
      <c r="L45" s="402"/>
      <c r="M45" s="402"/>
      <c r="N45" s="318"/>
      <c r="O45" s="318"/>
      <c r="P45" s="318"/>
      <c r="Q45" s="318"/>
      <c r="R45" s="318"/>
      <c r="S45" s="318"/>
    </row>
  </sheetData>
  <customSheetViews>
    <customSheetView guid="{B2DDA8C4-3089-41F7-BA6E-A0E09596A2CA}" showPageBreaks="1" showGridLines="0" printArea="1" topLeftCell="A13">
      <pageMargins left="0.7" right="0.7" top="0.75" bottom="0.75" header="0.3" footer="0.3"/>
      <pageSetup orientation="portrait" horizontalDpi="4294967294" verticalDpi="0" r:id="rId1"/>
    </customSheetView>
    <customSheetView guid="{92AEB71B-C088-46D1-AFBE-855E5EC7C157}" showGridLines="0" showRuler="0" topLeftCell="A13">
      <pageMargins left="0.7" right="0.7" top="0.75" bottom="0.75" header="0.3" footer="0.3"/>
      <pageSetup orientation="portrait" horizontalDpi="4294967294" verticalDpi="0" r:id="rId2"/>
      <headerFooter alignWithMargins="0"/>
    </customSheetView>
  </customSheetViews>
  <mergeCells count="1">
    <mergeCell ref="A2:E2"/>
  </mergeCells>
  <phoneticPr fontId="49" type="noConversion"/>
  <printOptions horizontalCentered="1"/>
  <pageMargins left="1" right="0.75" top="0.85" bottom="0.8" header="0.5" footer="0.35"/>
  <pageSetup scale="93" orientation="portrait" useFirstPageNumber="1" horizontalDpi="1200" verticalDpi="1200" r:id="rId3"/>
  <headerFooter>
    <oddHeader>&amp;R&amp;"Times New Roman,Regular"CHAPTER 1        Accounting and the Financial Statements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57</vt:i4>
      </vt:variant>
      <vt:variant>
        <vt:lpstr>Named Ranges</vt:lpstr>
      </vt:variant>
      <vt:variant>
        <vt:i4>57</vt:i4>
      </vt:variant>
    </vt:vector>
  </HeadingPairs>
  <TitlesOfParts>
    <vt:vector size="114" baseType="lpstr">
      <vt:lpstr>1-1</vt:lpstr>
      <vt:lpstr>1-2</vt:lpstr>
      <vt:lpstr>1-3</vt:lpstr>
      <vt:lpstr>1-4</vt:lpstr>
      <vt:lpstr>1-5</vt:lpstr>
      <vt:lpstr>1-6</vt:lpstr>
      <vt:lpstr>1-7</vt:lpstr>
      <vt:lpstr>1-8</vt:lpstr>
      <vt:lpstr>1-9</vt:lpstr>
      <vt:lpstr>1-10</vt:lpstr>
      <vt:lpstr>1-11</vt:lpstr>
      <vt:lpstr>1-12</vt:lpstr>
      <vt:lpstr>1-13</vt:lpstr>
      <vt:lpstr>1-14</vt:lpstr>
      <vt:lpstr>1-15</vt:lpstr>
      <vt:lpstr>1-16</vt:lpstr>
      <vt:lpstr>1-17</vt:lpstr>
      <vt:lpstr>1-18</vt:lpstr>
      <vt:lpstr>1-19</vt:lpstr>
      <vt:lpstr>1-20</vt:lpstr>
      <vt:lpstr>1-21</vt:lpstr>
      <vt:lpstr>1-22</vt:lpstr>
      <vt:lpstr>1-23</vt:lpstr>
      <vt:lpstr>1-24</vt:lpstr>
      <vt:lpstr>1-25</vt:lpstr>
      <vt:lpstr>1-26</vt:lpstr>
      <vt:lpstr>1-27</vt:lpstr>
      <vt:lpstr>1-28</vt:lpstr>
      <vt:lpstr>1-29</vt:lpstr>
      <vt:lpstr>1-30</vt:lpstr>
      <vt:lpstr>1-31</vt:lpstr>
      <vt:lpstr>1-32</vt:lpstr>
      <vt:lpstr>1-33</vt:lpstr>
      <vt:lpstr>1-34</vt:lpstr>
      <vt:lpstr>1-35</vt:lpstr>
      <vt:lpstr>1-36</vt:lpstr>
      <vt:lpstr>1-37</vt:lpstr>
      <vt:lpstr>1-38</vt:lpstr>
      <vt:lpstr>1-39</vt:lpstr>
      <vt:lpstr>1-40</vt:lpstr>
      <vt:lpstr>1-41</vt:lpstr>
      <vt:lpstr>1-42</vt:lpstr>
      <vt:lpstr>1-43</vt:lpstr>
      <vt:lpstr>1-44</vt:lpstr>
      <vt:lpstr>1-45</vt:lpstr>
      <vt:lpstr>1-46</vt:lpstr>
      <vt:lpstr>1-47</vt:lpstr>
      <vt:lpstr>1-48</vt:lpstr>
      <vt:lpstr>1-49</vt:lpstr>
      <vt:lpstr>1-50</vt:lpstr>
      <vt:lpstr>1-51</vt:lpstr>
      <vt:lpstr>1-52</vt:lpstr>
      <vt:lpstr>1-53</vt:lpstr>
      <vt:lpstr>1-54</vt:lpstr>
      <vt:lpstr>1-55</vt:lpstr>
      <vt:lpstr>1-56</vt:lpstr>
      <vt:lpstr>1-57</vt:lpstr>
      <vt:lpstr>'1-1'!Print_Area</vt:lpstr>
      <vt:lpstr>'1-10'!Print_Area</vt:lpstr>
      <vt:lpstr>'1-11'!Print_Area</vt:lpstr>
      <vt:lpstr>'1-12'!Print_Area</vt:lpstr>
      <vt:lpstr>'1-13'!Print_Area</vt:lpstr>
      <vt:lpstr>'1-14'!Print_Area</vt:lpstr>
      <vt:lpstr>'1-15'!Print_Area</vt:lpstr>
      <vt:lpstr>'1-16'!Print_Area</vt:lpstr>
      <vt:lpstr>'1-17'!Print_Area</vt:lpstr>
      <vt:lpstr>'1-18'!Print_Area</vt:lpstr>
      <vt:lpstr>'1-19'!Print_Area</vt:lpstr>
      <vt:lpstr>'1-2'!Print_Area</vt:lpstr>
      <vt:lpstr>'1-20'!Print_Area</vt:lpstr>
      <vt:lpstr>'1-21'!Print_Area</vt:lpstr>
      <vt:lpstr>'1-22'!Print_Area</vt:lpstr>
      <vt:lpstr>'1-23'!Print_Area</vt:lpstr>
      <vt:lpstr>'1-24'!Print_Area</vt:lpstr>
      <vt:lpstr>'1-25'!Print_Area</vt:lpstr>
      <vt:lpstr>'1-26'!Print_Area</vt:lpstr>
      <vt:lpstr>'1-27'!Print_Area</vt:lpstr>
      <vt:lpstr>'1-28'!Print_Area</vt:lpstr>
      <vt:lpstr>'1-29'!Print_Area</vt:lpstr>
      <vt:lpstr>'1-3'!Print_Area</vt:lpstr>
      <vt:lpstr>'1-30'!Print_Area</vt:lpstr>
      <vt:lpstr>'1-31'!Print_Area</vt:lpstr>
      <vt:lpstr>'1-32'!Print_Area</vt:lpstr>
      <vt:lpstr>'1-33'!Print_Area</vt:lpstr>
      <vt:lpstr>'1-34'!Print_Area</vt:lpstr>
      <vt:lpstr>'1-35'!Print_Area</vt:lpstr>
      <vt:lpstr>'1-36'!Print_Area</vt:lpstr>
      <vt:lpstr>'1-37'!Print_Area</vt:lpstr>
      <vt:lpstr>'1-38'!Print_Area</vt:lpstr>
      <vt:lpstr>'1-39'!Print_Area</vt:lpstr>
      <vt:lpstr>'1-4'!Print_Area</vt:lpstr>
      <vt:lpstr>'1-40'!Print_Area</vt:lpstr>
      <vt:lpstr>'1-41'!Print_Area</vt:lpstr>
      <vt:lpstr>'1-42'!Print_Area</vt:lpstr>
      <vt:lpstr>'1-43'!Print_Area</vt:lpstr>
      <vt:lpstr>'1-44'!Print_Area</vt:lpstr>
      <vt:lpstr>'1-45'!Print_Area</vt:lpstr>
      <vt:lpstr>'1-46'!Print_Area</vt:lpstr>
      <vt:lpstr>'1-47'!Print_Area</vt:lpstr>
      <vt:lpstr>'1-48'!Print_Area</vt:lpstr>
      <vt:lpstr>'1-49'!Print_Area</vt:lpstr>
      <vt:lpstr>'1-5'!Print_Area</vt:lpstr>
      <vt:lpstr>'1-50'!Print_Area</vt:lpstr>
      <vt:lpstr>'1-51'!Print_Area</vt:lpstr>
      <vt:lpstr>'1-52'!Print_Area</vt:lpstr>
      <vt:lpstr>'1-53'!Print_Area</vt:lpstr>
      <vt:lpstr>'1-54'!Print_Area</vt:lpstr>
      <vt:lpstr>'1-55'!Print_Area</vt:lpstr>
      <vt:lpstr>'1-56'!Print_Area</vt:lpstr>
      <vt:lpstr>'1-57'!Print_Area</vt:lpstr>
      <vt:lpstr>'1-6'!Print_Area</vt:lpstr>
      <vt:lpstr>'1-7'!Print_Area</vt:lpstr>
      <vt:lpstr>'1-8'!Print_Area</vt:lpstr>
      <vt:lpstr>'1-9'!Print_Area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Ruth Beasley</dc:creator>
  <cp:lastModifiedBy>Windows User</cp:lastModifiedBy>
  <cp:lastPrinted>2012-12-14T15:28:22Z</cp:lastPrinted>
  <dcterms:created xsi:type="dcterms:W3CDTF">2010-10-07T13:21:15Z</dcterms:created>
  <dcterms:modified xsi:type="dcterms:W3CDTF">2013-01-08T21:14:41Z</dcterms:modified>
</cp:coreProperties>
</file>